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pritinfiisws009\Docs\_Staging\JQFV\"/>
    </mc:Choice>
  </mc:AlternateContent>
  <xr:revisionPtr revIDLastSave="0" documentId="13_ncr:1_{5E9AD1D2-60F0-4887-9085-4E6719D8E483}" xr6:coauthVersionLast="47" xr6:coauthVersionMax="47" xr10:uidLastSave="{00000000-0000-0000-0000-000000000000}"/>
  <bookViews>
    <workbookView xWindow="-110" yWindow="-110" windowWidth="19420" windowHeight="11500" xr2:uid="{48F51281-ED68-40DE-A5E3-3D4DD2857ED3}"/>
  </bookViews>
  <sheets>
    <sheet name="Tab Descriptions" sheetId="35" r:id="rId1"/>
    <sheet name="Selected Data" sheetId="24" r:id="rId2"/>
    <sheet name="Notes" sheetId="33" r:id="rId3"/>
    <sheet name="Instructions" sheetId="34" r:id="rId4"/>
    <sheet name="Summary" sheetId="20" r:id="rId5"/>
    <sheet name="Authorized Rev Req" sheetId="2" r:id="rId6"/>
    <sheet name="Incremental Rev Req" sheetId="5" r:id="rId7"/>
    <sheet name="SAR and RAR" sheetId="19" r:id="rId8"/>
    <sheet name="Res Bill Impact" sheetId="18" r:id="rId9"/>
    <sheet name="SAR and RAR (B-1)" sheetId="26" r:id="rId10"/>
    <sheet name="Bill Impact (B-1)" sheetId="27" r:id="rId11"/>
    <sheet name="SAR and RAR (Medium)" sheetId="37" r:id="rId12"/>
    <sheet name="SAR and RAR (Large)" sheetId="36" r:id="rId13"/>
    <sheet name="Hypothetical Summary" sheetId="17" r:id="rId14"/>
    <sheet name="Hypothetical SAR and RAR" sheetId="23" r:id="rId15"/>
    <sheet name="Hypothetical Res Bill Impact" sheetId="22" r:id="rId16"/>
    <sheet name="Hypothetical SAR and RAR (B-1)" sheetId="30" r:id="rId17"/>
    <sheet name="Hypo. Bill Impact (B-1)" sheetId="29" r:id="rId18"/>
  </sheets>
  <definedNames>
    <definedName name="___huh2" localSheetId="10" hidden="1">{#N/A,#N/A,FALSE,"Dist Rev at PR ";#N/A,#N/A,FALSE,"Spec";#N/A,#N/A,FALSE,"Res";#N/A,#N/A,FALSE,"Small L&amp;P";#N/A,#N/A,FALSE,"Medium L&amp;P";#N/A,#N/A,FALSE,"E-19";#N/A,#N/A,FALSE,"E-20";#N/A,#N/A,FALSE,"Strtlts &amp; Standby";#N/A,#N/A,FALSE,"A-RTP";#N/A,#N/A,FALSE,"2003mixeduse"}</definedName>
    <definedName name="___huh2" localSheetId="17" hidden="1">{#N/A,#N/A,FALSE,"Dist Rev at PR ";#N/A,#N/A,FALSE,"Spec";#N/A,#N/A,FALSE,"Res";#N/A,#N/A,FALSE,"Small L&amp;P";#N/A,#N/A,FALSE,"Medium L&amp;P";#N/A,#N/A,FALSE,"E-19";#N/A,#N/A,FALSE,"E-20";#N/A,#N/A,FALSE,"Strtlts &amp; Standby";#N/A,#N/A,FALSE,"A-RTP";#N/A,#N/A,FALSE,"2003mixeduse"}</definedName>
    <definedName name="___huh2" localSheetId="9" hidden="1">{#N/A,#N/A,FALSE,"Dist Rev at PR ";#N/A,#N/A,FALSE,"Spec";#N/A,#N/A,FALSE,"Res";#N/A,#N/A,FALSE,"Small L&amp;P";#N/A,#N/A,FALSE,"Medium L&amp;P";#N/A,#N/A,FALSE,"E-19";#N/A,#N/A,FALSE,"E-20";#N/A,#N/A,FALSE,"Strtlts &amp; Standby";#N/A,#N/A,FALSE,"A-RTP";#N/A,#N/A,FALSE,"2003mixeduse"}</definedName>
    <definedName name="___huh2" localSheetId="12" hidden="1">{#N/A,#N/A,FALSE,"Dist Rev at PR ";#N/A,#N/A,FALSE,"Spec";#N/A,#N/A,FALSE,"Res";#N/A,#N/A,FALSE,"Small L&amp;P";#N/A,#N/A,FALSE,"Medium L&amp;P";#N/A,#N/A,FALSE,"E-19";#N/A,#N/A,FALSE,"E-20";#N/A,#N/A,FALSE,"Strtlts &amp; Standby";#N/A,#N/A,FALSE,"A-RTP";#N/A,#N/A,FALSE,"2003mixeduse"}</definedName>
    <definedName name="___huh2" localSheetId="11" hidden="1">{#N/A,#N/A,FALSE,"Dist Rev at PR ";#N/A,#N/A,FALSE,"Spec";#N/A,#N/A,FALSE,"Res";#N/A,#N/A,FALSE,"Small L&amp;P";#N/A,#N/A,FALSE,"Medium L&amp;P";#N/A,#N/A,FALSE,"E-19";#N/A,#N/A,FALSE,"E-20";#N/A,#N/A,FALSE,"Strtlts &amp; Standby";#N/A,#N/A,FALSE,"A-RTP";#N/A,#N/A,FALSE,"2003mixeduse"}</definedName>
    <definedName name="___huh2" localSheetId="1" hidden="1">{#N/A,#N/A,FALSE,"Dist Rev at PR ";#N/A,#N/A,FALSE,"Spec";#N/A,#N/A,FALSE,"Res";#N/A,#N/A,FALSE,"Small L&amp;P";#N/A,#N/A,FALSE,"Medium L&amp;P";#N/A,#N/A,FALSE,"E-19";#N/A,#N/A,FALSE,"E-20";#N/A,#N/A,FALSE,"Strtlts &amp; Standby";#N/A,#N/A,FALSE,"A-RTP";#N/A,#N/A,FALSE,"2003mixeduse"}</definedName>
    <definedName name="___huh2" hidden="1">{#N/A,#N/A,FALSE,"Dist Rev at PR ";#N/A,#N/A,FALSE,"Spec";#N/A,#N/A,FALSE,"Res";#N/A,#N/A,FALSE,"Small L&amp;P";#N/A,#N/A,FALSE,"Medium L&amp;P";#N/A,#N/A,FALSE,"E-19";#N/A,#N/A,FALSE,"E-20";#N/A,#N/A,FALSE,"Strtlts &amp; Standby";#N/A,#N/A,FALSE,"A-RTP";#N/A,#N/A,FALSE,"2003mixeduse"}</definedName>
    <definedName name="_2017_Labor_Escalation_Rate">#REF!</definedName>
    <definedName name="_4ColName">SUBSTITUTE(SUBSTITUTE(SUBSTITUTE(SUBSTITUTE(SUBSTITUTE(TRIM(T(#REF!)&amp;"."&amp;T(#REF!)&amp;"."&amp;T(#REF!)&amp;"."&amp;T(#REF!)&amp;"."),"+","and"),"%","pct"),"-",""),"..","."),"&amp;","and")</definedName>
    <definedName name="_xlnm._FilterDatabase" localSheetId="5" hidden="1">'Authorized Rev Req'!$A$7:$N$160</definedName>
    <definedName name="_xlnm._FilterDatabase" localSheetId="6" hidden="1">'Incremental Rev Req'!$F$2:$F$254</definedName>
    <definedName name="_FPV1">#REF!</definedName>
    <definedName name="_FPV3">#REF!</definedName>
    <definedName name="_huh2" localSheetId="10" hidden="1">{#N/A,#N/A,FALSE,"Dist Rev at PR ";#N/A,#N/A,FALSE,"Spec";#N/A,#N/A,FALSE,"Res";#N/A,#N/A,FALSE,"Small L&amp;P";#N/A,#N/A,FALSE,"Medium L&amp;P";#N/A,#N/A,FALSE,"E-19";#N/A,#N/A,FALSE,"E-20";#N/A,#N/A,FALSE,"Strtlts &amp; Standby";#N/A,#N/A,FALSE,"A-RTP";#N/A,#N/A,FALSE,"2003mixeduse"}</definedName>
    <definedName name="_huh2" localSheetId="17" hidden="1">{#N/A,#N/A,FALSE,"Dist Rev at PR ";#N/A,#N/A,FALSE,"Spec";#N/A,#N/A,FALSE,"Res";#N/A,#N/A,FALSE,"Small L&amp;P";#N/A,#N/A,FALSE,"Medium L&amp;P";#N/A,#N/A,FALSE,"E-19";#N/A,#N/A,FALSE,"E-20";#N/A,#N/A,FALSE,"Strtlts &amp; Standby";#N/A,#N/A,FALSE,"A-RTP";#N/A,#N/A,FALSE,"2003mixeduse"}</definedName>
    <definedName name="_huh2" localSheetId="9" hidden="1">{#N/A,#N/A,FALSE,"Dist Rev at PR ";#N/A,#N/A,FALSE,"Spec";#N/A,#N/A,FALSE,"Res";#N/A,#N/A,FALSE,"Small L&amp;P";#N/A,#N/A,FALSE,"Medium L&amp;P";#N/A,#N/A,FALSE,"E-19";#N/A,#N/A,FALSE,"E-20";#N/A,#N/A,FALSE,"Strtlts &amp; Standby";#N/A,#N/A,FALSE,"A-RTP";#N/A,#N/A,FALSE,"2003mixeduse"}</definedName>
    <definedName name="_huh2" localSheetId="12" hidden="1">{#N/A,#N/A,FALSE,"Dist Rev at PR ";#N/A,#N/A,FALSE,"Spec";#N/A,#N/A,FALSE,"Res";#N/A,#N/A,FALSE,"Small L&amp;P";#N/A,#N/A,FALSE,"Medium L&amp;P";#N/A,#N/A,FALSE,"E-19";#N/A,#N/A,FALSE,"E-20";#N/A,#N/A,FALSE,"Strtlts &amp; Standby";#N/A,#N/A,FALSE,"A-RTP";#N/A,#N/A,FALSE,"2003mixeduse"}</definedName>
    <definedName name="_huh2" localSheetId="11" hidden="1">{#N/A,#N/A,FALSE,"Dist Rev at PR ";#N/A,#N/A,FALSE,"Spec";#N/A,#N/A,FALSE,"Res";#N/A,#N/A,FALSE,"Small L&amp;P";#N/A,#N/A,FALSE,"Medium L&amp;P";#N/A,#N/A,FALSE,"E-19";#N/A,#N/A,FALSE,"E-20";#N/A,#N/A,FALSE,"Strtlts &amp; Standby";#N/A,#N/A,FALSE,"A-RTP";#N/A,#N/A,FALSE,"2003mixeduse"}</definedName>
    <definedName name="_huh2" localSheetId="1" hidden="1">{#N/A,#N/A,FALSE,"Dist Rev at PR ";#N/A,#N/A,FALSE,"Spec";#N/A,#N/A,FALSE,"Res";#N/A,#N/A,FALSE,"Small L&amp;P";#N/A,#N/A,FALSE,"Medium L&amp;P";#N/A,#N/A,FALSE,"E-19";#N/A,#N/A,FALSE,"E-20";#N/A,#N/A,FALSE,"Strtlts &amp; Standby";#N/A,#N/A,FALSE,"A-RTP";#N/A,#N/A,FALSE,"2003mixeduse"}</definedName>
    <definedName name="_huh2" hidden="1">{#N/A,#N/A,FALSE,"Dist Rev at PR ";#N/A,#N/A,FALSE,"Spec";#N/A,#N/A,FALSE,"Res";#N/A,#N/A,FALSE,"Small L&amp;P";#N/A,#N/A,FALSE,"Medium L&amp;P";#N/A,#N/A,FALSE,"E-19";#N/A,#N/A,FALSE,"E-20";#N/A,#N/A,FALSE,"Strtlts &amp; Standby";#N/A,#N/A,FALSE,"A-RTP";#N/A,#N/A,FALSE,"2003mixeduse"}</definedName>
    <definedName name="_SPV1">#REF!</definedName>
    <definedName name="_SPV3">#REF!</definedName>
    <definedName name="Actuals">#REF!</definedName>
    <definedName name="Aflag" localSheetId="10">#REF!</definedName>
    <definedName name="Aflag" localSheetId="17">#REF!</definedName>
    <definedName name="Aflag" localSheetId="15">#REF!</definedName>
    <definedName name="Aflag" localSheetId="14">#REF!</definedName>
    <definedName name="Aflag" localSheetId="16">#REF!</definedName>
    <definedName name="Aflag" localSheetId="9">#REF!</definedName>
    <definedName name="Aflag" localSheetId="12">#REF!</definedName>
    <definedName name="Aflag" localSheetId="11">#REF!</definedName>
    <definedName name="Aflag" localSheetId="1">#REF!</definedName>
    <definedName name="Aflag">#REF!</definedName>
    <definedName name="Aflag2" localSheetId="15">#REF!</definedName>
    <definedName name="Aflag2" localSheetId="14">#REF!</definedName>
    <definedName name="Aflag2" localSheetId="16">#REF!</definedName>
    <definedName name="Aflag2" localSheetId="12">#REF!</definedName>
    <definedName name="Aflag2" localSheetId="11">#REF!</definedName>
    <definedName name="Aflag2" localSheetId="1">#REF!</definedName>
    <definedName name="Aflag2">#REF!</definedName>
    <definedName name="again" localSheetId="10" hidden="1">{#N/A,#N/A,FALSE,"ND Rev at Pres Rates";#N/A,#N/A,FALSE,"Res - Unadj sales";#N/A,#N/A,FALSE,"Small L&amp;P";#N/A,#N/A,FALSE,"Medium L&amp;P";#N/A,#N/A,FALSE,"E-19";#N/A,#N/A,FALSE,"E-20";#N/A,#N/A,FALSE,"Strtlts &amp; Standby";#N/A,#N/A,FALSE,"AG";#N/A,#N/A,FALSE,"A-RTP";#N/A,#N/A,FALSE,"Spec"}</definedName>
    <definedName name="again" localSheetId="17" hidden="1">{#N/A,#N/A,FALSE,"ND Rev at Pres Rates";#N/A,#N/A,FALSE,"Res - Unadj sales";#N/A,#N/A,FALSE,"Small L&amp;P";#N/A,#N/A,FALSE,"Medium L&amp;P";#N/A,#N/A,FALSE,"E-19";#N/A,#N/A,FALSE,"E-20";#N/A,#N/A,FALSE,"Strtlts &amp; Standby";#N/A,#N/A,FALSE,"AG";#N/A,#N/A,FALSE,"A-RTP";#N/A,#N/A,FALSE,"Spec"}</definedName>
    <definedName name="again" localSheetId="9" hidden="1">{#N/A,#N/A,FALSE,"ND Rev at Pres Rates";#N/A,#N/A,FALSE,"Res - Unadj sales";#N/A,#N/A,FALSE,"Small L&amp;P";#N/A,#N/A,FALSE,"Medium L&amp;P";#N/A,#N/A,FALSE,"E-19";#N/A,#N/A,FALSE,"E-20";#N/A,#N/A,FALSE,"Strtlts &amp; Standby";#N/A,#N/A,FALSE,"AG";#N/A,#N/A,FALSE,"A-RTP";#N/A,#N/A,FALSE,"Spec"}</definedName>
    <definedName name="again" localSheetId="12" hidden="1">{#N/A,#N/A,FALSE,"ND Rev at Pres Rates";#N/A,#N/A,FALSE,"Res - Unadj sales";#N/A,#N/A,FALSE,"Small L&amp;P";#N/A,#N/A,FALSE,"Medium L&amp;P";#N/A,#N/A,FALSE,"E-19";#N/A,#N/A,FALSE,"E-20";#N/A,#N/A,FALSE,"Strtlts &amp; Standby";#N/A,#N/A,FALSE,"AG";#N/A,#N/A,FALSE,"A-RTP";#N/A,#N/A,FALSE,"Spec"}</definedName>
    <definedName name="again" localSheetId="11" hidden="1">{#N/A,#N/A,FALSE,"ND Rev at Pres Rates";#N/A,#N/A,FALSE,"Res - Unadj sales";#N/A,#N/A,FALSE,"Small L&amp;P";#N/A,#N/A,FALSE,"Medium L&amp;P";#N/A,#N/A,FALSE,"E-19";#N/A,#N/A,FALSE,"E-20";#N/A,#N/A,FALSE,"Strtlts &amp; Standby";#N/A,#N/A,FALSE,"AG";#N/A,#N/A,FALSE,"A-RTP";#N/A,#N/A,FALSE,"Spec"}</definedName>
    <definedName name="again" localSheetId="1" hidden="1">{#N/A,#N/A,FALSE,"ND Rev at Pres Rates";#N/A,#N/A,FALSE,"Res - Unadj sales";#N/A,#N/A,FALSE,"Small L&amp;P";#N/A,#N/A,FALSE,"Medium L&amp;P";#N/A,#N/A,FALSE,"E-19";#N/A,#N/A,FALSE,"E-20";#N/A,#N/A,FALSE,"Strtlts &amp; Standby";#N/A,#N/A,FALSE,"AG";#N/A,#N/A,FALSE,"A-RTP";#N/A,#N/A,FALSE,"Spec"}</definedName>
    <definedName name="again" hidden="1">{#N/A,#N/A,FALSE,"ND Rev at Pres Rates";#N/A,#N/A,FALSE,"Res - Unadj sales";#N/A,#N/A,FALSE,"Small L&amp;P";#N/A,#N/A,FALSE,"Medium L&amp;P";#N/A,#N/A,FALSE,"E-19";#N/A,#N/A,FALSE,"E-20";#N/A,#N/A,FALSE,"Strtlts &amp; Standby";#N/A,#N/A,FALSE,"AG";#N/A,#N/A,FALSE,"A-RTP";#N/A,#N/A,FALSE,"Spec"}</definedName>
    <definedName name="AIR">#REF!</definedName>
    <definedName name="Balancing_Authority">#REF!</definedName>
    <definedName name="BondsIssued">#REF!</definedName>
    <definedName name="Boolean">#REF!</definedName>
    <definedName name="bt_d">#REF!</definedName>
    <definedName name="Bundled_Unbundled">#REF!</definedName>
    <definedName name="CBond" localSheetId="10">#REF!</definedName>
    <definedName name="CBond" localSheetId="17">#REF!</definedName>
    <definedName name="CBond" localSheetId="15">#REF!</definedName>
    <definedName name="CBond" localSheetId="14">#REF!</definedName>
    <definedName name="CBond" localSheetId="16">#REF!</definedName>
    <definedName name="CBond" localSheetId="9">#REF!</definedName>
    <definedName name="CBond" localSheetId="12">#REF!</definedName>
    <definedName name="CBond" localSheetId="11">#REF!</definedName>
    <definedName name="CBond" localSheetId="1">#REF!</definedName>
    <definedName name="CBond">#REF!</definedName>
    <definedName name="CECRA" localSheetId="15">#REF!</definedName>
    <definedName name="CECRA" localSheetId="14">#REF!</definedName>
    <definedName name="CECRA" localSheetId="16">#REF!</definedName>
    <definedName name="CECRA" localSheetId="12">#REF!</definedName>
    <definedName name="CECRA" localSheetId="11">#REF!</definedName>
    <definedName name="CECRA" localSheetId="1">#REF!</definedName>
    <definedName name="CECRA">#REF!</definedName>
    <definedName name="Construction_Status">#REF!</definedName>
    <definedName name="copy" localSheetId="10" hidden="1">{#N/A,#N/A,FALSE,"Dist Rev at PR ";#N/A,#N/A,FALSE,"Spec";#N/A,#N/A,FALSE,"Res";#N/A,#N/A,FALSE,"Small L&amp;P";#N/A,#N/A,FALSE,"Medium L&amp;P";#N/A,#N/A,FALSE,"E-19";#N/A,#N/A,FALSE,"E-20";#N/A,#N/A,FALSE,"Strtlts &amp; Standby";#N/A,#N/A,FALSE,"A-RTP";#N/A,#N/A,FALSE,"2003mixeduse"}</definedName>
    <definedName name="copy" localSheetId="17" hidden="1">{#N/A,#N/A,FALSE,"Dist Rev at PR ";#N/A,#N/A,FALSE,"Spec";#N/A,#N/A,FALSE,"Res";#N/A,#N/A,FALSE,"Small L&amp;P";#N/A,#N/A,FALSE,"Medium L&amp;P";#N/A,#N/A,FALSE,"E-19";#N/A,#N/A,FALSE,"E-20";#N/A,#N/A,FALSE,"Strtlts &amp; Standby";#N/A,#N/A,FALSE,"A-RTP";#N/A,#N/A,FALSE,"2003mixeduse"}</definedName>
    <definedName name="copy" localSheetId="9" hidden="1">{#N/A,#N/A,FALSE,"Dist Rev at PR ";#N/A,#N/A,FALSE,"Spec";#N/A,#N/A,FALSE,"Res";#N/A,#N/A,FALSE,"Small L&amp;P";#N/A,#N/A,FALSE,"Medium L&amp;P";#N/A,#N/A,FALSE,"E-19";#N/A,#N/A,FALSE,"E-20";#N/A,#N/A,FALSE,"Strtlts &amp; Standby";#N/A,#N/A,FALSE,"A-RTP";#N/A,#N/A,FALSE,"2003mixeduse"}</definedName>
    <definedName name="copy" localSheetId="12" hidden="1">{#N/A,#N/A,FALSE,"Dist Rev at PR ";#N/A,#N/A,FALSE,"Spec";#N/A,#N/A,FALSE,"Res";#N/A,#N/A,FALSE,"Small L&amp;P";#N/A,#N/A,FALSE,"Medium L&amp;P";#N/A,#N/A,FALSE,"E-19";#N/A,#N/A,FALSE,"E-20";#N/A,#N/A,FALSE,"Strtlts &amp; Standby";#N/A,#N/A,FALSE,"A-RTP";#N/A,#N/A,FALSE,"2003mixeduse"}</definedName>
    <definedName name="copy" localSheetId="11" hidden="1">{#N/A,#N/A,FALSE,"Dist Rev at PR ";#N/A,#N/A,FALSE,"Spec";#N/A,#N/A,FALSE,"Res";#N/A,#N/A,FALSE,"Small L&amp;P";#N/A,#N/A,FALSE,"Medium L&amp;P";#N/A,#N/A,FALSE,"E-19";#N/A,#N/A,FALSE,"E-20";#N/A,#N/A,FALSE,"Strtlts &amp; Standby";#N/A,#N/A,FALSE,"A-RTP";#N/A,#N/A,FALSE,"2003mixeduse"}</definedName>
    <definedName name="copy" localSheetId="1" hidden="1">{#N/A,#N/A,FALSE,"Dist Rev at PR ";#N/A,#N/A,FALSE,"Spec";#N/A,#N/A,FALSE,"Res";#N/A,#N/A,FALSE,"Small L&amp;P";#N/A,#N/A,FALSE,"Medium L&amp;P";#N/A,#N/A,FALSE,"E-19";#N/A,#N/A,FALSE,"E-20";#N/A,#N/A,FALSE,"Strtlts &amp; Standby";#N/A,#N/A,FALSE,"A-RTP";#N/A,#N/A,FALSE,"2003mixeduse"}</definedName>
    <definedName name="copy" hidden="1">{#N/A,#N/A,FALSE,"Dist Rev at PR ";#N/A,#N/A,FALSE,"Spec";#N/A,#N/A,FALSE,"Res";#N/A,#N/A,FALSE,"Small L&amp;P";#N/A,#N/A,FALSE,"Medium L&amp;P";#N/A,#N/A,FALSE,"E-19";#N/A,#N/A,FALSE,"E-20";#N/A,#N/A,FALSE,"Strtlts &amp; Standby";#N/A,#N/A,FALSE,"A-RTP";#N/A,#N/A,FALSE,"2003mixeduse"}</definedName>
    <definedName name="copyprint" localSheetId="10" hidden="1">{#N/A,#N/A,FALSE,"Workpaper Tables 4-1 &amp; 4-2";#N/A,#N/A,FALSE,"Revenue Allocation Results";#N/A,#N/A,FALSE,"FERC Rev @ PR";#N/A,#N/A,FALSE,"Distribution Revenue Allocation";#N/A,#N/A,FALSE,"Nonallocated Revenues ";#N/A,#N/A,FALSE,"2000mixuse";#N/A,#N/A,FALSE,"MC Revenues- 00 sales, 96 MC's"}</definedName>
    <definedName name="copyprint" localSheetId="17" hidden="1">{#N/A,#N/A,FALSE,"Workpaper Tables 4-1 &amp; 4-2";#N/A,#N/A,FALSE,"Revenue Allocation Results";#N/A,#N/A,FALSE,"FERC Rev @ PR";#N/A,#N/A,FALSE,"Distribution Revenue Allocation";#N/A,#N/A,FALSE,"Nonallocated Revenues ";#N/A,#N/A,FALSE,"2000mixuse";#N/A,#N/A,FALSE,"MC Revenues- 00 sales, 96 MC's"}</definedName>
    <definedName name="copyprint" localSheetId="9" hidden="1">{#N/A,#N/A,FALSE,"Workpaper Tables 4-1 &amp; 4-2";#N/A,#N/A,FALSE,"Revenue Allocation Results";#N/A,#N/A,FALSE,"FERC Rev @ PR";#N/A,#N/A,FALSE,"Distribution Revenue Allocation";#N/A,#N/A,FALSE,"Nonallocated Revenues ";#N/A,#N/A,FALSE,"2000mixuse";#N/A,#N/A,FALSE,"MC Revenues- 00 sales, 96 MC's"}</definedName>
    <definedName name="copyprint" localSheetId="12" hidden="1">{#N/A,#N/A,FALSE,"Workpaper Tables 4-1 &amp; 4-2";#N/A,#N/A,FALSE,"Revenue Allocation Results";#N/A,#N/A,FALSE,"FERC Rev @ PR";#N/A,#N/A,FALSE,"Distribution Revenue Allocation";#N/A,#N/A,FALSE,"Nonallocated Revenues ";#N/A,#N/A,FALSE,"2000mixuse";#N/A,#N/A,FALSE,"MC Revenues- 00 sales, 96 MC's"}</definedName>
    <definedName name="copyprint" localSheetId="11" hidden="1">{#N/A,#N/A,FALSE,"Workpaper Tables 4-1 &amp; 4-2";#N/A,#N/A,FALSE,"Revenue Allocation Results";#N/A,#N/A,FALSE,"FERC Rev @ PR";#N/A,#N/A,FALSE,"Distribution Revenue Allocation";#N/A,#N/A,FALSE,"Nonallocated Revenues ";#N/A,#N/A,FALSE,"2000mixuse";#N/A,#N/A,FALSE,"MC Revenues- 00 sales, 96 MC's"}</definedName>
    <definedName name="copyprint" localSheetId="1" hidden="1">{#N/A,#N/A,FALSE,"Workpaper Tables 4-1 &amp; 4-2";#N/A,#N/A,FALSE,"Revenue Allocation Results";#N/A,#N/A,FALSE,"FERC Rev @ PR";#N/A,#N/A,FALSE,"Distribution Revenue Allocation";#N/A,#N/A,FALSE,"Nonallocated Revenues ";#N/A,#N/A,FALSE,"2000mixuse";#N/A,#N/A,FALSE,"MC Revenues- 00 sales, 96 MC's"}</definedName>
    <definedName name="copyprint" hidden="1">{#N/A,#N/A,FALSE,"Workpaper Tables 4-1 &amp; 4-2";#N/A,#N/A,FALSE,"Revenue Allocation Results";#N/A,#N/A,FALSE,"FERC Rev @ PR";#N/A,#N/A,FALSE,"Distribution Revenue Allocation";#N/A,#N/A,FALSE,"Nonallocated Revenues ";#N/A,#N/A,FALSE,"2000mixuse";#N/A,#N/A,FALSE,"MC Revenues- 00 sales, 96 MC's"}</definedName>
    <definedName name="copyrap" localSheetId="10"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localSheetId="1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localSheetId="9"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evalloc" localSheetId="10" hidden="1">{#N/A,#N/A,FALSE,"RRQ inputs ";#N/A,#N/A,FALSE,"FERC Rev @ PR";#N/A,#N/A,FALSE,"Distribution Revenue Allocation";#N/A,#N/A,FALSE,"Nonallocated Revenues";#N/A,#N/A,FALSE,"MC Revenues-03 sales, 96 MC's";#N/A,#N/A,FALSE,"FTA"}</definedName>
    <definedName name="copyrevalloc" localSheetId="17" hidden="1">{#N/A,#N/A,FALSE,"RRQ inputs ";#N/A,#N/A,FALSE,"FERC Rev @ PR";#N/A,#N/A,FALSE,"Distribution Revenue Allocation";#N/A,#N/A,FALSE,"Nonallocated Revenues";#N/A,#N/A,FALSE,"MC Revenues-03 sales, 96 MC's";#N/A,#N/A,FALSE,"FTA"}</definedName>
    <definedName name="copyrevalloc" localSheetId="9" hidden="1">{#N/A,#N/A,FALSE,"RRQ inputs ";#N/A,#N/A,FALSE,"FERC Rev @ PR";#N/A,#N/A,FALSE,"Distribution Revenue Allocation";#N/A,#N/A,FALSE,"Nonallocated Revenues";#N/A,#N/A,FALSE,"MC Revenues-03 sales, 96 MC's";#N/A,#N/A,FALSE,"FTA"}</definedName>
    <definedName name="copyrevalloc" localSheetId="12" hidden="1">{#N/A,#N/A,FALSE,"RRQ inputs ";#N/A,#N/A,FALSE,"FERC Rev @ PR";#N/A,#N/A,FALSE,"Distribution Revenue Allocation";#N/A,#N/A,FALSE,"Nonallocated Revenues";#N/A,#N/A,FALSE,"MC Revenues-03 sales, 96 MC's";#N/A,#N/A,FALSE,"FTA"}</definedName>
    <definedName name="copyrevalloc" localSheetId="11" hidden="1">{#N/A,#N/A,FALSE,"RRQ inputs ";#N/A,#N/A,FALSE,"FERC Rev @ PR";#N/A,#N/A,FALSE,"Distribution Revenue Allocation";#N/A,#N/A,FALSE,"Nonallocated Revenues";#N/A,#N/A,FALSE,"MC Revenues-03 sales, 96 MC's";#N/A,#N/A,FALSE,"FTA"}</definedName>
    <definedName name="copyrevalloc" localSheetId="1" hidden="1">{#N/A,#N/A,FALSE,"RRQ inputs ";#N/A,#N/A,FALSE,"FERC Rev @ PR";#N/A,#N/A,FALSE,"Distribution Revenue Allocation";#N/A,#N/A,FALSE,"Nonallocated Revenues";#N/A,#N/A,FALSE,"MC Revenues-03 sales, 96 MC's";#N/A,#N/A,FALSE,"FTA"}</definedName>
    <definedName name="copyrevalloc" hidden="1">{#N/A,#N/A,FALSE,"RRQ inputs ";#N/A,#N/A,FALSE,"FERC Rev @ PR";#N/A,#N/A,FALSE,"Distribution Revenue Allocation";#N/A,#N/A,FALSE,"Nonallocated Revenues";#N/A,#N/A,FALSE,"MC Revenues-03 sales, 96 MC's";#N/A,#N/A,FALSE,"FTA"}</definedName>
    <definedName name="copyschudel" localSheetId="10" hidden="1">{#N/A,#N/A,FALSE,"ND Rev at Pres Rates";#N/A,#N/A,FALSE,"Res - Unadj";#N/A,#N/A,FALSE,"Small L&amp;P";#N/A,#N/A,FALSE,"Medium L&amp;P";#N/A,#N/A,FALSE,"E-19";#N/A,#N/A,FALSE,"E-20";#N/A,#N/A,FALSE,"A-RTP";#N/A,#N/A,FALSE,"Strtlts &amp; Standby";#N/A,#N/A,FALSE,"AG";#N/A,#N/A,FALSE,"2001mixeduse"}</definedName>
    <definedName name="copyschudel" localSheetId="17" hidden="1">{#N/A,#N/A,FALSE,"ND Rev at Pres Rates";#N/A,#N/A,FALSE,"Res - Unadj";#N/A,#N/A,FALSE,"Small L&amp;P";#N/A,#N/A,FALSE,"Medium L&amp;P";#N/A,#N/A,FALSE,"E-19";#N/A,#N/A,FALSE,"E-20";#N/A,#N/A,FALSE,"A-RTP";#N/A,#N/A,FALSE,"Strtlts &amp; Standby";#N/A,#N/A,FALSE,"AG";#N/A,#N/A,FALSE,"2001mixeduse"}</definedName>
    <definedName name="copyschudel" localSheetId="9" hidden="1">{#N/A,#N/A,FALSE,"ND Rev at Pres Rates";#N/A,#N/A,FALSE,"Res - Unadj";#N/A,#N/A,FALSE,"Small L&amp;P";#N/A,#N/A,FALSE,"Medium L&amp;P";#N/A,#N/A,FALSE,"E-19";#N/A,#N/A,FALSE,"E-20";#N/A,#N/A,FALSE,"A-RTP";#N/A,#N/A,FALSE,"Strtlts &amp; Standby";#N/A,#N/A,FALSE,"AG";#N/A,#N/A,FALSE,"2001mixeduse"}</definedName>
    <definedName name="copyschudel" localSheetId="12" hidden="1">{#N/A,#N/A,FALSE,"ND Rev at Pres Rates";#N/A,#N/A,FALSE,"Res - Unadj";#N/A,#N/A,FALSE,"Small L&amp;P";#N/A,#N/A,FALSE,"Medium L&amp;P";#N/A,#N/A,FALSE,"E-19";#N/A,#N/A,FALSE,"E-20";#N/A,#N/A,FALSE,"A-RTP";#N/A,#N/A,FALSE,"Strtlts &amp; Standby";#N/A,#N/A,FALSE,"AG";#N/A,#N/A,FALSE,"2001mixeduse"}</definedName>
    <definedName name="copyschudel" localSheetId="11" hidden="1">{#N/A,#N/A,FALSE,"ND Rev at Pres Rates";#N/A,#N/A,FALSE,"Res - Unadj";#N/A,#N/A,FALSE,"Small L&amp;P";#N/A,#N/A,FALSE,"Medium L&amp;P";#N/A,#N/A,FALSE,"E-19";#N/A,#N/A,FALSE,"E-20";#N/A,#N/A,FALSE,"A-RTP";#N/A,#N/A,FALSE,"Strtlts &amp; Standby";#N/A,#N/A,FALSE,"AG";#N/A,#N/A,FALSE,"2001mixeduse"}</definedName>
    <definedName name="copyschudel" localSheetId="1" hidden="1">{#N/A,#N/A,FALSE,"ND Rev at Pres Rates";#N/A,#N/A,FALSE,"Res - Unadj";#N/A,#N/A,FALSE,"Small L&amp;P";#N/A,#N/A,FALSE,"Medium L&amp;P";#N/A,#N/A,FALSE,"E-19";#N/A,#N/A,FALSE,"E-20";#N/A,#N/A,FALSE,"A-RTP";#N/A,#N/A,FALSE,"Strtlts &amp; Standby";#N/A,#N/A,FALSE,"AG";#N/A,#N/A,FALSE,"2001mixeduse"}</definedName>
    <definedName name="copyschudel" hidden="1">{#N/A,#N/A,FALSE,"ND Rev at Pres Rates";#N/A,#N/A,FALSE,"Res - Unadj";#N/A,#N/A,FALSE,"Small L&amp;P";#N/A,#N/A,FALSE,"Medium L&amp;P";#N/A,#N/A,FALSE,"E-19";#N/A,#N/A,FALSE,"E-20";#N/A,#N/A,FALSE,"A-RTP";#N/A,#N/A,FALSE,"Strtlts &amp; Standby";#N/A,#N/A,FALSE,"AG";#N/A,#N/A,FALSE,"2001mixeduse"}</definedName>
    <definedName name="CORE_U" localSheetId="10">#REF!</definedName>
    <definedName name="CORE_U" localSheetId="17">#REF!</definedName>
    <definedName name="CORE_U" localSheetId="15">#REF!</definedName>
    <definedName name="CORE_U" localSheetId="14">#REF!</definedName>
    <definedName name="CORE_U" localSheetId="16">#REF!</definedName>
    <definedName name="CORE_U" localSheetId="9">#REF!</definedName>
    <definedName name="CORE_U" localSheetId="12">#REF!</definedName>
    <definedName name="CORE_U" localSheetId="11">#REF!</definedName>
    <definedName name="CORE_U" localSheetId="1">#REF!</definedName>
    <definedName name="CORE_U">#REF!</definedName>
    <definedName name="Country">#REF!</definedName>
    <definedName name="CPUC_Approval_Status">#REF!</definedName>
    <definedName name="CREZ">#REF!</definedName>
    <definedName name="CTAC" localSheetId="10">#REF!</definedName>
    <definedName name="CTAC" localSheetId="17">#REF!</definedName>
    <definedName name="CTAC" localSheetId="15">#REF!</definedName>
    <definedName name="CTAC" localSheetId="14">#REF!</definedName>
    <definedName name="CTAC" localSheetId="16">#REF!</definedName>
    <definedName name="CTAC" localSheetId="9">#REF!</definedName>
    <definedName name="CTAC" localSheetId="12">#REF!</definedName>
    <definedName name="CTAC" localSheetId="11">#REF!</definedName>
    <definedName name="CTAC" localSheetId="1">#REF!</definedName>
    <definedName name="CTAC">#REF!</definedName>
    <definedName name="CTRBA" localSheetId="15">#REF!</definedName>
    <definedName name="CTRBA" localSheetId="14">#REF!</definedName>
    <definedName name="CTRBA" localSheetId="16">#REF!</definedName>
    <definedName name="CTRBA" localSheetId="12">#REF!</definedName>
    <definedName name="CTRBA" localSheetId="11">#REF!</definedName>
    <definedName name="CTRBA" localSheetId="1">#REF!</definedName>
    <definedName name="CTRBA">#REF!</definedName>
    <definedName name="DACRS" localSheetId="10">SUM(#REF!)</definedName>
    <definedName name="DACRS" localSheetId="17">SUM(#REF!)</definedName>
    <definedName name="DACRS" localSheetId="15">SUM(#REF!)</definedName>
    <definedName name="DACRS" localSheetId="14">SUM(#REF!)</definedName>
    <definedName name="DACRS" localSheetId="16">SUM(#REF!)</definedName>
    <definedName name="DACRS" localSheetId="9">SUM(#REF!)</definedName>
    <definedName name="DACRS" localSheetId="12">SUM(#REF!)</definedName>
    <definedName name="DACRS" localSheetId="11">SUM(#REF!)</definedName>
    <definedName name="DACRS" localSheetId="1">SUM(#REF!)</definedName>
    <definedName name="DACRS">SUM(#REF!)</definedName>
    <definedName name="_xlnm.Database" localSheetId="15">#REF!</definedName>
    <definedName name="_xlnm.Database" localSheetId="14">#REF!</definedName>
    <definedName name="_xlnm.Database" localSheetId="16">#REF!</definedName>
    <definedName name="_xlnm.Database" localSheetId="12">#REF!</definedName>
    <definedName name="_xlnm.Database" localSheetId="11">#REF!</definedName>
    <definedName name="_xlnm.Database">#REF!</definedName>
    <definedName name="Dchoice" localSheetId="15">#REF!</definedName>
    <definedName name="Dchoice" localSheetId="14">#REF!</definedName>
    <definedName name="Dchoice" localSheetId="16">#REF!</definedName>
    <definedName name="Dchoice" localSheetId="12">#REF!</definedName>
    <definedName name="Dchoice" localSheetId="11">#REF!</definedName>
    <definedName name="Dchoice" localSheetId="1">#REF!</definedName>
    <definedName name="Dchoice">#REF!</definedName>
    <definedName name="Delay_Termination_Reason">#REF!</definedName>
    <definedName name="DeliverabilityStatusOptions">#REF!</definedName>
    <definedName name="Distflag" localSheetId="10">#REF!</definedName>
    <definedName name="Distflag" localSheetId="17">#REF!</definedName>
    <definedName name="Distflag" localSheetId="15">#REF!</definedName>
    <definedName name="Distflag" localSheetId="14">#REF!</definedName>
    <definedName name="Distflag" localSheetId="16">#REF!</definedName>
    <definedName name="Distflag" localSheetId="9">#REF!</definedName>
    <definedName name="Distflag" localSheetId="12">#REF!</definedName>
    <definedName name="Distflag" localSheetId="11">#REF!</definedName>
    <definedName name="Distflag" localSheetId="1">#REF!</definedName>
    <definedName name="Distflag">#REF!</definedName>
    <definedName name="Dmdmult" localSheetId="15">#REF!</definedName>
    <definedName name="Dmdmult" localSheetId="14">#REF!</definedName>
    <definedName name="Dmdmult" localSheetId="16">#REF!</definedName>
    <definedName name="Dmdmult" localSheetId="12">#REF!</definedName>
    <definedName name="Dmdmult" localSheetId="11">#REF!</definedName>
    <definedName name="Dmdmult" localSheetId="1">#REF!</definedName>
    <definedName name="Dmdmult">#REF!</definedName>
    <definedName name="EPC_Contract_Status">#REF!</definedName>
    <definedName name="F_E">#REF!</definedName>
    <definedName name="Facility_Status">#REF!</definedName>
    <definedName name="FAIR">#REF!</definedName>
    <definedName name="FBUILD">#REF!</definedName>
    <definedName name="FCOMM">#REF!</definedName>
    <definedName name="FCOMP">#REF!</definedName>
    <definedName name="Financing_Status">#REF!</definedName>
    <definedName name="Flat" localSheetId="10">#REF!</definedName>
    <definedName name="Flat" localSheetId="17">#REF!</definedName>
    <definedName name="Flat" localSheetId="15">#REF!</definedName>
    <definedName name="Flat" localSheetId="14">#REF!</definedName>
    <definedName name="Flat" localSheetId="16">#REF!</definedName>
    <definedName name="Flat" localSheetId="9">#REF!</definedName>
    <definedName name="Flat" localSheetId="12">#REF!</definedName>
    <definedName name="Flat" localSheetId="11">#REF!</definedName>
    <definedName name="Flat" localSheetId="1">#REF!</definedName>
    <definedName name="Flat">#REF!</definedName>
    <definedName name="FM">#REF!</definedName>
    <definedName name="FOPROD">#REF!</definedName>
    <definedName name="FSONG2">#REF!</definedName>
    <definedName name="FSTEAM">#REF!</definedName>
    <definedName name="FT_D">#REF!</definedName>
    <definedName name="gsur">#REF!</definedName>
    <definedName name="head1" localSheetId="10">#REF!</definedName>
    <definedName name="head1" localSheetId="17">#REF!</definedName>
    <definedName name="head1" localSheetId="15">#REF!</definedName>
    <definedName name="head1" localSheetId="14">#REF!</definedName>
    <definedName name="head1" localSheetId="16">#REF!</definedName>
    <definedName name="head1" localSheetId="9">#REF!</definedName>
    <definedName name="head1" localSheetId="12">#REF!</definedName>
    <definedName name="head1" localSheetId="11">#REF!</definedName>
    <definedName name="head1" localSheetId="1">#REF!</definedName>
    <definedName name="head1">#REF!</definedName>
    <definedName name="head10" localSheetId="15">#REF!</definedName>
    <definedName name="head10" localSheetId="14">#REF!</definedName>
    <definedName name="head10" localSheetId="16">#REF!</definedName>
    <definedName name="head10" localSheetId="12">#REF!</definedName>
    <definedName name="head10" localSheetId="11">#REF!</definedName>
    <definedName name="head10" localSheetId="1">#REF!</definedName>
    <definedName name="head10">#REF!</definedName>
    <definedName name="head11" localSheetId="15">#REF!</definedName>
    <definedName name="head11" localSheetId="14">#REF!</definedName>
    <definedName name="head11" localSheetId="16">#REF!</definedName>
    <definedName name="head11" localSheetId="12">#REF!</definedName>
    <definedName name="head11" localSheetId="11">#REF!</definedName>
    <definedName name="head11" localSheetId="1">#REF!</definedName>
    <definedName name="head11">#REF!</definedName>
    <definedName name="head2" localSheetId="15">#REF!</definedName>
    <definedName name="head2" localSheetId="14">#REF!</definedName>
    <definedName name="head2" localSheetId="16">#REF!</definedName>
    <definedName name="head2" localSheetId="12">#REF!</definedName>
    <definedName name="head2" localSheetId="11">#REF!</definedName>
    <definedName name="head2" localSheetId="1">#REF!</definedName>
    <definedName name="head2">#REF!</definedName>
    <definedName name="head3" localSheetId="15">#REF!</definedName>
    <definedName name="head3" localSheetId="14">#REF!</definedName>
    <definedName name="head3" localSheetId="16">#REF!</definedName>
    <definedName name="head3" localSheetId="12">#REF!</definedName>
    <definedName name="head3" localSheetId="11">#REF!</definedName>
    <definedName name="head3" localSheetId="1">#REF!</definedName>
    <definedName name="head3">#REF!</definedName>
    <definedName name="head4" localSheetId="15">#REF!</definedName>
    <definedName name="head4" localSheetId="14">#REF!</definedName>
    <definedName name="head4" localSheetId="16">#REF!</definedName>
    <definedName name="head4" localSheetId="12">#REF!</definedName>
    <definedName name="head4" localSheetId="11">#REF!</definedName>
    <definedName name="head4" localSheetId="1">#REF!</definedName>
    <definedName name="head4">#REF!</definedName>
    <definedName name="head5" localSheetId="15">#REF!</definedName>
    <definedName name="head5" localSheetId="14">#REF!</definedName>
    <definedName name="head5" localSheetId="16">#REF!</definedName>
    <definedName name="head5" localSheetId="12">#REF!</definedName>
    <definedName name="head5" localSheetId="11">#REF!</definedName>
    <definedName name="head5" localSheetId="1">#REF!</definedName>
    <definedName name="head5">#REF!</definedName>
    <definedName name="head6" localSheetId="15">#REF!</definedName>
    <definedName name="head6" localSheetId="14">#REF!</definedName>
    <definedName name="head6" localSheetId="16">#REF!</definedName>
    <definedName name="head6" localSheetId="12">#REF!</definedName>
    <definedName name="head6" localSheetId="11">#REF!</definedName>
    <definedName name="head6" localSheetId="1">#REF!</definedName>
    <definedName name="head6">#REF!</definedName>
    <definedName name="head7" localSheetId="15">#REF!</definedName>
    <definedName name="head7" localSheetId="14">#REF!</definedName>
    <definedName name="head7" localSheetId="16">#REF!</definedName>
    <definedName name="head7" localSheetId="12">#REF!</definedName>
    <definedName name="head7" localSheetId="11">#REF!</definedName>
    <definedName name="head7" localSheetId="1">#REF!</definedName>
    <definedName name="head7">#REF!</definedName>
    <definedName name="head8" localSheetId="15">#REF!</definedName>
    <definedName name="head8" localSheetId="14">#REF!</definedName>
    <definedName name="head8" localSheetId="16">#REF!</definedName>
    <definedName name="head8" localSheetId="12">#REF!</definedName>
    <definedName name="head8" localSheetId="11">#REF!</definedName>
    <definedName name="head8" localSheetId="1">#REF!</definedName>
    <definedName name="head8">#REF!</definedName>
    <definedName name="head9" localSheetId="15">#REF!</definedName>
    <definedName name="head9" localSheetId="14">#REF!</definedName>
    <definedName name="head9" localSheetId="16">#REF!</definedName>
    <definedName name="head9" localSheetId="12">#REF!</definedName>
    <definedName name="head9" localSheetId="11">#REF!</definedName>
    <definedName name="head9" localSheetId="1">#REF!</definedName>
    <definedName name="head9">#REF!</definedName>
    <definedName name="HTML_CodePage" hidden="1">1252</definedName>
    <definedName name="HTML_Description" hidden="1">""</definedName>
    <definedName name="HTML_Email" hidden="1">""</definedName>
    <definedName name="HTML_Header" hidden="1">""</definedName>
    <definedName name="HTML_LastUpdate" hidden="1">"10/13/1999"</definedName>
    <definedName name="HTML_LineAfter" hidden="1">FALSE</definedName>
    <definedName name="HTML_LineBefore" hidden="1">FALSE</definedName>
    <definedName name="HTML_Name" hidden="1">"Sharim Chaudhury"</definedName>
    <definedName name="HTML_OBDlg2" hidden="1">TRUE</definedName>
    <definedName name="HTML_OBDlg4" hidden="1">TRUE</definedName>
    <definedName name="HTML_OS" hidden="1">0</definedName>
    <definedName name="HTML_PathFile" hidden="1">"W:\19991013\default.htm"</definedName>
    <definedName name="HTML_Title" hidden="1">"Daily MTM  Report"</definedName>
    <definedName name="huh" localSheetId="10" hidden="1">{#N/A,#N/A,FALSE,"Dist Rev at PR ";#N/A,#N/A,FALSE,"Spec";#N/A,#N/A,FALSE,"Res";#N/A,#N/A,FALSE,"Small L&amp;P";#N/A,#N/A,FALSE,"Medium L&amp;P";#N/A,#N/A,FALSE,"E-19";#N/A,#N/A,FALSE,"E-20";#N/A,#N/A,FALSE,"Strtlts &amp; Standby";#N/A,#N/A,FALSE,"A-RTP";#N/A,#N/A,FALSE,"2003mixeduse"}</definedName>
    <definedName name="huh" localSheetId="17" hidden="1">{#N/A,#N/A,FALSE,"Dist Rev at PR ";#N/A,#N/A,FALSE,"Spec";#N/A,#N/A,FALSE,"Res";#N/A,#N/A,FALSE,"Small L&amp;P";#N/A,#N/A,FALSE,"Medium L&amp;P";#N/A,#N/A,FALSE,"E-19";#N/A,#N/A,FALSE,"E-20";#N/A,#N/A,FALSE,"Strtlts &amp; Standby";#N/A,#N/A,FALSE,"A-RTP";#N/A,#N/A,FALSE,"2003mixeduse"}</definedName>
    <definedName name="huh" localSheetId="9" hidden="1">{#N/A,#N/A,FALSE,"Dist Rev at PR ";#N/A,#N/A,FALSE,"Spec";#N/A,#N/A,FALSE,"Res";#N/A,#N/A,FALSE,"Small L&amp;P";#N/A,#N/A,FALSE,"Medium L&amp;P";#N/A,#N/A,FALSE,"E-19";#N/A,#N/A,FALSE,"E-20";#N/A,#N/A,FALSE,"Strtlts &amp; Standby";#N/A,#N/A,FALSE,"A-RTP";#N/A,#N/A,FALSE,"2003mixeduse"}</definedName>
    <definedName name="huh" localSheetId="12" hidden="1">{#N/A,#N/A,FALSE,"Dist Rev at PR ";#N/A,#N/A,FALSE,"Spec";#N/A,#N/A,FALSE,"Res";#N/A,#N/A,FALSE,"Small L&amp;P";#N/A,#N/A,FALSE,"Medium L&amp;P";#N/A,#N/A,FALSE,"E-19";#N/A,#N/A,FALSE,"E-20";#N/A,#N/A,FALSE,"Strtlts &amp; Standby";#N/A,#N/A,FALSE,"A-RTP";#N/A,#N/A,FALSE,"2003mixeduse"}</definedName>
    <definedName name="huh" localSheetId="11" hidden="1">{#N/A,#N/A,FALSE,"Dist Rev at PR ";#N/A,#N/A,FALSE,"Spec";#N/A,#N/A,FALSE,"Res";#N/A,#N/A,FALSE,"Small L&amp;P";#N/A,#N/A,FALSE,"Medium L&amp;P";#N/A,#N/A,FALSE,"E-19";#N/A,#N/A,FALSE,"E-20";#N/A,#N/A,FALSE,"Strtlts &amp; Standby";#N/A,#N/A,FALSE,"A-RTP";#N/A,#N/A,FALSE,"2003mixeduse"}</definedName>
    <definedName name="huh" localSheetId="1" hidden="1">{#N/A,#N/A,FALSE,"Dist Rev at PR ";#N/A,#N/A,FALSE,"Spec";#N/A,#N/A,FALSE,"Res";#N/A,#N/A,FALSE,"Small L&amp;P";#N/A,#N/A,FALSE,"Medium L&amp;P";#N/A,#N/A,FALSE,"E-19";#N/A,#N/A,FALSE,"E-20";#N/A,#N/A,FALSE,"Strtlts &amp; Standby";#N/A,#N/A,FALSE,"A-RTP";#N/A,#N/A,FALSE,"2003mixeduse"}</definedName>
    <definedName name="huh" hidden="1">{#N/A,#N/A,FALSE,"Dist Rev at PR ";#N/A,#N/A,FALSE,"Spec";#N/A,#N/A,FALSE,"Res";#N/A,#N/A,FALSE,"Small L&amp;P";#N/A,#N/A,FALSE,"Medium L&amp;P";#N/A,#N/A,FALSE,"E-19";#N/A,#N/A,FALSE,"E-20";#N/A,#N/A,FALSE,"Strtlts &amp; Standby";#N/A,#N/A,FALSE,"A-RTP";#N/A,#N/A,FALSE,"2003mixeduse"}</definedName>
    <definedName name="huhnd" localSheetId="10" hidden="1">{#N/A,#N/A,FALSE,"ND Rev at Pres Rates";#N/A,#N/A,FALSE,"Res - Unadj sales";#N/A,#N/A,FALSE,"Small L&amp;P";#N/A,#N/A,FALSE,"Medium L&amp;P";#N/A,#N/A,FALSE,"E-19";#N/A,#N/A,FALSE,"E-20";#N/A,#N/A,FALSE,"Strtlts &amp; Standby";#N/A,#N/A,FALSE,"AG";#N/A,#N/A,FALSE,"A-RTP";#N/A,#N/A,FALSE,"Spec"}</definedName>
    <definedName name="huhnd" localSheetId="17" hidden="1">{#N/A,#N/A,FALSE,"ND Rev at Pres Rates";#N/A,#N/A,FALSE,"Res - Unadj sales";#N/A,#N/A,FALSE,"Small L&amp;P";#N/A,#N/A,FALSE,"Medium L&amp;P";#N/A,#N/A,FALSE,"E-19";#N/A,#N/A,FALSE,"E-20";#N/A,#N/A,FALSE,"Strtlts &amp; Standby";#N/A,#N/A,FALSE,"AG";#N/A,#N/A,FALSE,"A-RTP";#N/A,#N/A,FALSE,"Spec"}</definedName>
    <definedName name="huhnd" localSheetId="9" hidden="1">{#N/A,#N/A,FALSE,"ND Rev at Pres Rates";#N/A,#N/A,FALSE,"Res - Unadj sales";#N/A,#N/A,FALSE,"Small L&amp;P";#N/A,#N/A,FALSE,"Medium L&amp;P";#N/A,#N/A,FALSE,"E-19";#N/A,#N/A,FALSE,"E-20";#N/A,#N/A,FALSE,"Strtlts &amp; Standby";#N/A,#N/A,FALSE,"AG";#N/A,#N/A,FALSE,"A-RTP";#N/A,#N/A,FALSE,"Spec"}</definedName>
    <definedName name="huhnd" localSheetId="12" hidden="1">{#N/A,#N/A,FALSE,"ND Rev at Pres Rates";#N/A,#N/A,FALSE,"Res - Unadj sales";#N/A,#N/A,FALSE,"Small L&amp;P";#N/A,#N/A,FALSE,"Medium L&amp;P";#N/A,#N/A,FALSE,"E-19";#N/A,#N/A,FALSE,"E-20";#N/A,#N/A,FALSE,"Strtlts &amp; Standby";#N/A,#N/A,FALSE,"AG";#N/A,#N/A,FALSE,"A-RTP";#N/A,#N/A,FALSE,"Spec"}</definedName>
    <definedName name="huhnd" localSheetId="11" hidden="1">{#N/A,#N/A,FALSE,"ND Rev at Pres Rates";#N/A,#N/A,FALSE,"Res - Unadj sales";#N/A,#N/A,FALSE,"Small L&amp;P";#N/A,#N/A,FALSE,"Medium L&amp;P";#N/A,#N/A,FALSE,"E-19";#N/A,#N/A,FALSE,"E-20";#N/A,#N/A,FALSE,"Strtlts &amp; Standby";#N/A,#N/A,FALSE,"AG";#N/A,#N/A,FALSE,"A-RTP";#N/A,#N/A,FALSE,"Spec"}</definedName>
    <definedName name="huhnd" localSheetId="1" hidden="1">{#N/A,#N/A,FALSE,"ND Rev at Pres Rates";#N/A,#N/A,FALSE,"Res - Unadj sales";#N/A,#N/A,FALSE,"Small L&amp;P";#N/A,#N/A,FALSE,"Medium L&amp;P";#N/A,#N/A,FALSE,"E-19";#N/A,#N/A,FALSE,"E-20";#N/A,#N/A,FALSE,"Strtlts &amp; Standby";#N/A,#N/A,FALSE,"AG";#N/A,#N/A,FALSE,"A-RTP";#N/A,#N/A,FALSE,"Spec"}</definedName>
    <definedName name="huhnd" hidden="1">{#N/A,#N/A,FALSE,"ND Rev at Pres Rates";#N/A,#N/A,FALSE,"Res - Unadj sales";#N/A,#N/A,FALSE,"Small L&amp;P";#N/A,#N/A,FALSE,"Medium L&amp;P";#N/A,#N/A,FALSE,"E-19";#N/A,#N/A,FALSE,"E-20";#N/A,#N/A,FALSE,"Strtlts &amp; Standby";#N/A,#N/A,FALSE,"AG";#N/A,#N/A,FALSE,"A-RTP";#N/A,#N/A,FALSE,"Spec"}</definedName>
    <definedName name="huhnd2" localSheetId="10" hidden="1">{#N/A,#N/A,FALSE,"ND Rev at Pres Rates";#N/A,#N/A,FALSE,"Res - Unadj sales";#N/A,#N/A,FALSE,"Small L&amp;P";#N/A,#N/A,FALSE,"Medium L&amp;P";#N/A,#N/A,FALSE,"E-19";#N/A,#N/A,FALSE,"E-20";#N/A,#N/A,FALSE,"Strtlts &amp; Standby";#N/A,#N/A,FALSE,"AG";#N/A,#N/A,FALSE,"A-RTP";#N/A,#N/A,FALSE,"Spec"}</definedName>
    <definedName name="huhnd2" localSheetId="17" hidden="1">{#N/A,#N/A,FALSE,"ND Rev at Pres Rates";#N/A,#N/A,FALSE,"Res - Unadj sales";#N/A,#N/A,FALSE,"Small L&amp;P";#N/A,#N/A,FALSE,"Medium L&amp;P";#N/A,#N/A,FALSE,"E-19";#N/A,#N/A,FALSE,"E-20";#N/A,#N/A,FALSE,"Strtlts &amp; Standby";#N/A,#N/A,FALSE,"AG";#N/A,#N/A,FALSE,"A-RTP";#N/A,#N/A,FALSE,"Spec"}</definedName>
    <definedName name="huhnd2" localSheetId="9" hidden="1">{#N/A,#N/A,FALSE,"ND Rev at Pres Rates";#N/A,#N/A,FALSE,"Res - Unadj sales";#N/A,#N/A,FALSE,"Small L&amp;P";#N/A,#N/A,FALSE,"Medium L&amp;P";#N/A,#N/A,FALSE,"E-19";#N/A,#N/A,FALSE,"E-20";#N/A,#N/A,FALSE,"Strtlts &amp; Standby";#N/A,#N/A,FALSE,"AG";#N/A,#N/A,FALSE,"A-RTP";#N/A,#N/A,FALSE,"Spec"}</definedName>
    <definedName name="huhnd2" localSheetId="12" hidden="1">{#N/A,#N/A,FALSE,"ND Rev at Pres Rates";#N/A,#N/A,FALSE,"Res - Unadj sales";#N/A,#N/A,FALSE,"Small L&amp;P";#N/A,#N/A,FALSE,"Medium L&amp;P";#N/A,#N/A,FALSE,"E-19";#N/A,#N/A,FALSE,"E-20";#N/A,#N/A,FALSE,"Strtlts &amp; Standby";#N/A,#N/A,FALSE,"AG";#N/A,#N/A,FALSE,"A-RTP";#N/A,#N/A,FALSE,"Spec"}</definedName>
    <definedName name="huhnd2" localSheetId="11" hidden="1">{#N/A,#N/A,FALSE,"ND Rev at Pres Rates";#N/A,#N/A,FALSE,"Res - Unadj sales";#N/A,#N/A,FALSE,"Small L&amp;P";#N/A,#N/A,FALSE,"Medium L&amp;P";#N/A,#N/A,FALSE,"E-19";#N/A,#N/A,FALSE,"E-20";#N/A,#N/A,FALSE,"Strtlts &amp; Standby";#N/A,#N/A,FALSE,"AG";#N/A,#N/A,FALSE,"A-RTP";#N/A,#N/A,FALSE,"Spec"}</definedName>
    <definedName name="huhnd2" localSheetId="1" hidden="1">{#N/A,#N/A,FALSE,"ND Rev at Pres Rates";#N/A,#N/A,FALSE,"Res - Unadj sales";#N/A,#N/A,FALSE,"Small L&amp;P";#N/A,#N/A,FALSE,"Medium L&amp;P";#N/A,#N/A,FALSE,"E-19";#N/A,#N/A,FALSE,"E-20";#N/A,#N/A,FALSE,"Strtlts &amp; Standby";#N/A,#N/A,FALSE,"AG";#N/A,#N/A,FALSE,"A-RTP";#N/A,#N/A,FALSE,"Spec"}</definedName>
    <definedName name="huhnd2" hidden="1">{#N/A,#N/A,FALSE,"ND Rev at Pres Rates";#N/A,#N/A,FALSE,"Res - Unadj sales";#N/A,#N/A,FALSE,"Small L&amp;P";#N/A,#N/A,FALSE,"Medium L&amp;P";#N/A,#N/A,FALSE,"E-19";#N/A,#N/A,FALSE,"E-20";#N/A,#N/A,FALSE,"Strtlts &amp; Standby";#N/A,#N/A,FALSE,"AG";#N/A,#N/A,FALSE,"A-RTP";#N/A,#N/A,FALSE,"Spec"}</definedName>
    <definedName name="huhprint" localSheetId="10" hidden="1">{#N/A,#N/A,FALSE,"Workpaper Tables 4-1 &amp; 4-2";#N/A,#N/A,FALSE,"Revenue Allocation Results";#N/A,#N/A,FALSE,"FERC Rev @ PR";#N/A,#N/A,FALSE,"Distribution Revenue Allocation";#N/A,#N/A,FALSE,"Nonallocated Revenues ";#N/A,#N/A,FALSE,"2000mixuse";#N/A,#N/A,FALSE,"MC Revenues- 00 sales, 96 MC's"}</definedName>
    <definedName name="huhprint" localSheetId="17" hidden="1">{#N/A,#N/A,FALSE,"Workpaper Tables 4-1 &amp; 4-2";#N/A,#N/A,FALSE,"Revenue Allocation Results";#N/A,#N/A,FALSE,"FERC Rev @ PR";#N/A,#N/A,FALSE,"Distribution Revenue Allocation";#N/A,#N/A,FALSE,"Nonallocated Revenues ";#N/A,#N/A,FALSE,"2000mixuse";#N/A,#N/A,FALSE,"MC Revenues- 00 sales, 96 MC's"}</definedName>
    <definedName name="huhprint" localSheetId="9" hidden="1">{#N/A,#N/A,FALSE,"Workpaper Tables 4-1 &amp; 4-2";#N/A,#N/A,FALSE,"Revenue Allocation Results";#N/A,#N/A,FALSE,"FERC Rev @ PR";#N/A,#N/A,FALSE,"Distribution Revenue Allocation";#N/A,#N/A,FALSE,"Nonallocated Revenues ";#N/A,#N/A,FALSE,"2000mixuse";#N/A,#N/A,FALSE,"MC Revenues- 00 sales, 96 MC's"}</definedName>
    <definedName name="huhprint" localSheetId="12" hidden="1">{#N/A,#N/A,FALSE,"Workpaper Tables 4-1 &amp; 4-2";#N/A,#N/A,FALSE,"Revenue Allocation Results";#N/A,#N/A,FALSE,"FERC Rev @ PR";#N/A,#N/A,FALSE,"Distribution Revenue Allocation";#N/A,#N/A,FALSE,"Nonallocated Revenues ";#N/A,#N/A,FALSE,"2000mixuse";#N/A,#N/A,FALSE,"MC Revenues- 00 sales, 96 MC's"}</definedName>
    <definedName name="huhprint" localSheetId="11" hidden="1">{#N/A,#N/A,FALSE,"Workpaper Tables 4-1 &amp; 4-2";#N/A,#N/A,FALSE,"Revenue Allocation Results";#N/A,#N/A,FALSE,"FERC Rev @ PR";#N/A,#N/A,FALSE,"Distribution Revenue Allocation";#N/A,#N/A,FALSE,"Nonallocated Revenues ";#N/A,#N/A,FALSE,"2000mixuse";#N/A,#N/A,FALSE,"MC Revenues- 00 sales, 96 MC's"}</definedName>
    <definedName name="huhprint" localSheetId="1" hidden="1">{#N/A,#N/A,FALSE,"Workpaper Tables 4-1 &amp; 4-2";#N/A,#N/A,FALSE,"Revenue Allocation Results";#N/A,#N/A,FALSE,"FERC Rev @ PR";#N/A,#N/A,FALSE,"Distribution Revenue Allocation";#N/A,#N/A,FALSE,"Nonallocated Revenues ";#N/A,#N/A,FALSE,"2000mixuse";#N/A,#N/A,FALSE,"MC Revenues- 00 sales, 96 MC's"}</definedName>
    <definedName name="huhprint" hidden="1">{#N/A,#N/A,FALSE,"Workpaper Tables 4-1 &amp; 4-2";#N/A,#N/A,FALSE,"Revenue Allocation Results";#N/A,#N/A,FALSE,"FERC Rev @ PR";#N/A,#N/A,FALSE,"Distribution Revenue Allocation";#N/A,#N/A,FALSE,"Nonallocated Revenues ";#N/A,#N/A,FALSE,"2000mixuse";#N/A,#N/A,FALSE,"MC Revenues- 00 sales, 96 MC's"}</definedName>
    <definedName name="huhrap" localSheetId="10"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localSheetId="1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localSheetId="9"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evalloc" localSheetId="10" hidden="1">{#N/A,#N/A,FALSE,"RRQ inputs ";#N/A,#N/A,FALSE,"FERC Rev @ PR";#N/A,#N/A,FALSE,"Distribution Revenue Allocation";#N/A,#N/A,FALSE,"Nonallocated Revenues";#N/A,#N/A,FALSE,"MC Revenues-03 sales, 96 MC's";#N/A,#N/A,FALSE,"FTA"}</definedName>
    <definedName name="huhrevalloc" localSheetId="17" hidden="1">{#N/A,#N/A,FALSE,"RRQ inputs ";#N/A,#N/A,FALSE,"FERC Rev @ PR";#N/A,#N/A,FALSE,"Distribution Revenue Allocation";#N/A,#N/A,FALSE,"Nonallocated Revenues";#N/A,#N/A,FALSE,"MC Revenues-03 sales, 96 MC's";#N/A,#N/A,FALSE,"FTA"}</definedName>
    <definedName name="huhrevalloc" localSheetId="9" hidden="1">{#N/A,#N/A,FALSE,"RRQ inputs ";#N/A,#N/A,FALSE,"FERC Rev @ PR";#N/A,#N/A,FALSE,"Distribution Revenue Allocation";#N/A,#N/A,FALSE,"Nonallocated Revenues";#N/A,#N/A,FALSE,"MC Revenues-03 sales, 96 MC's";#N/A,#N/A,FALSE,"FTA"}</definedName>
    <definedName name="huhrevalloc" localSheetId="12" hidden="1">{#N/A,#N/A,FALSE,"RRQ inputs ";#N/A,#N/A,FALSE,"FERC Rev @ PR";#N/A,#N/A,FALSE,"Distribution Revenue Allocation";#N/A,#N/A,FALSE,"Nonallocated Revenues";#N/A,#N/A,FALSE,"MC Revenues-03 sales, 96 MC's";#N/A,#N/A,FALSE,"FTA"}</definedName>
    <definedName name="huhrevalloc" localSheetId="11" hidden="1">{#N/A,#N/A,FALSE,"RRQ inputs ";#N/A,#N/A,FALSE,"FERC Rev @ PR";#N/A,#N/A,FALSE,"Distribution Revenue Allocation";#N/A,#N/A,FALSE,"Nonallocated Revenues";#N/A,#N/A,FALSE,"MC Revenues-03 sales, 96 MC's";#N/A,#N/A,FALSE,"FTA"}</definedName>
    <definedName name="huhrevalloc" localSheetId="1" hidden="1">{#N/A,#N/A,FALSE,"RRQ inputs ";#N/A,#N/A,FALSE,"FERC Rev @ PR";#N/A,#N/A,FALSE,"Distribution Revenue Allocation";#N/A,#N/A,FALSE,"Nonallocated Revenues";#N/A,#N/A,FALSE,"MC Revenues-03 sales, 96 MC's";#N/A,#N/A,FALSE,"FTA"}</definedName>
    <definedName name="huhrevalloc" hidden="1">{#N/A,#N/A,FALSE,"RRQ inputs ";#N/A,#N/A,FALSE,"FERC Rev @ PR";#N/A,#N/A,FALSE,"Distribution Revenue Allocation";#N/A,#N/A,FALSE,"Nonallocated Revenues";#N/A,#N/A,FALSE,"MC Revenues-03 sales, 96 MC's";#N/A,#N/A,FALSE,"FTA"}</definedName>
    <definedName name="huhschudel" localSheetId="10" hidden="1">{#N/A,#N/A,FALSE,"ND Rev at Pres Rates";#N/A,#N/A,FALSE,"Res - Unadj";#N/A,#N/A,FALSE,"Small L&amp;P";#N/A,#N/A,FALSE,"Medium L&amp;P";#N/A,#N/A,FALSE,"E-19";#N/A,#N/A,FALSE,"E-20";#N/A,#N/A,FALSE,"A-RTP";#N/A,#N/A,FALSE,"Strtlts &amp; Standby";#N/A,#N/A,FALSE,"AG";#N/A,#N/A,FALSE,"2001mixeduse"}</definedName>
    <definedName name="huhschudel" localSheetId="17" hidden="1">{#N/A,#N/A,FALSE,"ND Rev at Pres Rates";#N/A,#N/A,FALSE,"Res - Unadj";#N/A,#N/A,FALSE,"Small L&amp;P";#N/A,#N/A,FALSE,"Medium L&amp;P";#N/A,#N/A,FALSE,"E-19";#N/A,#N/A,FALSE,"E-20";#N/A,#N/A,FALSE,"A-RTP";#N/A,#N/A,FALSE,"Strtlts &amp; Standby";#N/A,#N/A,FALSE,"AG";#N/A,#N/A,FALSE,"2001mixeduse"}</definedName>
    <definedName name="huhschudel" localSheetId="9" hidden="1">{#N/A,#N/A,FALSE,"ND Rev at Pres Rates";#N/A,#N/A,FALSE,"Res - Unadj";#N/A,#N/A,FALSE,"Small L&amp;P";#N/A,#N/A,FALSE,"Medium L&amp;P";#N/A,#N/A,FALSE,"E-19";#N/A,#N/A,FALSE,"E-20";#N/A,#N/A,FALSE,"A-RTP";#N/A,#N/A,FALSE,"Strtlts &amp; Standby";#N/A,#N/A,FALSE,"AG";#N/A,#N/A,FALSE,"2001mixeduse"}</definedName>
    <definedName name="huhschudel" localSheetId="12" hidden="1">{#N/A,#N/A,FALSE,"ND Rev at Pres Rates";#N/A,#N/A,FALSE,"Res - Unadj";#N/A,#N/A,FALSE,"Small L&amp;P";#N/A,#N/A,FALSE,"Medium L&amp;P";#N/A,#N/A,FALSE,"E-19";#N/A,#N/A,FALSE,"E-20";#N/A,#N/A,FALSE,"A-RTP";#N/A,#N/A,FALSE,"Strtlts &amp; Standby";#N/A,#N/A,FALSE,"AG";#N/A,#N/A,FALSE,"2001mixeduse"}</definedName>
    <definedName name="huhschudel" localSheetId="11" hidden="1">{#N/A,#N/A,FALSE,"ND Rev at Pres Rates";#N/A,#N/A,FALSE,"Res - Unadj";#N/A,#N/A,FALSE,"Small L&amp;P";#N/A,#N/A,FALSE,"Medium L&amp;P";#N/A,#N/A,FALSE,"E-19";#N/A,#N/A,FALSE,"E-20";#N/A,#N/A,FALSE,"A-RTP";#N/A,#N/A,FALSE,"Strtlts &amp; Standby";#N/A,#N/A,FALSE,"AG";#N/A,#N/A,FALSE,"2001mixeduse"}</definedName>
    <definedName name="huhschudel" localSheetId="1" hidden="1">{#N/A,#N/A,FALSE,"ND Rev at Pres Rates";#N/A,#N/A,FALSE,"Res - Unadj";#N/A,#N/A,FALSE,"Small L&amp;P";#N/A,#N/A,FALSE,"Medium L&amp;P";#N/A,#N/A,FALSE,"E-19";#N/A,#N/A,FALSE,"E-20";#N/A,#N/A,FALSE,"A-RTP";#N/A,#N/A,FALSE,"Strtlts &amp; Standby";#N/A,#N/A,FALSE,"AG";#N/A,#N/A,FALSE,"2001mixeduse"}</definedName>
    <definedName name="huhschudel" hidden="1">{#N/A,#N/A,FALSE,"ND Rev at Pres Rates";#N/A,#N/A,FALSE,"Res - Unadj";#N/A,#N/A,FALSE,"Small L&amp;P";#N/A,#N/A,FALSE,"Medium L&amp;P";#N/A,#N/A,FALSE,"E-19";#N/A,#N/A,FALSE,"E-20";#N/A,#N/A,FALSE,"A-RTP";#N/A,#N/A,FALSE,"Strtlts &amp; Standby";#N/A,#N/A,FALSE,"AG";#N/A,#N/A,FALSE,"2001mixeduse"}</definedName>
    <definedName name="IterationType" localSheetId="12">#REF!</definedName>
    <definedName name="IterationType" localSheetId="11">#REF!</definedName>
    <definedName name="IterationType">#REF!</definedName>
    <definedName name="LineLoss">#REF!</definedName>
    <definedName name="LocalAreaOptions">#REF!</definedName>
    <definedName name="LOLD">1</definedName>
    <definedName name="LOLD_Table">7</definedName>
    <definedName name="Mflag" localSheetId="10">#REF!</definedName>
    <definedName name="Mflag" localSheetId="17">#REF!</definedName>
    <definedName name="Mflag" localSheetId="15">#REF!</definedName>
    <definedName name="Mflag" localSheetId="14">#REF!</definedName>
    <definedName name="Mflag" localSheetId="16">#REF!</definedName>
    <definedName name="Mflag" localSheetId="9">#REF!</definedName>
    <definedName name="Mflag" localSheetId="12">#REF!</definedName>
    <definedName name="Mflag" localSheetId="11">#REF!</definedName>
    <definedName name="Mflag" localSheetId="1">#REF!</definedName>
    <definedName name="Mflag">#REF!</definedName>
    <definedName name="NCORE_U" localSheetId="15">#REF!</definedName>
    <definedName name="NCORE_U" localSheetId="14">#REF!</definedName>
    <definedName name="NCORE_U" localSheetId="16">#REF!</definedName>
    <definedName name="NCORE_U" localSheetId="12">#REF!</definedName>
    <definedName name="NCORE_U" localSheetId="11">#REF!</definedName>
    <definedName name="NCORE_U" localSheetId="1">#REF!</definedName>
    <definedName name="NCORE_U">#REF!</definedName>
    <definedName name="ND">#REF!</definedName>
    <definedName name="Out_Start_Date">#REF!</definedName>
    <definedName name="Out_Term_Date">#REF!</definedName>
    <definedName name="Overall_Project_Status">#REF!</definedName>
    <definedName name="Party_that_Terminated_Contract">#REF!</definedName>
    <definedName name="Path26DesignationOptions">#REF!</definedName>
    <definedName name="PBond" localSheetId="10">#REF!</definedName>
    <definedName name="PBond" localSheetId="17">#REF!</definedName>
    <definedName name="PBond" localSheetId="15">#REF!</definedName>
    <definedName name="PBond" localSheetId="14">#REF!</definedName>
    <definedName name="PBond" localSheetId="16">#REF!</definedName>
    <definedName name="PBond" localSheetId="9">#REF!</definedName>
    <definedName name="PBond" localSheetId="12">#REF!</definedName>
    <definedName name="PBond" localSheetId="11">#REF!</definedName>
    <definedName name="PBond" localSheetId="1">#REF!</definedName>
    <definedName name="PBond">#REF!</definedName>
    <definedName name="PCC_Classification">#REF!</definedName>
    <definedName name="PECRA" localSheetId="10">#REF!</definedName>
    <definedName name="PECRA" localSheetId="17">#REF!</definedName>
    <definedName name="PECRA" localSheetId="15">#REF!</definedName>
    <definedName name="PECRA" localSheetId="14">#REF!</definedName>
    <definedName name="PECRA" localSheetId="16">#REF!</definedName>
    <definedName name="PECRA" localSheetId="9">#REF!</definedName>
    <definedName name="PECRA" localSheetId="12">#REF!</definedName>
    <definedName name="PECRA" localSheetId="11">#REF!</definedName>
    <definedName name="PECRA" localSheetId="1">#REF!</definedName>
    <definedName name="PECRA">#REF!</definedName>
    <definedName name="Print_All_Tariff">#REF!</definedName>
    <definedName name="Program_Origination">#REF!</definedName>
    <definedName name="RAM_Auction_Round">#REF!</definedName>
    <definedName name="record1">#REF!</definedName>
    <definedName name="Record2">#REF!</definedName>
    <definedName name="Reporting_LSE">#REF!</definedName>
    <definedName name="Resource_Designation">#REF!</definedName>
    <definedName name="SAIR">#REF!</definedName>
    <definedName name="SAPBEXhrIndnt" hidden="1">"Wide"</definedName>
    <definedName name="SAPsysID" hidden="1">"708C5W7SBKP804JT78WJ0JNKI"</definedName>
    <definedName name="SAPwbID" hidden="1">"ARS"</definedName>
    <definedName name="SBUILD">#REF!</definedName>
    <definedName name="SchedulingID">#REF!</definedName>
    <definedName name="SCOMM">#REF!</definedName>
    <definedName name="SCOMP">#REF!</definedName>
    <definedName name="sds">#REF!</definedName>
    <definedName name="Season">#REF!</definedName>
    <definedName name="Sflag" localSheetId="10">#REF!</definedName>
    <definedName name="Sflag" localSheetId="17">#REF!</definedName>
    <definedName name="Sflag" localSheetId="15">#REF!</definedName>
    <definedName name="Sflag" localSheetId="14">#REF!</definedName>
    <definedName name="Sflag" localSheetId="16">#REF!</definedName>
    <definedName name="Sflag" localSheetId="9">#REF!</definedName>
    <definedName name="Sflag" localSheetId="12">#REF!</definedName>
    <definedName name="Sflag" localSheetId="11">#REF!</definedName>
    <definedName name="Sflag" localSheetId="1">#REF!</definedName>
    <definedName name="Sflag">#REF!</definedName>
    <definedName name="SM">#REF!</definedName>
    <definedName name="SOPROD">#REF!</definedName>
    <definedName name="SSONG2">#REF!</definedName>
    <definedName name="SSTEAM">#REF!</definedName>
    <definedName name="ST_D">#REF!</definedName>
    <definedName name="Status_of_Facility_Study___Phase_II_Study">#REF!</definedName>
    <definedName name="Status_of_Feasibility_Study">#REF!</definedName>
    <definedName name="Status_of_Interconnection_Agreement">#REF!</definedName>
    <definedName name="Status_of_System_Impact_Study___Phase_I_Study">#REF!</definedName>
    <definedName name="STEAM">#REF!</definedName>
    <definedName name="TAC">#REF!</definedName>
    <definedName name="TACCalcOptions">#REF!</definedName>
    <definedName name="Technology_SubType">#REF!</definedName>
    <definedName name="Technology_Type">#REF!</definedName>
    <definedName name="TRBA">#REF!</definedName>
    <definedName name="wrn.AG." localSheetId="10" hidden="1">{#N/A,#N/A,FALSE,"AG-1";#N/A,#N/A,FALSE,"AG-R";#N/A,#N/A,FALSE,"AG-V";#N/A,#N/A,FALSE,"AG-4";#N/A,#N/A,FALSE,"AG-5";#N/A,#N/A,FALSE,"AG-6";#N/A,#N/A,FALSE,"AG-7"}</definedName>
    <definedName name="wrn.AG." localSheetId="17" hidden="1">{#N/A,#N/A,FALSE,"AG-1";#N/A,#N/A,FALSE,"AG-R";#N/A,#N/A,FALSE,"AG-V";#N/A,#N/A,FALSE,"AG-4";#N/A,#N/A,FALSE,"AG-5";#N/A,#N/A,FALSE,"AG-6";#N/A,#N/A,FALSE,"AG-7"}</definedName>
    <definedName name="wrn.AG." localSheetId="9" hidden="1">{#N/A,#N/A,FALSE,"AG-1";#N/A,#N/A,FALSE,"AG-R";#N/A,#N/A,FALSE,"AG-V";#N/A,#N/A,FALSE,"AG-4";#N/A,#N/A,FALSE,"AG-5";#N/A,#N/A,FALSE,"AG-6";#N/A,#N/A,FALSE,"AG-7"}</definedName>
    <definedName name="wrn.AG." localSheetId="12" hidden="1">{#N/A,#N/A,FALSE,"AG-1";#N/A,#N/A,FALSE,"AG-R";#N/A,#N/A,FALSE,"AG-V";#N/A,#N/A,FALSE,"AG-4";#N/A,#N/A,FALSE,"AG-5";#N/A,#N/A,FALSE,"AG-6";#N/A,#N/A,FALSE,"AG-7"}</definedName>
    <definedName name="wrn.AG." localSheetId="11" hidden="1">{#N/A,#N/A,FALSE,"AG-1";#N/A,#N/A,FALSE,"AG-R";#N/A,#N/A,FALSE,"AG-V";#N/A,#N/A,FALSE,"AG-4";#N/A,#N/A,FALSE,"AG-5";#N/A,#N/A,FALSE,"AG-6";#N/A,#N/A,FALSE,"AG-7"}</definedName>
    <definedName name="wrn.AG." localSheetId="1" hidden="1">{#N/A,#N/A,FALSE,"AG-1";#N/A,#N/A,FALSE,"AG-R";#N/A,#N/A,FALSE,"AG-V";#N/A,#N/A,FALSE,"AG-4";#N/A,#N/A,FALSE,"AG-5";#N/A,#N/A,FALSE,"AG-6";#N/A,#N/A,FALSE,"AG-7"}</definedName>
    <definedName name="wrn.AG." hidden="1">{#N/A,#N/A,FALSE,"AG-1";#N/A,#N/A,FALSE,"AG-R";#N/A,#N/A,FALSE,"AG-V";#N/A,#N/A,FALSE,"AG-4";#N/A,#N/A,FALSE,"AG-5";#N/A,#N/A,FALSE,"AG-6";#N/A,#N/A,FALSE,"AG-7"}</definedName>
    <definedName name="wrn.AGa." localSheetId="10" hidden="1">{#N/A,#N/A,FALSE,"UN-AGRA";#N/A,#N/A,FALSE,"UN-AG1A";#N/A,#N/A,FALSE,"UN-AGVA";#N/A,#N/A,FALSE,"UN-AG4A ";#N/A,#N/A,FALSE,"UN-AG5A";#N/A,#N/A,FALSE,"UN-AG6A";#N/A,#N/A,FALSE,"Dist Calcs";#N/A,#N/A,FALSE,"7A-Avg.";#N/A,#N/A,FALSE,"7A Tier1-avg";#N/A,#N/A,FALSE,"7A Tier2-avg";#N/A,#N/A,FALSE,"Ag-7A Dist Calc"}</definedName>
    <definedName name="wrn.AGa." localSheetId="17" hidden="1">{#N/A,#N/A,FALSE,"UN-AGRA";#N/A,#N/A,FALSE,"UN-AG1A";#N/A,#N/A,FALSE,"UN-AGVA";#N/A,#N/A,FALSE,"UN-AG4A ";#N/A,#N/A,FALSE,"UN-AG5A";#N/A,#N/A,FALSE,"UN-AG6A";#N/A,#N/A,FALSE,"Dist Calcs";#N/A,#N/A,FALSE,"7A-Avg.";#N/A,#N/A,FALSE,"7A Tier1-avg";#N/A,#N/A,FALSE,"7A Tier2-avg";#N/A,#N/A,FALSE,"Ag-7A Dist Calc"}</definedName>
    <definedName name="wrn.AGa." localSheetId="9" hidden="1">{#N/A,#N/A,FALSE,"UN-AGRA";#N/A,#N/A,FALSE,"UN-AG1A";#N/A,#N/A,FALSE,"UN-AGVA";#N/A,#N/A,FALSE,"UN-AG4A ";#N/A,#N/A,FALSE,"UN-AG5A";#N/A,#N/A,FALSE,"UN-AG6A";#N/A,#N/A,FALSE,"Dist Calcs";#N/A,#N/A,FALSE,"7A-Avg.";#N/A,#N/A,FALSE,"7A Tier1-avg";#N/A,#N/A,FALSE,"7A Tier2-avg";#N/A,#N/A,FALSE,"Ag-7A Dist Calc"}</definedName>
    <definedName name="wrn.AGa." localSheetId="12" hidden="1">{#N/A,#N/A,FALSE,"UN-AGRA";#N/A,#N/A,FALSE,"UN-AG1A";#N/A,#N/A,FALSE,"UN-AGVA";#N/A,#N/A,FALSE,"UN-AG4A ";#N/A,#N/A,FALSE,"UN-AG5A";#N/A,#N/A,FALSE,"UN-AG6A";#N/A,#N/A,FALSE,"Dist Calcs";#N/A,#N/A,FALSE,"7A-Avg.";#N/A,#N/A,FALSE,"7A Tier1-avg";#N/A,#N/A,FALSE,"7A Tier2-avg";#N/A,#N/A,FALSE,"Ag-7A Dist Calc"}</definedName>
    <definedName name="wrn.AGa." localSheetId="11" hidden="1">{#N/A,#N/A,FALSE,"UN-AGRA";#N/A,#N/A,FALSE,"UN-AG1A";#N/A,#N/A,FALSE,"UN-AGVA";#N/A,#N/A,FALSE,"UN-AG4A ";#N/A,#N/A,FALSE,"UN-AG5A";#N/A,#N/A,FALSE,"UN-AG6A";#N/A,#N/A,FALSE,"Dist Calcs";#N/A,#N/A,FALSE,"7A-Avg.";#N/A,#N/A,FALSE,"7A Tier1-avg";#N/A,#N/A,FALSE,"7A Tier2-avg";#N/A,#N/A,FALSE,"Ag-7A Dist Calc"}</definedName>
    <definedName name="wrn.AGa." localSheetId="1" hidden="1">{#N/A,#N/A,FALSE,"UN-AGRA";#N/A,#N/A,FALSE,"UN-AG1A";#N/A,#N/A,FALSE,"UN-AGVA";#N/A,#N/A,FALSE,"UN-AG4A ";#N/A,#N/A,FALSE,"UN-AG5A";#N/A,#N/A,FALSE,"UN-AG6A";#N/A,#N/A,FALSE,"Dist Calcs";#N/A,#N/A,FALSE,"7A-Avg.";#N/A,#N/A,FALSE,"7A Tier1-avg";#N/A,#N/A,FALSE,"7A Tier2-avg";#N/A,#N/A,FALSE,"Ag-7A Dist Calc"}</definedName>
    <definedName name="wrn.AGa." hidden="1">{#N/A,#N/A,FALSE,"UN-AGRA";#N/A,#N/A,FALSE,"UN-AG1A";#N/A,#N/A,FALSE,"UN-AGVA";#N/A,#N/A,FALSE,"UN-AG4A ";#N/A,#N/A,FALSE,"UN-AG5A";#N/A,#N/A,FALSE,"UN-AG6A";#N/A,#N/A,FALSE,"Dist Calcs";#N/A,#N/A,FALSE,"7A-Avg.";#N/A,#N/A,FALSE,"7A Tier1-avg";#N/A,#N/A,FALSE,"7A Tier2-avg";#N/A,#N/A,FALSE,"Ag-7A Dist Calc"}</definedName>
    <definedName name="wrn.Agb." localSheetId="10"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localSheetId="17"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localSheetId="9"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localSheetId="12"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localSheetId="11"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localSheetId="1"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hidden="1">{#N/A,#N/A,FALSE,"UN-AG1B";#N/A,#N/A,FALSE,"UN-AGRB  ";#N/A,#N/A,FALSE,"UN-AGVB ";#N/A,#N/A,FALSE,"UN-AG4B";#N/A,#N/A,FALSE,"UN-AG4C";#N/A,#N/A,FALSE,"UN-AG5B";#N/A,#N/A,FALSE,"UN-AG5C ";#N/A,#N/A,FALSE,"UN-AG6B";#N/A,#N/A,FALSE,"Dist Cals";#N/A,#N/A,FALSE,"7B-Avg.";#N/A,#N/A,FALSE,"7B Tier1-avg";#N/A,#N/A,FALSE,"7B Tier2-avg";#N/A,#N/A,FALSE,"Ag-7B Dist Calc";#N/A,#N/A,FALSE,"AG RL Calc"}</definedName>
    <definedName name="wrn.comind." localSheetId="10" hidden="1">{#N/A,#N/A,FALSE,"A-1, A-6, A-10, A-15";#N/A,#N/A,FALSE,"E-19 Firm";#N/A,#N/A,FALSE,"E-19 Nonfirm";#N/A,#N/A,FALSE,"E-20 Firm ";#N/A,#N/A,FALSE,"E-20 Nonfirm ";#N/A,#N/A,FALSE,"E-25";#N/A,#N/A,FALSE,"E-36, E-37";#N/A,#N/A,FALSE,"LS-1,-2,-3, TC-1, OL-1";#N/A,#N/A,FALSE,"Standby"}</definedName>
    <definedName name="wrn.comind." localSheetId="17" hidden="1">{#N/A,#N/A,FALSE,"A-1, A-6, A-10, A-15";#N/A,#N/A,FALSE,"E-19 Firm";#N/A,#N/A,FALSE,"E-19 Nonfirm";#N/A,#N/A,FALSE,"E-20 Firm ";#N/A,#N/A,FALSE,"E-20 Nonfirm ";#N/A,#N/A,FALSE,"E-25";#N/A,#N/A,FALSE,"E-36, E-37";#N/A,#N/A,FALSE,"LS-1,-2,-3, TC-1, OL-1";#N/A,#N/A,FALSE,"Standby"}</definedName>
    <definedName name="wrn.comind." localSheetId="9" hidden="1">{#N/A,#N/A,FALSE,"A-1, A-6, A-10, A-15";#N/A,#N/A,FALSE,"E-19 Firm";#N/A,#N/A,FALSE,"E-19 Nonfirm";#N/A,#N/A,FALSE,"E-20 Firm ";#N/A,#N/A,FALSE,"E-20 Nonfirm ";#N/A,#N/A,FALSE,"E-25";#N/A,#N/A,FALSE,"E-36, E-37";#N/A,#N/A,FALSE,"LS-1,-2,-3, TC-1, OL-1";#N/A,#N/A,FALSE,"Standby"}</definedName>
    <definedName name="wrn.comind." localSheetId="12" hidden="1">{#N/A,#N/A,FALSE,"A-1, A-6, A-10, A-15";#N/A,#N/A,FALSE,"E-19 Firm";#N/A,#N/A,FALSE,"E-19 Nonfirm";#N/A,#N/A,FALSE,"E-20 Firm ";#N/A,#N/A,FALSE,"E-20 Nonfirm ";#N/A,#N/A,FALSE,"E-25";#N/A,#N/A,FALSE,"E-36, E-37";#N/A,#N/A,FALSE,"LS-1,-2,-3, TC-1, OL-1";#N/A,#N/A,FALSE,"Standby"}</definedName>
    <definedName name="wrn.comind." localSheetId="11" hidden="1">{#N/A,#N/A,FALSE,"A-1, A-6, A-10, A-15";#N/A,#N/A,FALSE,"E-19 Firm";#N/A,#N/A,FALSE,"E-19 Nonfirm";#N/A,#N/A,FALSE,"E-20 Firm ";#N/A,#N/A,FALSE,"E-20 Nonfirm ";#N/A,#N/A,FALSE,"E-25";#N/A,#N/A,FALSE,"E-36, E-37";#N/A,#N/A,FALSE,"LS-1,-2,-3, TC-1, OL-1";#N/A,#N/A,FALSE,"Standby"}</definedName>
    <definedName name="wrn.comind." localSheetId="1" hidden="1">{#N/A,#N/A,FALSE,"A-1, A-6, A-10, A-15";#N/A,#N/A,FALSE,"E-19 Firm";#N/A,#N/A,FALSE,"E-19 Nonfirm";#N/A,#N/A,FALSE,"E-20 Firm ";#N/A,#N/A,FALSE,"E-20 Nonfirm ";#N/A,#N/A,FALSE,"E-25";#N/A,#N/A,FALSE,"E-36, E-37";#N/A,#N/A,FALSE,"LS-1,-2,-3, TC-1, OL-1";#N/A,#N/A,FALSE,"Standby"}</definedName>
    <definedName name="wrn.comind." hidden="1">{#N/A,#N/A,FALSE,"A-1, A-6, A-10, A-15";#N/A,#N/A,FALSE,"E-19 Firm";#N/A,#N/A,FALSE,"E-19 Nonfirm";#N/A,#N/A,FALSE,"E-20 Firm ";#N/A,#N/A,FALSE,"E-20 Nonfirm ";#N/A,#N/A,FALSE,"E-25";#N/A,#N/A,FALSE,"E-36, E-37";#N/A,#N/A,FALSE,"LS-1,-2,-3, TC-1, OL-1";#N/A,#N/A,FALSE,"Standby"}</definedName>
    <definedName name="wrn.Distr." localSheetId="10" hidden="1">{#N/A,#N/A,FALSE,"Dist Rev at PR ";#N/A,#N/A,FALSE,"Spec";#N/A,#N/A,FALSE,"Res";#N/A,#N/A,FALSE,"Small L&amp;P";#N/A,#N/A,FALSE,"Medium L&amp;P";#N/A,#N/A,FALSE,"E-19";#N/A,#N/A,FALSE,"E-20";#N/A,#N/A,FALSE,"Strtlts &amp; Standby";#N/A,#N/A,FALSE,"A-RTP";#N/A,#N/A,FALSE,"2003mixeduse"}</definedName>
    <definedName name="wrn.Distr." localSheetId="17" hidden="1">{#N/A,#N/A,FALSE,"Dist Rev at PR ";#N/A,#N/A,FALSE,"Spec";#N/A,#N/A,FALSE,"Res";#N/A,#N/A,FALSE,"Small L&amp;P";#N/A,#N/A,FALSE,"Medium L&amp;P";#N/A,#N/A,FALSE,"E-19";#N/A,#N/A,FALSE,"E-20";#N/A,#N/A,FALSE,"Strtlts &amp; Standby";#N/A,#N/A,FALSE,"A-RTP";#N/A,#N/A,FALSE,"2003mixeduse"}</definedName>
    <definedName name="wrn.Distr." localSheetId="9" hidden="1">{#N/A,#N/A,FALSE,"Dist Rev at PR ";#N/A,#N/A,FALSE,"Spec";#N/A,#N/A,FALSE,"Res";#N/A,#N/A,FALSE,"Small L&amp;P";#N/A,#N/A,FALSE,"Medium L&amp;P";#N/A,#N/A,FALSE,"E-19";#N/A,#N/A,FALSE,"E-20";#N/A,#N/A,FALSE,"Strtlts &amp; Standby";#N/A,#N/A,FALSE,"A-RTP";#N/A,#N/A,FALSE,"2003mixeduse"}</definedName>
    <definedName name="wrn.Distr." localSheetId="12" hidden="1">{#N/A,#N/A,FALSE,"Dist Rev at PR ";#N/A,#N/A,FALSE,"Spec";#N/A,#N/A,FALSE,"Res";#N/A,#N/A,FALSE,"Small L&amp;P";#N/A,#N/A,FALSE,"Medium L&amp;P";#N/A,#N/A,FALSE,"E-19";#N/A,#N/A,FALSE,"E-20";#N/A,#N/A,FALSE,"Strtlts &amp; Standby";#N/A,#N/A,FALSE,"A-RTP";#N/A,#N/A,FALSE,"2003mixeduse"}</definedName>
    <definedName name="wrn.Distr." localSheetId="11" hidden="1">{#N/A,#N/A,FALSE,"Dist Rev at PR ";#N/A,#N/A,FALSE,"Spec";#N/A,#N/A,FALSE,"Res";#N/A,#N/A,FALSE,"Small L&amp;P";#N/A,#N/A,FALSE,"Medium L&amp;P";#N/A,#N/A,FALSE,"E-19";#N/A,#N/A,FALSE,"E-20";#N/A,#N/A,FALSE,"Strtlts &amp; Standby";#N/A,#N/A,FALSE,"A-RTP";#N/A,#N/A,FALSE,"2003mixeduse"}</definedName>
    <definedName name="wrn.Distr." localSheetId="1" hidden="1">{#N/A,#N/A,FALSE,"Dist Rev at PR ";#N/A,#N/A,FALSE,"Spec";#N/A,#N/A,FALSE,"Res";#N/A,#N/A,FALSE,"Small L&amp;P";#N/A,#N/A,FALSE,"Medium L&amp;P";#N/A,#N/A,FALSE,"E-19";#N/A,#N/A,FALSE,"E-20";#N/A,#N/A,FALSE,"Strtlts &amp; Standby";#N/A,#N/A,FALSE,"A-RTP";#N/A,#N/A,FALSE,"2003mixeduse"}</definedName>
    <definedName name="wrn.Distr." hidden="1">{#N/A,#N/A,FALSE,"Dist Rev at PR ";#N/A,#N/A,FALSE,"Spec";#N/A,#N/A,FALSE,"Res";#N/A,#N/A,FALSE,"Small L&amp;P";#N/A,#N/A,FALSE,"Medium L&amp;P";#N/A,#N/A,FALSE,"E-19";#N/A,#N/A,FALSE,"E-20";#N/A,#N/A,FALSE,"Strtlts &amp; Standby";#N/A,#N/A,FALSE,"A-RTP";#N/A,#N/A,FALSE,"2003mixeduse"}</definedName>
    <definedName name="wrn.G_CSP_REPORT." localSheetId="10" hidden="1">{#N/A,#N/A,FALSE,"Summary";#N/A,#N/A,FALSE,"Tariff G-CSP &amp; G-SUR";#N/A,#N/A,FALSE,"Amortization Calculations";#N/A,#N/A,FALSE,"Contracted Volumes";#N/A,#N/A,FALSE,"Reservation"}</definedName>
    <definedName name="wrn.G_CSP_REPORT." localSheetId="17" hidden="1">{#N/A,#N/A,FALSE,"Summary";#N/A,#N/A,FALSE,"Tariff G-CSP &amp; G-SUR";#N/A,#N/A,FALSE,"Amortization Calculations";#N/A,#N/A,FALSE,"Contracted Volumes";#N/A,#N/A,FALSE,"Reservation"}</definedName>
    <definedName name="wrn.G_CSP_REPORT." localSheetId="9" hidden="1">{#N/A,#N/A,FALSE,"Summary";#N/A,#N/A,FALSE,"Tariff G-CSP &amp; G-SUR";#N/A,#N/A,FALSE,"Amortization Calculations";#N/A,#N/A,FALSE,"Contracted Volumes";#N/A,#N/A,FALSE,"Reservation"}</definedName>
    <definedName name="wrn.G_CSP_REPORT." localSheetId="12" hidden="1">{#N/A,#N/A,FALSE,"Summary";#N/A,#N/A,FALSE,"Tariff G-CSP &amp; G-SUR";#N/A,#N/A,FALSE,"Amortization Calculations";#N/A,#N/A,FALSE,"Contracted Volumes";#N/A,#N/A,FALSE,"Reservation"}</definedName>
    <definedName name="wrn.G_CSP_REPORT." localSheetId="11" hidden="1">{#N/A,#N/A,FALSE,"Summary";#N/A,#N/A,FALSE,"Tariff G-CSP &amp; G-SUR";#N/A,#N/A,FALSE,"Amortization Calculations";#N/A,#N/A,FALSE,"Contracted Volumes";#N/A,#N/A,FALSE,"Reservation"}</definedName>
    <definedName name="wrn.G_CSP_REPORT." localSheetId="1" hidden="1">{#N/A,#N/A,FALSE,"Summary";#N/A,#N/A,FALSE,"Tariff G-CSP &amp; G-SUR";#N/A,#N/A,FALSE,"Amortization Calculations";#N/A,#N/A,FALSE,"Contracted Volumes";#N/A,#N/A,FALSE,"Reservation"}</definedName>
    <definedName name="wrn.G_CSP_REPORT." hidden="1">{#N/A,#N/A,FALSE,"Summary";#N/A,#N/A,FALSE,"Tariff G-CSP &amp; G-SUR";#N/A,#N/A,FALSE,"Amortization Calculations";#N/A,#N/A,FALSE,"Contracted Volumes";#N/A,#N/A,FALSE,"Reservation"}</definedName>
    <definedName name="wrn.ND." localSheetId="10" hidden="1">{#N/A,#N/A,FALSE,"ND Rev at Pres Rates";#N/A,#N/A,FALSE,"Res - Unadj sales";#N/A,#N/A,FALSE,"Small L&amp;P";#N/A,#N/A,FALSE,"Medium L&amp;P";#N/A,#N/A,FALSE,"E-19";#N/A,#N/A,FALSE,"E-20";#N/A,#N/A,FALSE,"Strtlts &amp; Standby";#N/A,#N/A,FALSE,"AG";#N/A,#N/A,FALSE,"A-RTP";#N/A,#N/A,FALSE,"Spec"}</definedName>
    <definedName name="wrn.ND." localSheetId="17" hidden="1">{#N/A,#N/A,FALSE,"ND Rev at Pres Rates";#N/A,#N/A,FALSE,"Res - Unadj sales";#N/A,#N/A,FALSE,"Small L&amp;P";#N/A,#N/A,FALSE,"Medium L&amp;P";#N/A,#N/A,FALSE,"E-19";#N/A,#N/A,FALSE,"E-20";#N/A,#N/A,FALSE,"Strtlts &amp; Standby";#N/A,#N/A,FALSE,"AG";#N/A,#N/A,FALSE,"A-RTP";#N/A,#N/A,FALSE,"Spec"}</definedName>
    <definedName name="wrn.ND." localSheetId="9" hidden="1">{#N/A,#N/A,FALSE,"ND Rev at Pres Rates";#N/A,#N/A,FALSE,"Res - Unadj sales";#N/A,#N/A,FALSE,"Small L&amp;P";#N/A,#N/A,FALSE,"Medium L&amp;P";#N/A,#N/A,FALSE,"E-19";#N/A,#N/A,FALSE,"E-20";#N/A,#N/A,FALSE,"Strtlts &amp; Standby";#N/A,#N/A,FALSE,"AG";#N/A,#N/A,FALSE,"A-RTP";#N/A,#N/A,FALSE,"Spec"}</definedName>
    <definedName name="wrn.ND." localSheetId="12" hidden="1">{#N/A,#N/A,FALSE,"ND Rev at Pres Rates";#N/A,#N/A,FALSE,"Res - Unadj sales";#N/A,#N/A,FALSE,"Small L&amp;P";#N/A,#N/A,FALSE,"Medium L&amp;P";#N/A,#N/A,FALSE,"E-19";#N/A,#N/A,FALSE,"E-20";#N/A,#N/A,FALSE,"Strtlts &amp; Standby";#N/A,#N/A,FALSE,"AG";#N/A,#N/A,FALSE,"A-RTP";#N/A,#N/A,FALSE,"Spec"}</definedName>
    <definedName name="wrn.ND." localSheetId="11" hidden="1">{#N/A,#N/A,FALSE,"ND Rev at Pres Rates";#N/A,#N/A,FALSE,"Res - Unadj sales";#N/A,#N/A,FALSE,"Small L&amp;P";#N/A,#N/A,FALSE,"Medium L&amp;P";#N/A,#N/A,FALSE,"E-19";#N/A,#N/A,FALSE,"E-20";#N/A,#N/A,FALSE,"Strtlts &amp; Standby";#N/A,#N/A,FALSE,"AG";#N/A,#N/A,FALSE,"A-RTP";#N/A,#N/A,FALSE,"Spec"}</definedName>
    <definedName name="wrn.ND." localSheetId="1" hidden="1">{#N/A,#N/A,FALSE,"ND Rev at Pres Rates";#N/A,#N/A,FALSE,"Res - Unadj sales";#N/A,#N/A,FALSE,"Small L&amp;P";#N/A,#N/A,FALSE,"Medium L&amp;P";#N/A,#N/A,FALSE,"E-19";#N/A,#N/A,FALSE,"E-20";#N/A,#N/A,FALSE,"Strtlts &amp; Standby";#N/A,#N/A,FALSE,"AG";#N/A,#N/A,FALSE,"A-RTP";#N/A,#N/A,FALSE,"Spec"}</definedName>
    <definedName name="wrn.ND." hidden="1">{#N/A,#N/A,FALSE,"ND Rev at Pres Rates";#N/A,#N/A,FALSE,"Res - Unadj sales";#N/A,#N/A,FALSE,"Small L&amp;P";#N/A,#N/A,FALSE,"Medium L&amp;P";#N/A,#N/A,FALSE,"E-19";#N/A,#N/A,FALSE,"E-20";#N/A,#N/A,FALSE,"Strtlts &amp; Standby";#N/A,#N/A,FALSE,"AG";#N/A,#N/A,FALSE,"A-RTP";#N/A,#N/A,FALSE,"Spec"}</definedName>
    <definedName name="wrn.Print._.Out." localSheetId="10" hidden="1">{#N/A,#N/A,FALSE,"Workpaper Tables 4-1 &amp; 4-2";#N/A,#N/A,FALSE,"Revenue Allocation Results";#N/A,#N/A,FALSE,"FERC Rev @ PR";#N/A,#N/A,FALSE,"Distribution Revenue Allocation";#N/A,#N/A,FALSE,"Nonallocated Revenues ";#N/A,#N/A,FALSE,"2000mixuse";#N/A,#N/A,FALSE,"MC Revenues- 00 sales, 96 MC's"}</definedName>
    <definedName name="wrn.Print._.Out." localSheetId="17" hidden="1">{#N/A,#N/A,FALSE,"Workpaper Tables 4-1 &amp; 4-2";#N/A,#N/A,FALSE,"Revenue Allocation Results";#N/A,#N/A,FALSE,"FERC Rev @ PR";#N/A,#N/A,FALSE,"Distribution Revenue Allocation";#N/A,#N/A,FALSE,"Nonallocated Revenues ";#N/A,#N/A,FALSE,"2000mixuse";#N/A,#N/A,FALSE,"MC Revenues- 00 sales, 96 MC's"}</definedName>
    <definedName name="wrn.Print._.Out." localSheetId="9" hidden="1">{#N/A,#N/A,FALSE,"Workpaper Tables 4-1 &amp; 4-2";#N/A,#N/A,FALSE,"Revenue Allocation Results";#N/A,#N/A,FALSE,"FERC Rev @ PR";#N/A,#N/A,FALSE,"Distribution Revenue Allocation";#N/A,#N/A,FALSE,"Nonallocated Revenues ";#N/A,#N/A,FALSE,"2000mixuse";#N/A,#N/A,FALSE,"MC Revenues- 00 sales, 96 MC's"}</definedName>
    <definedName name="wrn.Print._.Out."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 localSheetId="1" hidden="1">{#N/A,#N/A,FALSE,"Workpaper Tables 4-1 &amp; 4-2";#N/A,#N/A,FALSE,"Revenue Allocation Results";#N/A,#N/A,FALSE,"FERC Rev @ PR";#N/A,#N/A,FALSE,"Distribution Revenue Allocation";#N/A,#N/A,FALSE,"Nonallocated Revenues ";#N/A,#N/A,FALSE,"2000mixuse";#N/A,#N/A,FALSE,"MC Revenues- 00 sales, 96 MC's"}</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RAP." localSheetId="10"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9"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s." localSheetId="10" hidden="1">{#N/A,#N/A,FALSE,"E-1, EM, ES";#N/A,#N/A,FALSE,"ESR, ET";#N/A,#N/A,FALSE,"E-7, E-A7";#N/A,#N/A,FALSE,"E-8";#N/A,#N/A,FALSE,"E-9 A, B, C, D";#N/A,#N/A,FALSE,"EL-1, EML";#N/A,#N/A,FALSE,"ESL, ESRL";#N/A,#N/A,FALSE,"ETL, EL-7";#N/A,#N/A,FALSE,"EL-A7, EL-8"}</definedName>
    <definedName name="wrn.Res." localSheetId="17" hidden="1">{#N/A,#N/A,FALSE,"E-1, EM, ES";#N/A,#N/A,FALSE,"ESR, ET";#N/A,#N/A,FALSE,"E-7, E-A7";#N/A,#N/A,FALSE,"E-8";#N/A,#N/A,FALSE,"E-9 A, B, C, D";#N/A,#N/A,FALSE,"EL-1, EML";#N/A,#N/A,FALSE,"ESL, ESRL";#N/A,#N/A,FALSE,"ETL, EL-7";#N/A,#N/A,FALSE,"EL-A7, EL-8"}</definedName>
    <definedName name="wrn.Res." localSheetId="9" hidden="1">{#N/A,#N/A,FALSE,"E-1, EM, ES";#N/A,#N/A,FALSE,"ESR, ET";#N/A,#N/A,FALSE,"E-7, E-A7";#N/A,#N/A,FALSE,"E-8";#N/A,#N/A,FALSE,"E-9 A, B, C, D";#N/A,#N/A,FALSE,"EL-1, EML";#N/A,#N/A,FALSE,"ESL, ESRL";#N/A,#N/A,FALSE,"ETL, EL-7";#N/A,#N/A,FALSE,"EL-A7, EL-8"}</definedName>
    <definedName name="wrn.Res." localSheetId="12" hidden="1">{#N/A,#N/A,FALSE,"E-1, EM, ES";#N/A,#N/A,FALSE,"ESR, ET";#N/A,#N/A,FALSE,"E-7, E-A7";#N/A,#N/A,FALSE,"E-8";#N/A,#N/A,FALSE,"E-9 A, B, C, D";#N/A,#N/A,FALSE,"EL-1, EML";#N/A,#N/A,FALSE,"ESL, ESRL";#N/A,#N/A,FALSE,"ETL, EL-7";#N/A,#N/A,FALSE,"EL-A7, EL-8"}</definedName>
    <definedName name="wrn.Res." localSheetId="11" hidden="1">{#N/A,#N/A,FALSE,"E-1, EM, ES";#N/A,#N/A,FALSE,"ESR, ET";#N/A,#N/A,FALSE,"E-7, E-A7";#N/A,#N/A,FALSE,"E-8";#N/A,#N/A,FALSE,"E-9 A, B, C, D";#N/A,#N/A,FALSE,"EL-1, EML";#N/A,#N/A,FALSE,"ESL, ESRL";#N/A,#N/A,FALSE,"ETL, EL-7";#N/A,#N/A,FALSE,"EL-A7, EL-8"}</definedName>
    <definedName name="wrn.Res." localSheetId="1" hidden="1">{#N/A,#N/A,FALSE,"E-1, EM, ES";#N/A,#N/A,FALSE,"ESR, ET";#N/A,#N/A,FALSE,"E-7, E-A7";#N/A,#N/A,FALSE,"E-8";#N/A,#N/A,FALSE,"E-9 A, B, C, D";#N/A,#N/A,FALSE,"EL-1, EML";#N/A,#N/A,FALSE,"ESL, ESRL";#N/A,#N/A,FALSE,"ETL, EL-7";#N/A,#N/A,FALSE,"EL-A7, EL-8"}</definedName>
    <definedName name="wrn.Res." hidden="1">{#N/A,#N/A,FALSE,"E-1, EM, ES";#N/A,#N/A,FALSE,"ESR, ET";#N/A,#N/A,FALSE,"E-7, E-A7";#N/A,#N/A,FALSE,"E-8";#N/A,#N/A,FALSE,"E-9 A, B, C, D";#N/A,#N/A,FALSE,"EL-1, EML";#N/A,#N/A,FALSE,"ESL, ESRL";#N/A,#N/A,FALSE,"ETL, EL-7";#N/A,#N/A,FALSE,"EL-A7, EL-8"}</definedName>
    <definedName name="wrn.Rev._.Alloc." localSheetId="10" hidden="1">{#N/A,#N/A,FALSE,"RRQ inputs ";#N/A,#N/A,FALSE,"FERC Rev @ PR";#N/A,#N/A,FALSE,"Distribution Revenue Allocation";#N/A,#N/A,FALSE,"Nonallocated Revenues";#N/A,#N/A,FALSE,"MC Revenues-03 sales, 96 MC's";#N/A,#N/A,FALSE,"FTA"}</definedName>
    <definedName name="wrn.Rev._.Alloc." localSheetId="17" hidden="1">{#N/A,#N/A,FALSE,"RRQ inputs ";#N/A,#N/A,FALSE,"FERC Rev @ PR";#N/A,#N/A,FALSE,"Distribution Revenue Allocation";#N/A,#N/A,FALSE,"Nonallocated Revenues";#N/A,#N/A,FALSE,"MC Revenues-03 sales, 96 MC's";#N/A,#N/A,FALSE,"FTA"}</definedName>
    <definedName name="wrn.Rev._.Alloc." localSheetId="9" hidden="1">{#N/A,#N/A,FALSE,"RRQ inputs ";#N/A,#N/A,FALSE,"FERC Rev @ PR";#N/A,#N/A,FALSE,"Distribution Revenue Allocation";#N/A,#N/A,FALSE,"Nonallocated Revenues";#N/A,#N/A,FALSE,"MC Revenues-03 sales, 96 MC's";#N/A,#N/A,FALSE,"FTA"}</definedName>
    <definedName name="wrn.Rev._.Alloc." localSheetId="12" hidden="1">{#N/A,#N/A,FALSE,"RRQ inputs ";#N/A,#N/A,FALSE,"FERC Rev @ PR";#N/A,#N/A,FALSE,"Distribution Revenue Allocation";#N/A,#N/A,FALSE,"Nonallocated Revenues";#N/A,#N/A,FALSE,"MC Revenues-03 sales, 96 MC's";#N/A,#N/A,FALSE,"FTA"}</definedName>
    <definedName name="wrn.Rev._.Alloc." localSheetId="11" hidden="1">{#N/A,#N/A,FALSE,"RRQ inputs ";#N/A,#N/A,FALSE,"FERC Rev @ PR";#N/A,#N/A,FALSE,"Distribution Revenue Allocation";#N/A,#N/A,FALSE,"Nonallocated Revenues";#N/A,#N/A,FALSE,"MC Revenues-03 sales, 96 MC's";#N/A,#N/A,FALSE,"FTA"}</definedName>
    <definedName name="wrn.Rev._.Alloc." localSheetId="1" hidden="1">{#N/A,#N/A,FALSE,"RRQ inputs ";#N/A,#N/A,FALSE,"FERC Rev @ PR";#N/A,#N/A,FALSE,"Distribution Revenue Allocation";#N/A,#N/A,FALSE,"Nonallocated Revenues";#N/A,#N/A,FALSE,"MC Revenues-03 sales, 96 MC's";#N/A,#N/A,FALSE,"FTA"}</definedName>
    <definedName name="wrn.Rev._.Alloc." hidden="1">{#N/A,#N/A,FALSE,"RRQ inputs ";#N/A,#N/A,FALSE,"FERC Rev @ PR";#N/A,#N/A,FALSE,"Distribution Revenue Allocation";#N/A,#N/A,FALSE,"Nonallocated Revenues";#N/A,#N/A,FALSE,"MC Revenues-03 sales, 96 MC's";#N/A,#N/A,FALSE,"FTA"}</definedName>
    <definedName name="wrn.schedules." localSheetId="10" hidden="1">{#N/A,#N/A,FALSE,"Res - Unadj";#N/A,#N/A,FALSE,"Small L&amp;P";#N/A,#N/A,FALSE,"Medium L&amp;P";#N/A,#N/A,FALSE,"E-19";#N/A,#N/A,FALSE,"E-20";#N/A,#N/A,FALSE,"A-RTP";#N/A,#N/A,FALSE,"Strtlts &amp; Standby";#N/A,#N/A,FALSE,"AG";#N/A,#N/A,FALSE,"2001mixeduse"}</definedName>
    <definedName name="wrn.schedules." localSheetId="17" hidden="1">{#N/A,#N/A,FALSE,"Res - Unadj";#N/A,#N/A,FALSE,"Small L&amp;P";#N/A,#N/A,FALSE,"Medium L&amp;P";#N/A,#N/A,FALSE,"E-19";#N/A,#N/A,FALSE,"E-20";#N/A,#N/A,FALSE,"A-RTP";#N/A,#N/A,FALSE,"Strtlts &amp; Standby";#N/A,#N/A,FALSE,"AG";#N/A,#N/A,FALSE,"2001mixeduse"}</definedName>
    <definedName name="wrn.schedules." localSheetId="9" hidden="1">{#N/A,#N/A,FALSE,"Res - Unadj";#N/A,#N/A,FALSE,"Small L&amp;P";#N/A,#N/A,FALSE,"Medium L&amp;P";#N/A,#N/A,FALSE,"E-19";#N/A,#N/A,FALSE,"E-20";#N/A,#N/A,FALSE,"A-RTP";#N/A,#N/A,FALSE,"Strtlts &amp; Standby";#N/A,#N/A,FALSE,"AG";#N/A,#N/A,FALSE,"2001mixeduse"}</definedName>
    <definedName name="wrn.schedules." localSheetId="12" hidden="1">{#N/A,#N/A,FALSE,"Res - Unadj";#N/A,#N/A,FALSE,"Small L&amp;P";#N/A,#N/A,FALSE,"Medium L&amp;P";#N/A,#N/A,FALSE,"E-19";#N/A,#N/A,FALSE,"E-20";#N/A,#N/A,FALSE,"A-RTP";#N/A,#N/A,FALSE,"Strtlts &amp; Standby";#N/A,#N/A,FALSE,"AG";#N/A,#N/A,FALSE,"2001mixeduse"}</definedName>
    <definedName name="wrn.schedules." localSheetId="11" hidden="1">{#N/A,#N/A,FALSE,"Res - Unadj";#N/A,#N/A,FALSE,"Small L&amp;P";#N/A,#N/A,FALSE,"Medium L&amp;P";#N/A,#N/A,FALSE,"E-19";#N/A,#N/A,FALSE,"E-20";#N/A,#N/A,FALSE,"A-RTP";#N/A,#N/A,FALSE,"Strtlts &amp; Standby";#N/A,#N/A,FALSE,"AG";#N/A,#N/A,FALSE,"2001mixeduse"}</definedName>
    <definedName name="wrn.schedules." localSheetId="1" hidden="1">{#N/A,#N/A,FALSE,"Res - Unadj";#N/A,#N/A,FALSE,"Small L&amp;P";#N/A,#N/A,FALSE,"Medium L&amp;P";#N/A,#N/A,FALSE,"E-19";#N/A,#N/A,FALSE,"E-20";#N/A,#N/A,FALSE,"A-RTP";#N/A,#N/A,FALSE,"Strtlts &amp; Standby";#N/A,#N/A,FALSE,"AG";#N/A,#N/A,FALSE,"2001mixeduse"}</definedName>
    <definedName name="wrn.schedules." hidden="1">{#N/A,#N/A,FALSE,"Res - Unadj";#N/A,#N/A,FALSE,"Small L&amp;P";#N/A,#N/A,FALSE,"Medium L&amp;P";#N/A,#N/A,FALSE,"E-19";#N/A,#N/A,FALSE,"E-20";#N/A,#N/A,FALSE,"A-RTP";#N/A,#N/A,FALSE,"Strtlts &amp; Standby";#N/A,#N/A,FALSE,"AG";#N/A,#N/A,FALSE,"2001mixeduse"}</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8" i="26" l="1"/>
  <c r="J48" i="26"/>
  <c r="K48" i="26"/>
  <c r="L48" i="26"/>
  <c r="M48" i="26"/>
  <c r="N48" i="26"/>
  <c r="O48" i="26"/>
  <c r="P48" i="26"/>
  <c r="Q48" i="26"/>
  <c r="R48" i="26"/>
  <c r="I47" i="26"/>
  <c r="J47" i="26"/>
  <c r="K47" i="26"/>
  <c r="L47" i="26"/>
  <c r="M47" i="26"/>
  <c r="N47" i="26"/>
  <c r="O47" i="26"/>
  <c r="P47" i="26"/>
  <c r="Q47" i="26"/>
  <c r="R47" i="26"/>
  <c r="S47" i="26"/>
  <c r="S48" i="26"/>
  <c r="H48" i="26"/>
  <c r="H47" i="26"/>
  <c r="I44" i="37"/>
  <c r="J44" i="37"/>
  <c r="K44" i="37"/>
  <c r="L44" i="37"/>
  <c r="M44" i="37"/>
  <c r="N44" i="37"/>
  <c r="O44" i="37"/>
  <c r="P44" i="37"/>
  <c r="Q44" i="37"/>
  <c r="R44" i="37"/>
  <c r="I43" i="37"/>
  <c r="J43" i="37"/>
  <c r="K43" i="37"/>
  <c r="L43" i="37"/>
  <c r="M43" i="37"/>
  <c r="N43" i="37"/>
  <c r="O43" i="37"/>
  <c r="P43" i="37"/>
  <c r="Q43" i="37"/>
  <c r="R43" i="37"/>
  <c r="H44" i="37"/>
  <c r="H43" i="37"/>
  <c r="I48" i="37"/>
  <c r="J48" i="37"/>
  <c r="K48" i="37"/>
  <c r="L48" i="37"/>
  <c r="M48" i="37"/>
  <c r="N48" i="37"/>
  <c r="O48" i="37"/>
  <c r="P48" i="37"/>
  <c r="Q48" i="37"/>
  <c r="R48" i="37"/>
  <c r="I47" i="37"/>
  <c r="J47" i="37"/>
  <c r="K47" i="37"/>
  <c r="L47" i="37"/>
  <c r="M47" i="37"/>
  <c r="N47" i="37"/>
  <c r="O47" i="37"/>
  <c r="P47" i="37"/>
  <c r="Q47" i="37"/>
  <c r="R47" i="37"/>
  <c r="H48" i="37"/>
  <c r="H47" i="37"/>
  <c r="I47" i="36"/>
  <c r="J47" i="36"/>
  <c r="K47" i="36"/>
  <c r="L47" i="36"/>
  <c r="M47" i="36"/>
  <c r="N47" i="36"/>
  <c r="O47" i="36"/>
  <c r="P47" i="36"/>
  <c r="Q47" i="36"/>
  <c r="R47" i="36"/>
  <c r="I48" i="36"/>
  <c r="J48" i="36"/>
  <c r="K48" i="36"/>
  <c r="L48" i="36"/>
  <c r="M48" i="36"/>
  <c r="N48" i="36"/>
  <c r="O48" i="36"/>
  <c r="P48" i="36"/>
  <c r="Q48" i="36"/>
  <c r="R48" i="36"/>
  <c r="H48" i="36"/>
  <c r="H47" i="36"/>
  <c r="I43" i="36"/>
  <c r="J43" i="36"/>
  <c r="K43" i="36"/>
  <c r="L43" i="36"/>
  <c r="M43" i="36"/>
  <c r="N43" i="36"/>
  <c r="O43" i="36"/>
  <c r="P43" i="36"/>
  <c r="Q43" i="36"/>
  <c r="R43" i="36"/>
  <c r="I44" i="36"/>
  <c r="J44" i="36"/>
  <c r="K44" i="36"/>
  <c r="L44" i="36"/>
  <c r="M44" i="36"/>
  <c r="N44" i="36"/>
  <c r="O44" i="36"/>
  <c r="P44" i="36"/>
  <c r="Q44" i="36"/>
  <c r="R44" i="36"/>
  <c r="H44" i="36"/>
  <c r="H43" i="36"/>
  <c r="I44" i="19"/>
  <c r="J44" i="19"/>
  <c r="K44" i="19"/>
  <c r="L44" i="19"/>
  <c r="M44" i="19"/>
  <c r="N44" i="19"/>
  <c r="O44" i="19"/>
  <c r="P44" i="19"/>
  <c r="Q44" i="19"/>
  <c r="R44" i="19"/>
  <c r="I43" i="19"/>
  <c r="J43" i="19"/>
  <c r="K43" i="19"/>
  <c r="L43" i="19"/>
  <c r="M43" i="19"/>
  <c r="N43" i="19"/>
  <c r="O43" i="19"/>
  <c r="P43" i="19"/>
  <c r="Q43" i="19"/>
  <c r="R43" i="19"/>
  <c r="H44" i="19"/>
  <c r="H43" i="19"/>
  <c r="I48" i="19"/>
  <c r="J48" i="19"/>
  <c r="K48" i="19"/>
  <c r="L48" i="19"/>
  <c r="M48" i="19"/>
  <c r="N48" i="19"/>
  <c r="O48" i="19"/>
  <c r="P48" i="19"/>
  <c r="Q48" i="19"/>
  <c r="R48" i="19"/>
  <c r="I47" i="19"/>
  <c r="J47" i="19"/>
  <c r="K47" i="19"/>
  <c r="L47" i="19"/>
  <c r="M47" i="19"/>
  <c r="N47" i="19"/>
  <c r="O47" i="19"/>
  <c r="P47" i="19"/>
  <c r="Q47" i="19"/>
  <c r="R47" i="19"/>
  <c r="H48" i="19"/>
  <c r="H47" i="19"/>
  <c r="H46" i="19"/>
  <c r="I44" i="26"/>
  <c r="J44" i="26"/>
  <c r="K44" i="26"/>
  <c r="L44" i="26"/>
  <c r="M44" i="26"/>
  <c r="N44" i="26"/>
  <c r="O44" i="26"/>
  <c r="P44" i="26"/>
  <c r="Q44" i="26"/>
  <c r="R44" i="26"/>
  <c r="H44" i="26"/>
  <c r="I43" i="26"/>
  <c r="J43" i="26"/>
  <c r="K43" i="26"/>
  <c r="L43" i="26"/>
  <c r="M43" i="26"/>
  <c r="N43" i="26"/>
  <c r="O43" i="26"/>
  <c r="P43" i="26"/>
  <c r="Q43" i="26"/>
  <c r="R43" i="26"/>
  <c r="H43" i="26"/>
  <c r="S47" i="37"/>
  <c r="S48" i="19"/>
  <c r="S48" i="37"/>
  <c r="S46" i="37"/>
  <c r="S45" i="26"/>
  <c r="S45" i="36"/>
  <c r="S48" i="36"/>
  <c r="S45" i="37"/>
  <c r="S47" i="36"/>
  <c r="S46" i="36"/>
  <c r="S46" i="26"/>
  <c r="AB52" i="18"/>
  <c r="AB53" i="18"/>
  <c r="AB54" i="18"/>
  <c r="AA52" i="18"/>
  <c r="AA53" i="18"/>
  <c r="AA54" i="18"/>
  <c r="AB51" i="18"/>
  <c r="AA51" i="18"/>
  <c r="AB40" i="18"/>
  <c r="AB41" i="18"/>
  <c r="AB42" i="18"/>
  <c r="AA40" i="18"/>
  <c r="AA41" i="18"/>
  <c r="AA42" i="18"/>
  <c r="AB39" i="18"/>
  <c r="AA39" i="18"/>
  <c r="I70" i="5"/>
  <c r="J70" i="5"/>
  <c r="Y18" i="30"/>
  <c r="H37" i="36"/>
  <c r="H38" i="36"/>
  <c r="I37" i="36"/>
  <c r="I38" i="36"/>
  <c r="J37" i="36"/>
  <c r="J38" i="36"/>
  <c r="K37" i="36"/>
  <c r="K38" i="36"/>
  <c r="L37" i="36"/>
  <c r="L38" i="36"/>
  <c r="M37" i="36"/>
  <c r="M38" i="36"/>
  <c r="N37" i="36"/>
  <c r="N38" i="36"/>
  <c r="O37" i="36"/>
  <c r="O38" i="36"/>
  <c r="P37" i="36"/>
  <c r="P38" i="36"/>
  <c r="Q37" i="36"/>
  <c r="Q38" i="36"/>
  <c r="R37" i="36"/>
  <c r="R38" i="36"/>
  <c r="S37" i="36"/>
  <c r="S38" i="36"/>
  <c r="G37" i="36"/>
  <c r="G38" i="36"/>
  <c r="H37" i="37"/>
  <c r="H38" i="37"/>
  <c r="I37" i="37"/>
  <c r="I38" i="37"/>
  <c r="J37" i="37"/>
  <c r="J38" i="37"/>
  <c r="K37" i="37"/>
  <c r="K38" i="37"/>
  <c r="L37" i="37"/>
  <c r="L38" i="37"/>
  <c r="M37" i="37"/>
  <c r="M38" i="37"/>
  <c r="N37" i="37"/>
  <c r="N38" i="37"/>
  <c r="O37" i="37"/>
  <c r="O38" i="37"/>
  <c r="P37" i="37"/>
  <c r="P38" i="37"/>
  <c r="Q37" i="37"/>
  <c r="Q38" i="37"/>
  <c r="R37" i="37"/>
  <c r="R38" i="37"/>
  <c r="S37" i="37"/>
  <c r="S38" i="37"/>
  <c r="G37" i="37"/>
  <c r="G38" i="37"/>
  <c r="H37" i="26"/>
  <c r="I37" i="26"/>
  <c r="J37" i="26"/>
  <c r="K37" i="26"/>
  <c r="L37" i="26"/>
  <c r="M37" i="26"/>
  <c r="N37" i="26"/>
  <c r="O37" i="26"/>
  <c r="P37" i="26"/>
  <c r="Q37" i="26"/>
  <c r="R37" i="26"/>
  <c r="S37" i="26"/>
  <c r="G37" i="26"/>
  <c r="J38" i="19"/>
  <c r="L38" i="19"/>
  <c r="N38" i="19"/>
  <c r="O38" i="19"/>
  <c r="I37" i="19"/>
  <c r="I38" i="19"/>
  <c r="J37" i="19"/>
  <c r="K37" i="19"/>
  <c r="K38" i="19"/>
  <c r="L37" i="19"/>
  <c r="M37" i="19"/>
  <c r="M38" i="19"/>
  <c r="N37" i="19"/>
  <c r="O37" i="19"/>
  <c r="P37" i="19"/>
  <c r="P38" i="19"/>
  <c r="Q37" i="19"/>
  <c r="Q38" i="19"/>
  <c r="R37" i="19"/>
  <c r="R38" i="19"/>
  <c r="S37" i="19"/>
  <c r="S38" i="19"/>
  <c r="G37" i="19"/>
  <c r="G38" i="19"/>
  <c r="N131" i="5"/>
  <c r="P131" i="5"/>
  <c r="O131" i="5"/>
  <c r="L131" i="5"/>
  <c r="E131" i="5"/>
  <c r="P130" i="5"/>
  <c r="M130" i="5"/>
  <c r="L130" i="5"/>
  <c r="E130" i="5"/>
  <c r="G20" i="37"/>
  <c r="G19" i="37"/>
  <c r="F27" i="36"/>
  <c r="G20" i="36"/>
  <c r="G19" i="36"/>
  <c r="F27" i="37"/>
  <c r="L114" i="5"/>
  <c r="L115" i="5"/>
  <c r="L116" i="5"/>
  <c r="L117" i="5"/>
  <c r="L118" i="5"/>
  <c r="L119" i="5"/>
  <c r="L120" i="5"/>
  <c r="L121" i="5"/>
  <c r="L122" i="5"/>
  <c r="H17" i="5"/>
  <c r="P114" i="5"/>
  <c r="P115" i="5"/>
  <c r="P116" i="5"/>
  <c r="P117" i="5"/>
  <c r="P118" i="5"/>
  <c r="P119" i="5"/>
  <c r="P120" i="5"/>
  <c r="P121" i="5"/>
  <c r="P122" i="5"/>
  <c r="E114" i="5"/>
  <c r="E115" i="5"/>
  <c r="E116" i="5"/>
  <c r="E117" i="5"/>
  <c r="E118" i="5"/>
  <c r="E119" i="5"/>
  <c r="E120" i="5"/>
  <c r="E121" i="5"/>
  <c r="E122" i="5"/>
  <c r="AK33" i="36"/>
  <c r="AK34" i="36"/>
  <c r="AK40" i="36"/>
  <c r="AJ31" i="36"/>
  <c r="AJ32" i="36"/>
  <c r="AJ34" i="36"/>
  <c r="AJ35" i="36"/>
  <c r="AJ38" i="36"/>
  <c r="AK33" i="37"/>
  <c r="AK34" i="37"/>
  <c r="AK35" i="37"/>
  <c r="AK38" i="37"/>
  <c r="AJ33" i="37"/>
  <c r="AJ34" i="37"/>
  <c r="AJ35" i="37"/>
  <c r="AJ40" i="37"/>
  <c r="AK40" i="37"/>
  <c r="AJ40" i="36"/>
  <c r="AK39" i="37"/>
  <c r="AJ39" i="36"/>
  <c r="AK38" i="36"/>
  <c r="AJ38" i="37"/>
  <c r="AK37" i="36"/>
  <c r="AJ37" i="37"/>
  <c r="AK36" i="37"/>
  <c r="AJ36" i="37"/>
  <c r="AK35" i="36"/>
  <c r="AJ33" i="36"/>
  <c r="AK32" i="37"/>
  <c r="AJ32" i="37"/>
  <c r="AK31" i="37"/>
  <c r="AJ31" i="37"/>
  <c r="AK30" i="37"/>
  <c r="AJ30" i="37"/>
  <c r="AK36" i="36"/>
  <c r="AJ39" i="37"/>
  <c r="AK37" i="37"/>
  <c r="AJ37" i="36"/>
  <c r="AJ36" i="36"/>
  <c r="AK32" i="36"/>
  <c r="AK31" i="36"/>
  <c r="AK39" i="36"/>
  <c r="AK30" i="36"/>
  <c r="AJ30" i="36"/>
  <c r="K56" i="37"/>
  <c r="K56" i="36"/>
  <c r="G56" i="37"/>
  <c r="G56" i="36"/>
  <c r="O56" i="36"/>
  <c r="O56" i="37"/>
  <c r="J115" i="20"/>
  <c r="Q29" i="36"/>
  <c r="G29" i="36"/>
  <c r="Q28" i="36"/>
  <c r="Q29" i="37"/>
  <c r="G29" i="37"/>
  <c r="Q28" i="37"/>
  <c r="G28" i="37"/>
  <c r="E116" i="20"/>
  <c r="G28" i="36"/>
  <c r="E117" i="20"/>
  <c r="O53" i="36"/>
  <c r="K53" i="36"/>
  <c r="G53" i="36"/>
  <c r="S6" i="36"/>
  <c r="R6" i="36"/>
  <c r="Q6" i="36"/>
  <c r="P6" i="36"/>
  <c r="O6" i="36"/>
  <c r="N6" i="36"/>
  <c r="M6" i="36"/>
  <c r="L6" i="36"/>
  <c r="K6" i="36"/>
  <c r="J6" i="36"/>
  <c r="I6" i="36"/>
  <c r="G6" i="36"/>
  <c r="AC48" i="36"/>
  <c r="AE48" i="36"/>
  <c r="AF48" i="36"/>
  <c r="AB48" i="36"/>
  <c r="AC43" i="36"/>
  <c r="AE43" i="36"/>
  <c r="AF43" i="36"/>
  <c r="AB43" i="36"/>
  <c r="D117" i="20"/>
  <c r="AC48" i="37"/>
  <c r="AE48" i="37"/>
  <c r="AF48" i="37"/>
  <c r="AB48" i="37"/>
  <c r="AC43" i="37"/>
  <c r="AE43" i="37"/>
  <c r="AF43" i="37"/>
  <c r="AB43" i="37"/>
  <c r="D116" i="20"/>
  <c r="O53" i="37"/>
  <c r="K53" i="37"/>
  <c r="G53" i="37"/>
  <c r="S6" i="37"/>
  <c r="R6" i="37"/>
  <c r="Q6" i="37"/>
  <c r="P6" i="37"/>
  <c r="O6" i="37"/>
  <c r="N6" i="37"/>
  <c r="M6" i="37"/>
  <c r="L6" i="37"/>
  <c r="K6" i="37"/>
  <c r="J6" i="37"/>
  <c r="I6" i="37"/>
  <c r="G6" i="37"/>
  <c r="E62" i="26"/>
  <c r="E63" i="36"/>
  <c r="E64" i="36"/>
  <c r="E65" i="36"/>
  <c r="E62" i="36"/>
  <c r="E64" i="37"/>
  <c r="E65" i="37"/>
  <c r="E62" i="37"/>
  <c r="P27" i="37"/>
  <c r="F36" i="37"/>
  <c r="F37" i="37"/>
  <c r="H6" i="37"/>
  <c r="F41" i="37"/>
  <c r="S44" i="37"/>
  <c r="S19" i="37"/>
  <c r="G43" i="37"/>
  <c r="G44" i="37"/>
  <c r="S20" i="37"/>
  <c r="G47" i="37"/>
  <c r="G48" i="37"/>
  <c r="G54" i="37"/>
  <c r="O46" i="37"/>
  <c r="P27" i="36"/>
  <c r="AN34" i="36"/>
  <c r="F36" i="36"/>
  <c r="H6" i="36"/>
  <c r="F41" i="36"/>
  <c r="H42" i="36"/>
  <c r="I42" i="36"/>
  <c r="J42" i="36"/>
  <c r="L42" i="36"/>
  <c r="G43" i="36"/>
  <c r="S44" i="36"/>
  <c r="S19" i="36"/>
  <c r="G44" i="36"/>
  <c r="S20" i="36"/>
  <c r="G47" i="36"/>
  <c r="G48" i="36"/>
  <c r="I41" i="36"/>
  <c r="I19" i="36"/>
  <c r="J41" i="36"/>
  <c r="J19" i="36"/>
  <c r="G54" i="36"/>
  <c r="K42" i="36"/>
  <c r="O54" i="36"/>
  <c r="Q46" i="36"/>
  <c r="C48" i="24"/>
  <c r="C40" i="24"/>
  <c r="C64" i="24"/>
  <c r="C24" i="24"/>
  <c r="C32" i="24"/>
  <c r="C56" i="24"/>
  <c r="S20" i="19"/>
  <c r="E129" i="5"/>
  <c r="E128" i="5"/>
  <c r="N127" i="5"/>
  <c r="N126" i="5"/>
  <c r="M129" i="5"/>
  <c r="L129" i="5"/>
  <c r="M128" i="5"/>
  <c r="L128" i="5"/>
  <c r="P126" i="5"/>
  <c r="P127" i="5"/>
  <c r="P128" i="5"/>
  <c r="P129" i="5"/>
  <c r="E127" i="5"/>
  <c r="F35" i="26"/>
  <c r="C9" i="24"/>
  <c r="D24" i="18"/>
  <c r="O112" i="5"/>
  <c r="O111" i="5"/>
  <c r="W24" i="27"/>
  <c r="W23" i="27"/>
  <c r="W22" i="27"/>
  <c r="E31" i="22"/>
  <c r="D31" i="22"/>
  <c r="E25" i="22"/>
  <c r="D25" i="22"/>
  <c r="D27" i="29"/>
  <c r="D24" i="29"/>
  <c r="D22" i="29"/>
  <c r="G12" i="22"/>
  <c r="D29" i="22"/>
  <c r="H16" i="22"/>
  <c r="F16" i="22"/>
  <c r="Q15" i="22"/>
  <c r="S15" i="22"/>
  <c r="F15" i="22"/>
  <c r="H15" i="22"/>
  <c r="M79" i="2"/>
  <c r="M80" i="2"/>
  <c r="E43" i="5"/>
  <c r="G43" i="5"/>
  <c r="E42" i="5"/>
  <c r="E38" i="5"/>
  <c r="G38" i="5"/>
  <c r="E37" i="5"/>
  <c r="G37" i="5"/>
  <c r="G46" i="5"/>
  <c r="E34" i="5"/>
  <c r="G34" i="5"/>
  <c r="H34" i="5"/>
  <c r="I34" i="5"/>
  <c r="J34" i="5"/>
  <c r="E32" i="5"/>
  <c r="G32" i="5"/>
  <c r="H32" i="5"/>
  <c r="I32" i="5"/>
  <c r="E30" i="5"/>
  <c r="G30" i="5"/>
  <c r="H30" i="5"/>
  <c r="I30" i="5"/>
  <c r="J30" i="5"/>
  <c r="E45" i="5"/>
  <c r="G45" i="5"/>
  <c r="E44" i="5"/>
  <c r="G44" i="5"/>
  <c r="C80" i="2"/>
  <c r="D80" i="2"/>
  <c r="E80" i="2"/>
  <c r="C79" i="2"/>
  <c r="D79" i="2"/>
  <c r="E79" i="2"/>
  <c r="E92" i="2"/>
  <c r="M92" i="2"/>
  <c r="AF71" i="18"/>
  <c r="H14" i="27"/>
  <c r="J14" i="27"/>
  <c r="D24" i="27"/>
  <c r="D23" i="27"/>
  <c r="D22" i="27"/>
  <c r="AB37" i="30"/>
  <c r="Q29" i="26"/>
  <c r="Y37" i="30"/>
  <c r="AB36" i="30"/>
  <c r="Y36" i="30"/>
  <c r="D29" i="18"/>
  <c r="D22" i="18"/>
  <c r="O31" i="20"/>
  <c r="AC51" i="23"/>
  <c r="E31" i="20"/>
  <c r="AF50" i="23"/>
  <c r="Q28" i="19"/>
  <c r="AC50" i="23"/>
  <c r="D67" i="17"/>
  <c r="K88" i="22"/>
  <c r="K103" i="22"/>
  <c r="C51" i="22"/>
  <c r="AA34" i="29"/>
  <c r="AB34" i="29"/>
  <c r="C31" i="29"/>
  <c r="Z37" i="30"/>
  <c r="Z36" i="30"/>
  <c r="X36" i="30"/>
  <c r="Z32" i="30"/>
  <c r="Z31" i="30"/>
  <c r="Y29" i="30"/>
  <c r="Z29" i="30"/>
  <c r="AA29" i="30"/>
  <c r="AB29" i="30"/>
  <c r="X29" i="30"/>
  <c r="AD45" i="23"/>
  <c r="AD46" i="23"/>
  <c r="AC43" i="23"/>
  <c r="AD43" i="23"/>
  <c r="AE43" i="23"/>
  <c r="AF43" i="23"/>
  <c r="AB43" i="23"/>
  <c r="F155" i="2"/>
  <c r="F152" i="2"/>
  <c r="E65" i="26"/>
  <c r="O53" i="26"/>
  <c r="K53" i="26"/>
  <c r="G53" i="26"/>
  <c r="G54" i="26"/>
  <c r="R38" i="26"/>
  <c r="Q38" i="26"/>
  <c r="P38" i="26"/>
  <c r="P6" i="26"/>
  <c r="O38" i="26"/>
  <c r="N38" i="26"/>
  <c r="M38" i="26"/>
  <c r="K6" i="30"/>
  <c r="K10" i="30"/>
  <c r="K38" i="26"/>
  <c r="I6" i="30"/>
  <c r="I10" i="30"/>
  <c r="G38" i="26"/>
  <c r="G6" i="26"/>
  <c r="S44" i="26"/>
  <c r="S19" i="26"/>
  <c r="AB32" i="30"/>
  <c r="AA32" i="30"/>
  <c r="Y32" i="30"/>
  <c r="X32" i="30"/>
  <c r="AB31" i="30"/>
  <c r="AA31" i="30"/>
  <c r="L27" i="17"/>
  <c r="Y31" i="30"/>
  <c r="X31" i="30"/>
  <c r="D27" i="17"/>
  <c r="S20" i="26"/>
  <c r="Z40" i="29"/>
  <c r="AA39" i="27"/>
  <c r="AB39" i="27"/>
  <c r="AA38" i="27"/>
  <c r="AB38" i="27"/>
  <c r="AA37" i="27"/>
  <c r="AB37" i="27"/>
  <c r="AA36" i="27"/>
  <c r="AB36" i="27"/>
  <c r="AA35" i="27"/>
  <c r="AB35" i="27"/>
  <c r="AA34" i="27"/>
  <c r="AB34" i="27"/>
  <c r="C31" i="27"/>
  <c r="AC45" i="26"/>
  <c r="AD45" i="26"/>
  <c r="AE45" i="26"/>
  <c r="AF45" i="26"/>
  <c r="AB45" i="26"/>
  <c r="I27" i="5"/>
  <c r="J27" i="5"/>
  <c r="I26" i="5"/>
  <c r="J26" i="5"/>
  <c r="AD49" i="18"/>
  <c r="AD60" i="18"/>
  <c r="AE60" i="18"/>
  <c r="AF60" i="18"/>
  <c r="AG60" i="18"/>
  <c r="AC40" i="36"/>
  <c r="AB40" i="36"/>
  <c r="AC39" i="36"/>
  <c r="AB39" i="36"/>
  <c r="AC38" i="36"/>
  <c r="AB38" i="36"/>
  <c r="AC37" i="36"/>
  <c r="AB37" i="36"/>
  <c r="AC36" i="36"/>
  <c r="AB36" i="36"/>
  <c r="AC34" i="36"/>
  <c r="AB34" i="36"/>
  <c r="AC33" i="36"/>
  <c r="AB33" i="36"/>
  <c r="AC32" i="36"/>
  <c r="AB32" i="36"/>
  <c r="AC31" i="36"/>
  <c r="AB31" i="36"/>
  <c r="AC30" i="36"/>
  <c r="AB30" i="36"/>
  <c r="K142" i="2"/>
  <c r="K147" i="2"/>
  <c r="K149" i="2"/>
  <c r="K150" i="2"/>
  <c r="K12" i="2"/>
  <c r="E13" i="5"/>
  <c r="G13" i="5"/>
  <c r="K13" i="2"/>
  <c r="E18" i="5"/>
  <c r="K16" i="2"/>
  <c r="E14" i="5"/>
  <c r="G14" i="5"/>
  <c r="K18" i="2"/>
  <c r="K20" i="2"/>
  <c r="E19" i="5"/>
  <c r="G19" i="5"/>
  <c r="H19" i="5"/>
  <c r="I19" i="5"/>
  <c r="J19" i="5"/>
  <c r="K25" i="2"/>
  <c r="K32" i="2"/>
  <c r="K35" i="2"/>
  <c r="K36" i="2"/>
  <c r="K37" i="2"/>
  <c r="K39" i="2"/>
  <c r="E25" i="5"/>
  <c r="G25" i="5"/>
  <c r="K48" i="2"/>
  <c r="K51" i="2"/>
  <c r="K58" i="2"/>
  <c r="E50" i="5"/>
  <c r="G50" i="5"/>
  <c r="K63" i="2"/>
  <c r="K84" i="2"/>
  <c r="F67" i="2"/>
  <c r="F70" i="2"/>
  <c r="F71" i="2"/>
  <c r="F72" i="2"/>
  <c r="F87" i="2"/>
  <c r="F88" i="2"/>
  <c r="F89" i="2"/>
  <c r="F90" i="2"/>
  <c r="F91" i="2"/>
  <c r="F141" i="2"/>
  <c r="F144" i="2"/>
  <c r="F145" i="2"/>
  <c r="F153" i="2"/>
  <c r="F154" i="2"/>
  <c r="D115" i="20"/>
  <c r="AF50" i="18"/>
  <c r="AG50" i="18"/>
  <c r="AF42" i="18"/>
  <c r="AG42" i="18"/>
  <c r="AF41" i="18"/>
  <c r="AF40" i="18"/>
  <c r="N89" i="18"/>
  <c r="N74" i="18"/>
  <c r="C27" i="18"/>
  <c r="M46" i="19"/>
  <c r="K57" i="19"/>
  <c r="O53" i="19"/>
  <c r="K53" i="19"/>
  <c r="H42" i="19"/>
  <c r="R6" i="23"/>
  <c r="R10" i="23"/>
  <c r="Q6" i="23"/>
  <c r="Q10" i="23"/>
  <c r="P6" i="19"/>
  <c r="N6" i="23"/>
  <c r="N10" i="23"/>
  <c r="M6" i="19"/>
  <c r="K6" i="23"/>
  <c r="K10" i="23"/>
  <c r="I6" i="19"/>
  <c r="AF46" i="23"/>
  <c r="AF45" i="23"/>
  <c r="N31" i="20"/>
  <c r="N29" i="20"/>
  <c r="AC46" i="23"/>
  <c r="AC45" i="23"/>
  <c r="AB46" i="23"/>
  <c r="D28" i="17"/>
  <c r="D29" i="20"/>
  <c r="AK36" i="26"/>
  <c r="AK37" i="26"/>
  <c r="AJ36" i="26"/>
  <c r="K21" i="2"/>
  <c r="E20" i="5"/>
  <c r="G20" i="5"/>
  <c r="K153" i="2"/>
  <c r="K154" i="2"/>
  <c r="K155" i="2"/>
  <c r="K151" i="2"/>
  <c r="E92" i="5"/>
  <c r="G92" i="5"/>
  <c r="M113" i="5"/>
  <c r="M112" i="5"/>
  <c r="N111" i="5"/>
  <c r="N112" i="5"/>
  <c r="M111" i="5"/>
  <c r="N107" i="5"/>
  <c r="C6" i="5"/>
  <c r="K17" i="2"/>
  <c r="E16" i="5"/>
  <c r="K71" i="2"/>
  <c r="E40" i="5"/>
  <c r="G40" i="5"/>
  <c r="M71" i="2"/>
  <c r="K38" i="2"/>
  <c r="E24" i="5"/>
  <c r="G24" i="5"/>
  <c r="K91" i="2"/>
  <c r="E66" i="5"/>
  <c r="G66" i="5"/>
  <c r="M91" i="2"/>
  <c r="M145" i="2"/>
  <c r="M144" i="2"/>
  <c r="K145" i="2"/>
  <c r="E78" i="5"/>
  <c r="G78" i="5"/>
  <c r="K47" i="2"/>
  <c r="K33" i="2"/>
  <c r="E26" i="5"/>
  <c r="G26" i="5"/>
  <c r="K146" i="2"/>
  <c r="K136" i="2"/>
  <c r="E73" i="5"/>
  <c r="G73" i="5"/>
  <c r="H73" i="5"/>
  <c r="K135" i="2"/>
  <c r="K134" i="2"/>
  <c r="E72" i="5"/>
  <c r="G72" i="5"/>
  <c r="K133" i="2"/>
  <c r="K132" i="2"/>
  <c r="E71" i="5"/>
  <c r="G71" i="5"/>
  <c r="K131" i="2"/>
  <c r="K130" i="2"/>
  <c r="K129" i="2"/>
  <c r="K128" i="2"/>
  <c r="K127" i="2"/>
  <c r="E60" i="5"/>
  <c r="G60" i="5"/>
  <c r="K123" i="2"/>
  <c r="E75" i="5"/>
  <c r="G75" i="5"/>
  <c r="H75" i="5"/>
  <c r="K122" i="2"/>
  <c r="K117" i="2"/>
  <c r="K116" i="2"/>
  <c r="E70" i="5"/>
  <c r="K115" i="2"/>
  <c r="K114" i="2"/>
  <c r="E69" i="5"/>
  <c r="G69" i="5"/>
  <c r="K113" i="2"/>
  <c r="K111" i="2"/>
  <c r="K110" i="2"/>
  <c r="K109" i="2"/>
  <c r="K108" i="2"/>
  <c r="K107" i="2"/>
  <c r="K118" i="2"/>
  <c r="E67" i="5"/>
  <c r="G67" i="5"/>
  <c r="K121" i="2"/>
  <c r="E63" i="5"/>
  <c r="G63" i="5"/>
  <c r="K119" i="2"/>
  <c r="E68" i="5"/>
  <c r="G68" i="5"/>
  <c r="K140" i="2"/>
  <c r="E76" i="5"/>
  <c r="G76" i="5"/>
  <c r="H76" i="5"/>
  <c r="K105" i="2"/>
  <c r="E64" i="5"/>
  <c r="H64" i="5"/>
  <c r="K120" i="2"/>
  <c r="E62" i="5"/>
  <c r="G62" i="5"/>
  <c r="H62" i="5"/>
  <c r="I62" i="5"/>
  <c r="N130" i="5"/>
  <c r="K143" i="2"/>
  <c r="E77" i="5"/>
  <c r="G77" i="5"/>
  <c r="K15" i="2"/>
  <c r="E12" i="5"/>
  <c r="G12" i="5"/>
  <c r="K34" i="2"/>
  <c r="E27" i="5"/>
  <c r="G27" i="5"/>
  <c r="N113" i="5"/>
  <c r="M104" i="5"/>
  <c r="M105" i="5"/>
  <c r="Q10" i="24"/>
  <c r="L103" i="5"/>
  <c r="L102" i="5"/>
  <c r="I53" i="5"/>
  <c r="J53" i="5"/>
  <c r="I54" i="5"/>
  <c r="J54" i="5"/>
  <c r="I55" i="5"/>
  <c r="J55" i="5"/>
  <c r="I52" i="5"/>
  <c r="J52" i="5"/>
  <c r="M141" i="2"/>
  <c r="K141" i="2"/>
  <c r="H141" i="2"/>
  <c r="I141" i="2"/>
  <c r="E108" i="5"/>
  <c r="L108" i="5"/>
  <c r="P108" i="5"/>
  <c r="E109" i="5"/>
  <c r="L109" i="5"/>
  <c r="P109" i="5"/>
  <c r="I51" i="5"/>
  <c r="J51" i="5"/>
  <c r="M87" i="2"/>
  <c r="M88" i="2"/>
  <c r="M89" i="2"/>
  <c r="M90" i="2"/>
  <c r="M70" i="2"/>
  <c r="M72" i="2"/>
  <c r="M67" i="2"/>
  <c r="K90" i="2"/>
  <c r="E53" i="5"/>
  <c r="G53" i="5"/>
  <c r="K88" i="2"/>
  <c r="E55" i="5"/>
  <c r="G55" i="5"/>
  <c r="K89" i="2"/>
  <c r="E52" i="5"/>
  <c r="G52" i="5"/>
  <c r="K87" i="2"/>
  <c r="E54" i="5"/>
  <c r="G54" i="5"/>
  <c r="K72" i="2"/>
  <c r="E41" i="5"/>
  <c r="G41" i="5"/>
  <c r="K70" i="2"/>
  <c r="E39" i="5"/>
  <c r="G39" i="5"/>
  <c r="K67" i="2"/>
  <c r="E51" i="5"/>
  <c r="K86" i="2"/>
  <c r="E48" i="5"/>
  <c r="G48" i="5"/>
  <c r="K64" i="2"/>
  <c r="K62" i="2"/>
  <c r="E36" i="5"/>
  <c r="G36" i="5"/>
  <c r="K19" i="2"/>
  <c r="E17" i="5"/>
  <c r="H77" i="2"/>
  <c r="I77" i="2"/>
  <c r="H9" i="2"/>
  <c r="I9" i="2"/>
  <c r="K101" i="2"/>
  <c r="K85" i="2"/>
  <c r="E47" i="5"/>
  <c r="G47" i="5"/>
  <c r="K83" i="2"/>
  <c r="K82" i="2"/>
  <c r="K81" i="2"/>
  <c r="J73" i="2"/>
  <c r="K73" i="2"/>
  <c r="J74" i="2"/>
  <c r="K74" i="2"/>
  <c r="K61" i="2"/>
  <c r="E35" i="5"/>
  <c r="G35" i="5"/>
  <c r="H35" i="5"/>
  <c r="K57" i="2"/>
  <c r="E49" i="5"/>
  <c r="G49" i="5"/>
  <c r="K59" i="2"/>
  <c r="K46" i="2"/>
  <c r="K44" i="2"/>
  <c r="E28" i="5"/>
  <c r="G28" i="5"/>
  <c r="K43" i="2"/>
  <c r="K42" i="2"/>
  <c r="K31" i="2"/>
  <c r="M30" i="2"/>
  <c r="M31" i="2"/>
  <c r="M36" i="2"/>
  <c r="E84" i="5"/>
  <c r="G84" i="5"/>
  <c r="K29" i="2"/>
  <c r="K28" i="2"/>
  <c r="E22" i="5"/>
  <c r="G22" i="5"/>
  <c r="K27" i="2"/>
  <c r="K26" i="2"/>
  <c r="M115" i="5"/>
  <c r="K11" i="2"/>
  <c r="K100" i="2"/>
  <c r="E61" i="5"/>
  <c r="G61" i="5"/>
  <c r="H61" i="5"/>
  <c r="I61" i="5"/>
  <c r="J61" i="5"/>
  <c r="K41" i="2"/>
  <c r="K10" i="2"/>
  <c r="E11" i="5"/>
  <c r="G11" i="5"/>
  <c r="H11" i="5"/>
  <c r="K102" i="2"/>
  <c r="E65" i="5"/>
  <c r="G65" i="5"/>
  <c r="K97" i="2"/>
  <c r="E59" i="5"/>
  <c r="G59" i="5"/>
  <c r="K45" i="2"/>
  <c r="E29" i="5"/>
  <c r="G29" i="5"/>
  <c r="K103" i="2"/>
  <c r="K53" i="2"/>
  <c r="E31" i="5"/>
  <c r="G31" i="5"/>
  <c r="K30" i="2"/>
  <c r="E23" i="5"/>
  <c r="G23" i="5"/>
  <c r="K55" i="2"/>
  <c r="E33" i="5"/>
  <c r="G33" i="5"/>
  <c r="H33" i="5"/>
  <c r="I33" i="5"/>
  <c r="J33" i="5"/>
  <c r="J156" i="2"/>
  <c r="P113" i="5"/>
  <c r="L113" i="5"/>
  <c r="O113" i="5"/>
  <c r="P112" i="5"/>
  <c r="P111" i="5"/>
  <c r="X19" i="22"/>
  <c r="I31" i="27"/>
  <c r="G31" i="27"/>
  <c r="I67" i="5"/>
  <c r="J67" i="5"/>
  <c r="I17" i="5"/>
  <c r="J17" i="5"/>
  <c r="E126" i="5"/>
  <c r="Y34" i="30"/>
  <c r="AA34" i="30"/>
  <c r="AB34" i="30"/>
  <c r="X34" i="30"/>
  <c r="AC48" i="23"/>
  <c r="AE48" i="23"/>
  <c r="AF48" i="23"/>
  <c r="AB48" i="23"/>
  <c r="AC50" i="26"/>
  <c r="AE50" i="26"/>
  <c r="AF50" i="26"/>
  <c r="AB50" i="26"/>
  <c r="I147" i="2"/>
  <c r="I149" i="2"/>
  <c r="I150" i="2"/>
  <c r="I157" i="2"/>
  <c r="I32" i="2"/>
  <c r="D11" i="2"/>
  <c r="E11" i="2"/>
  <c r="F11" i="2"/>
  <c r="D32" i="2"/>
  <c r="E32" i="2"/>
  <c r="F32" i="2"/>
  <c r="D35" i="2"/>
  <c r="E35" i="2"/>
  <c r="F35" i="2"/>
  <c r="D57" i="2"/>
  <c r="E57" i="2"/>
  <c r="F57" i="2"/>
  <c r="D58" i="2"/>
  <c r="E58" i="2"/>
  <c r="F58" i="2"/>
  <c r="D59" i="2"/>
  <c r="E59" i="2"/>
  <c r="F59" i="2"/>
  <c r="D60" i="2"/>
  <c r="E60" i="2"/>
  <c r="F60" i="2"/>
  <c r="D76" i="2"/>
  <c r="E76" i="2"/>
  <c r="F76" i="2"/>
  <c r="D112" i="2"/>
  <c r="E112" i="2"/>
  <c r="F112" i="2"/>
  <c r="D139" i="2"/>
  <c r="E139" i="2"/>
  <c r="F139" i="2"/>
  <c r="D75" i="2"/>
  <c r="E75" i="2"/>
  <c r="F75" i="2"/>
  <c r="P19" i="29"/>
  <c r="E4" i="29"/>
  <c r="P11" i="22"/>
  <c r="C41" i="24"/>
  <c r="C65" i="24"/>
  <c r="L110" i="5"/>
  <c r="P110" i="5"/>
  <c r="E110" i="5"/>
  <c r="Z39" i="29"/>
  <c r="Z38" i="29"/>
  <c r="Z35" i="29"/>
  <c r="M34" i="2"/>
  <c r="S44" i="19"/>
  <c r="S19" i="19"/>
  <c r="R24" i="29"/>
  <c r="S24" i="29"/>
  <c r="T24" i="29"/>
  <c r="U24" i="29"/>
  <c r="V24" i="29"/>
  <c r="W24" i="29"/>
  <c r="Q24" i="29"/>
  <c r="R23" i="29"/>
  <c r="S23" i="29"/>
  <c r="T23" i="29"/>
  <c r="U23" i="29"/>
  <c r="V23" i="29"/>
  <c r="W23" i="29"/>
  <c r="Q23" i="29"/>
  <c r="R22" i="29"/>
  <c r="S22" i="29"/>
  <c r="T22" i="29"/>
  <c r="U22" i="29"/>
  <c r="V22" i="29"/>
  <c r="W22" i="29"/>
  <c r="Q22" i="29"/>
  <c r="M84" i="2"/>
  <c r="M85" i="2"/>
  <c r="M86" i="2"/>
  <c r="M56" i="2"/>
  <c r="M57" i="2"/>
  <c r="M58" i="2"/>
  <c r="M47" i="2"/>
  <c r="M48" i="2"/>
  <c r="M97" i="2"/>
  <c r="M146" i="2"/>
  <c r="E64" i="26"/>
  <c r="M83" i="2"/>
  <c r="M82" i="2"/>
  <c r="M81" i="2"/>
  <c r="M59" i="2"/>
  <c r="M9" i="2"/>
  <c r="H86" i="2"/>
  <c r="I86" i="2"/>
  <c r="C86" i="2"/>
  <c r="D86" i="2"/>
  <c r="E86" i="2"/>
  <c r="F86" i="2"/>
  <c r="I38" i="2"/>
  <c r="AF51" i="23"/>
  <c r="H11" i="2"/>
  <c r="I11" i="2"/>
  <c r="I52" i="2"/>
  <c r="I54" i="2"/>
  <c r="I75" i="2"/>
  <c r="I76" i="2"/>
  <c r="I152" i="2"/>
  <c r="M77" i="2"/>
  <c r="M78" i="2"/>
  <c r="M75" i="2"/>
  <c r="M76" i="2"/>
  <c r="C97" i="2"/>
  <c r="D97" i="2"/>
  <c r="E97" i="2"/>
  <c r="F97" i="2"/>
  <c r="C17" i="2"/>
  <c r="D17" i="2"/>
  <c r="E17" i="2"/>
  <c r="F17" i="2"/>
  <c r="C142" i="2"/>
  <c r="D142" i="2"/>
  <c r="E142" i="2"/>
  <c r="F142" i="2"/>
  <c r="C143" i="2"/>
  <c r="D143" i="2"/>
  <c r="E143" i="2"/>
  <c r="F143" i="2"/>
  <c r="C146" i="2"/>
  <c r="D146" i="2"/>
  <c r="E146" i="2"/>
  <c r="F146" i="2"/>
  <c r="C140" i="2"/>
  <c r="D140" i="2"/>
  <c r="E140" i="2"/>
  <c r="F140" i="2"/>
  <c r="C82" i="2"/>
  <c r="D82" i="2"/>
  <c r="E82" i="2"/>
  <c r="F82" i="2"/>
  <c r="C83" i="2"/>
  <c r="D83" i="2"/>
  <c r="E83" i="2"/>
  <c r="F83" i="2"/>
  <c r="C84" i="2"/>
  <c r="D84" i="2"/>
  <c r="E84" i="2"/>
  <c r="F84" i="2"/>
  <c r="C85" i="2"/>
  <c r="D85" i="2"/>
  <c r="E85" i="2"/>
  <c r="F85" i="2"/>
  <c r="C81" i="2"/>
  <c r="D81" i="2"/>
  <c r="E81" i="2"/>
  <c r="F81" i="2"/>
  <c r="M143" i="2"/>
  <c r="M142" i="2"/>
  <c r="M140" i="2"/>
  <c r="H85" i="2"/>
  <c r="I85" i="2"/>
  <c r="H74" i="2"/>
  <c r="H64" i="2"/>
  <c r="I64" i="2"/>
  <c r="H63" i="2"/>
  <c r="I63" i="2"/>
  <c r="H59" i="2"/>
  <c r="I59" i="2"/>
  <c r="H58" i="2"/>
  <c r="I58" i="2"/>
  <c r="H57" i="2"/>
  <c r="I57" i="2"/>
  <c r="H142" i="2"/>
  <c r="I142" i="2"/>
  <c r="H143" i="2"/>
  <c r="I143" i="2"/>
  <c r="H146" i="2"/>
  <c r="I146" i="2"/>
  <c r="H81" i="2"/>
  <c r="I81" i="2"/>
  <c r="H82" i="2"/>
  <c r="I82" i="2"/>
  <c r="H83" i="2"/>
  <c r="I83" i="2"/>
  <c r="H84" i="2"/>
  <c r="I84" i="2"/>
  <c r="H112" i="2"/>
  <c r="I112" i="2"/>
  <c r="J112" i="2"/>
  <c r="K112" i="2"/>
  <c r="H35" i="2"/>
  <c r="I35" i="2"/>
  <c r="H34" i="2"/>
  <c r="I34" i="2"/>
  <c r="H53" i="2"/>
  <c r="I53" i="2"/>
  <c r="H12" i="2"/>
  <c r="I12" i="2"/>
  <c r="H16" i="2"/>
  <c r="I16" i="2"/>
  <c r="H62" i="2"/>
  <c r="I62" i="2"/>
  <c r="H39" i="2"/>
  <c r="I39" i="2"/>
  <c r="H20" i="2"/>
  <c r="I20" i="2"/>
  <c r="H122" i="2"/>
  <c r="I122" i="2"/>
  <c r="H18" i="2"/>
  <c r="I18" i="2"/>
  <c r="H17" i="2"/>
  <c r="H154" i="2"/>
  <c r="I154" i="2"/>
  <c r="G156" i="2"/>
  <c r="H151" i="2"/>
  <c r="I151" i="2"/>
  <c r="H140" i="2"/>
  <c r="I140" i="2"/>
  <c r="H136" i="2"/>
  <c r="I136" i="2"/>
  <c r="H131" i="2"/>
  <c r="I131" i="2"/>
  <c r="H123" i="2"/>
  <c r="I123" i="2"/>
  <c r="H100" i="2"/>
  <c r="I100" i="2"/>
  <c r="H46" i="2"/>
  <c r="I46" i="2"/>
  <c r="H43" i="2"/>
  <c r="I43" i="2"/>
  <c r="H42" i="2"/>
  <c r="I42" i="2"/>
  <c r="H41" i="2"/>
  <c r="H26" i="2"/>
  <c r="I26" i="2"/>
  <c r="H135" i="2"/>
  <c r="I135" i="2"/>
  <c r="H133" i="2"/>
  <c r="I133" i="2"/>
  <c r="H132" i="2"/>
  <c r="I132" i="2"/>
  <c r="H127" i="2"/>
  <c r="I127" i="2"/>
  <c r="H117" i="2"/>
  <c r="I117" i="2"/>
  <c r="H30" i="2"/>
  <c r="I30" i="2"/>
  <c r="H31" i="2"/>
  <c r="H28" i="2"/>
  <c r="I28" i="2"/>
  <c r="H29" i="2"/>
  <c r="I29" i="2"/>
  <c r="H48" i="2"/>
  <c r="H47" i="2"/>
  <c r="H78" i="2"/>
  <c r="I78" i="2"/>
  <c r="G42" i="5"/>
  <c r="I65" i="5"/>
  <c r="J65" i="5"/>
  <c r="C77" i="2"/>
  <c r="D77" i="2"/>
  <c r="E77" i="2"/>
  <c r="F77" i="2"/>
  <c r="C78" i="2"/>
  <c r="D78" i="2"/>
  <c r="E78" i="2"/>
  <c r="F78" i="2"/>
  <c r="O104" i="5"/>
  <c r="O103" i="5"/>
  <c r="O107" i="5"/>
  <c r="O106" i="5"/>
  <c r="O105" i="5"/>
  <c r="P105" i="5"/>
  <c r="P106" i="5"/>
  <c r="P107" i="5"/>
  <c r="M106" i="5"/>
  <c r="M107" i="5"/>
  <c r="L105" i="5"/>
  <c r="L106" i="5"/>
  <c r="L107" i="5"/>
  <c r="N106" i="5"/>
  <c r="N105" i="5"/>
  <c r="C56" i="2"/>
  <c r="D56" i="2"/>
  <c r="E56" i="2"/>
  <c r="F56" i="2"/>
  <c r="P103" i="5"/>
  <c r="P104" i="5"/>
  <c r="M103" i="5"/>
  <c r="N104" i="5"/>
  <c r="N103" i="5"/>
  <c r="C25" i="24"/>
  <c r="C26" i="24"/>
  <c r="C27" i="24"/>
  <c r="C28" i="24"/>
  <c r="C33" i="24"/>
  <c r="C57" i="24"/>
  <c r="C34" i="24"/>
  <c r="C58" i="24"/>
  <c r="C35" i="24"/>
  <c r="C59" i="24"/>
  <c r="C36" i="24"/>
  <c r="C60" i="24"/>
  <c r="C42" i="24"/>
  <c r="C66" i="24"/>
  <c r="C43" i="24"/>
  <c r="C67" i="24"/>
  <c r="C44" i="24"/>
  <c r="C68" i="24"/>
  <c r="C49" i="24"/>
  <c r="C50" i="24"/>
  <c r="C51" i="24"/>
  <c r="C52" i="24"/>
  <c r="H124" i="2"/>
  <c r="I124" i="2"/>
  <c r="J124" i="2"/>
  <c r="K124" i="2"/>
  <c r="C47" i="2"/>
  <c r="D47" i="2"/>
  <c r="E47" i="2"/>
  <c r="F47" i="2"/>
  <c r="C48" i="2"/>
  <c r="D48" i="2"/>
  <c r="E48" i="2"/>
  <c r="F48" i="2"/>
  <c r="H68" i="2"/>
  <c r="I68" i="2"/>
  <c r="J68" i="2"/>
  <c r="K68" i="2"/>
  <c r="H69" i="2"/>
  <c r="I69" i="2"/>
  <c r="J69" i="2"/>
  <c r="K69" i="2"/>
  <c r="G28" i="26"/>
  <c r="E30" i="20"/>
  <c r="B76" i="17"/>
  <c r="B75" i="17"/>
  <c r="B83" i="17"/>
  <c r="B82" i="17"/>
  <c r="B90" i="17"/>
  <c r="B89" i="17"/>
  <c r="J90" i="17"/>
  <c r="J89" i="17"/>
  <c r="J83" i="17"/>
  <c r="J82" i="17"/>
  <c r="J76" i="17"/>
  <c r="J75" i="17"/>
  <c r="H24" i="2"/>
  <c r="I24" i="2"/>
  <c r="J24" i="2"/>
  <c r="K24" i="2"/>
  <c r="L114" i="18"/>
  <c r="B114" i="18"/>
  <c r="L99" i="18"/>
  <c r="B99" i="18"/>
  <c r="L79" i="20"/>
  <c r="L78" i="20"/>
  <c r="L86" i="20"/>
  <c r="L85" i="20"/>
  <c r="L93" i="20"/>
  <c r="L92" i="20"/>
  <c r="B93" i="20"/>
  <c r="B92" i="20"/>
  <c r="B86" i="20"/>
  <c r="B85" i="20"/>
  <c r="B79" i="20"/>
  <c r="B78" i="20"/>
  <c r="B113" i="22"/>
  <c r="J113" i="22"/>
  <c r="J98" i="22"/>
  <c r="B98" i="22"/>
  <c r="H155" i="2"/>
  <c r="I155" i="2"/>
  <c r="O101" i="5"/>
  <c r="O102" i="5"/>
  <c r="P101" i="5"/>
  <c r="P102" i="5"/>
  <c r="N102" i="5"/>
  <c r="M102" i="5"/>
  <c r="N101" i="5"/>
  <c r="M101" i="5"/>
  <c r="AN30" i="19"/>
  <c r="C152" i="2"/>
  <c r="D152" i="2"/>
  <c r="C151" i="2"/>
  <c r="D151" i="2"/>
  <c r="C54" i="2"/>
  <c r="D54" i="2"/>
  <c r="E54" i="2"/>
  <c r="F54" i="2"/>
  <c r="C52" i="2"/>
  <c r="D52" i="2"/>
  <c r="E52" i="2"/>
  <c r="F52" i="2"/>
  <c r="C34" i="2"/>
  <c r="D34" i="2"/>
  <c r="E34" i="2"/>
  <c r="F34" i="2"/>
  <c r="C36" i="2"/>
  <c r="D36" i="2"/>
  <c r="E36" i="2"/>
  <c r="F36" i="2"/>
  <c r="C33" i="2"/>
  <c r="D33" i="2"/>
  <c r="E33" i="2"/>
  <c r="F33" i="2"/>
  <c r="AE49" i="18"/>
  <c r="AF49" i="18"/>
  <c r="AG49" i="18"/>
  <c r="AE38" i="18"/>
  <c r="AF38" i="18"/>
  <c r="AG38" i="18"/>
  <c r="G6" i="30"/>
  <c r="G10" i="30"/>
  <c r="Y33" i="27"/>
  <c r="Y33" i="29"/>
  <c r="E63" i="26"/>
  <c r="E63" i="37"/>
  <c r="Z38" i="18"/>
  <c r="F41" i="26"/>
  <c r="F36" i="26"/>
  <c r="P6" i="30"/>
  <c r="P10" i="30"/>
  <c r="F6" i="30"/>
  <c r="F10" i="30"/>
  <c r="F41" i="19"/>
  <c r="F51" i="19"/>
  <c r="F36" i="19"/>
  <c r="F37" i="19"/>
  <c r="E28" i="20"/>
  <c r="E115" i="20"/>
  <c r="F37" i="26"/>
  <c r="F38" i="26"/>
  <c r="F44" i="26"/>
  <c r="F48" i="26"/>
  <c r="F45" i="26"/>
  <c r="F55" i="26"/>
  <c r="F51" i="26"/>
  <c r="N51" i="19"/>
  <c r="J51" i="19"/>
  <c r="AA38" i="18"/>
  <c r="AB38" i="18"/>
  <c r="F42" i="26"/>
  <c r="F46" i="26"/>
  <c r="F43" i="26"/>
  <c r="F47" i="26"/>
  <c r="F42" i="19"/>
  <c r="F43" i="19"/>
  <c r="F38" i="19"/>
  <c r="F44" i="19"/>
  <c r="Z33" i="27"/>
  <c r="Z33" i="29"/>
  <c r="J51" i="26"/>
  <c r="N51" i="26"/>
  <c r="N55" i="26"/>
  <c r="J55" i="26"/>
  <c r="AA33" i="27"/>
  <c r="AB33" i="27"/>
  <c r="AB33" i="29"/>
  <c r="AA33" i="29"/>
  <c r="E7" i="29"/>
  <c r="L100" i="5"/>
  <c r="S99" i="5"/>
  <c r="G100" i="5"/>
  <c r="H100" i="5"/>
  <c r="I100" i="5"/>
  <c r="J100" i="5"/>
  <c r="J68" i="5"/>
  <c r="S9" i="5"/>
  <c r="H9" i="5"/>
  <c r="I9" i="5"/>
  <c r="O129" i="5"/>
  <c r="C20" i="2"/>
  <c r="D20" i="2"/>
  <c r="E20" i="2"/>
  <c r="F20" i="2"/>
  <c r="C138" i="2"/>
  <c r="D138" i="2"/>
  <c r="E138" i="2"/>
  <c r="F138" i="2"/>
  <c r="C137" i="2"/>
  <c r="D137" i="2"/>
  <c r="E137" i="2"/>
  <c r="F137" i="2"/>
  <c r="C136" i="2"/>
  <c r="D136" i="2"/>
  <c r="E136" i="2"/>
  <c r="F136" i="2"/>
  <c r="C135" i="2"/>
  <c r="D135" i="2"/>
  <c r="E135" i="2"/>
  <c r="F135" i="2"/>
  <c r="C134" i="2"/>
  <c r="D134" i="2"/>
  <c r="E134" i="2"/>
  <c r="F134" i="2"/>
  <c r="C133" i="2"/>
  <c r="D133" i="2"/>
  <c r="E133" i="2"/>
  <c r="F133" i="2"/>
  <c r="C132" i="2"/>
  <c r="D132" i="2"/>
  <c r="E132" i="2"/>
  <c r="F132" i="2"/>
  <c r="C131" i="2"/>
  <c r="D131" i="2"/>
  <c r="E131" i="2"/>
  <c r="F131" i="2"/>
  <c r="C130" i="2"/>
  <c r="D130" i="2"/>
  <c r="E130" i="2"/>
  <c r="F130" i="2"/>
  <c r="C129" i="2"/>
  <c r="D129" i="2"/>
  <c r="E129" i="2"/>
  <c r="F129" i="2"/>
  <c r="C128" i="2"/>
  <c r="D128" i="2"/>
  <c r="E128" i="2"/>
  <c r="F128" i="2"/>
  <c r="C126" i="2"/>
  <c r="D126" i="2"/>
  <c r="E126" i="2"/>
  <c r="F126" i="2"/>
  <c r="C125" i="2"/>
  <c r="D125" i="2"/>
  <c r="E125" i="2"/>
  <c r="F125" i="2"/>
  <c r="C124" i="2"/>
  <c r="D124" i="2"/>
  <c r="E124" i="2"/>
  <c r="F124" i="2"/>
  <c r="C123" i="2"/>
  <c r="D123" i="2"/>
  <c r="E123" i="2"/>
  <c r="F123" i="2"/>
  <c r="C122" i="2"/>
  <c r="D122" i="2"/>
  <c r="E122" i="2"/>
  <c r="F122" i="2"/>
  <c r="C117" i="2"/>
  <c r="D117" i="2"/>
  <c r="E117" i="2"/>
  <c r="F117" i="2"/>
  <c r="C115" i="2"/>
  <c r="D115" i="2"/>
  <c r="E115" i="2"/>
  <c r="F115" i="2"/>
  <c r="C113" i="2"/>
  <c r="D113" i="2"/>
  <c r="E113" i="2"/>
  <c r="F113" i="2"/>
  <c r="C111" i="2"/>
  <c r="D111" i="2"/>
  <c r="E111" i="2"/>
  <c r="F111" i="2"/>
  <c r="C110" i="2"/>
  <c r="D110" i="2"/>
  <c r="E110" i="2"/>
  <c r="F110" i="2"/>
  <c r="C109" i="2"/>
  <c r="D109" i="2"/>
  <c r="E109" i="2"/>
  <c r="F109" i="2"/>
  <c r="C108" i="2"/>
  <c r="D108" i="2"/>
  <c r="E108" i="2"/>
  <c r="F108" i="2"/>
  <c r="C107" i="2"/>
  <c r="D107" i="2"/>
  <c r="E107" i="2"/>
  <c r="F107" i="2"/>
  <c r="C106" i="2"/>
  <c r="D106" i="2"/>
  <c r="E106" i="2"/>
  <c r="F106" i="2"/>
  <c r="C105" i="2"/>
  <c r="D105" i="2"/>
  <c r="E105" i="2"/>
  <c r="F105" i="2"/>
  <c r="C104" i="2"/>
  <c r="D104" i="2"/>
  <c r="E104" i="2"/>
  <c r="F104" i="2"/>
  <c r="C103" i="2"/>
  <c r="D103" i="2"/>
  <c r="E103" i="2"/>
  <c r="F103" i="2"/>
  <c r="C101" i="2"/>
  <c r="D101" i="2"/>
  <c r="E101" i="2"/>
  <c r="F101" i="2"/>
  <c r="C100" i="2"/>
  <c r="D100" i="2"/>
  <c r="E100" i="2"/>
  <c r="F100" i="2"/>
  <c r="C99" i="2"/>
  <c r="D99" i="2"/>
  <c r="E99" i="2"/>
  <c r="F99" i="2"/>
  <c r="C74" i="2"/>
  <c r="D74" i="2"/>
  <c r="E74" i="2"/>
  <c r="F74" i="2"/>
  <c r="C73" i="2"/>
  <c r="D73" i="2"/>
  <c r="E73" i="2"/>
  <c r="F73" i="2"/>
  <c r="C69" i="2"/>
  <c r="D69" i="2"/>
  <c r="E69" i="2"/>
  <c r="F69" i="2"/>
  <c r="C68" i="2"/>
  <c r="D68" i="2"/>
  <c r="E68" i="2"/>
  <c r="F68" i="2"/>
  <c r="C66" i="2"/>
  <c r="D66" i="2"/>
  <c r="E66" i="2"/>
  <c r="F66" i="2"/>
  <c r="C65" i="2"/>
  <c r="D65" i="2"/>
  <c r="E65" i="2"/>
  <c r="F65" i="2"/>
  <c r="C64" i="2"/>
  <c r="D64" i="2"/>
  <c r="E64" i="2"/>
  <c r="F64" i="2"/>
  <c r="C63" i="2"/>
  <c r="D63" i="2"/>
  <c r="E63" i="2"/>
  <c r="F63" i="2"/>
  <c r="C46" i="2"/>
  <c r="D46" i="2"/>
  <c r="E46" i="2"/>
  <c r="F46" i="2"/>
  <c r="C44" i="2"/>
  <c r="D44" i="2"/>
  <c r="E44" i="2"/>
  <c r="F44" i="2"/>
  <c r="C43" i="2"/>
  <c r="D43" i="2"/>
  <c r="E43" i="2"/>
  <c r="F43" i="2"/>
  <c r="C41" i="2"/>
  <c r="D41" i="2"/>
  <c r="E41" i="2"/>
  <c r="F41" i="2"/>
  <c r="C40" i="2"/>
  <c r="D40" i="2"/>
  <c r="E40" i="2"/>
  <c r="F40" i="2"/>
  <c r="C37" i="2"/>
  <c r="D37" i="2"/>
  <c r="E37" i="2"/>
  <c r="F37" i="2"/>
  <c r="C31" i="2"/>
  <c r="D31" i="2"/>
  <c r="E31" i="2"/>
  <c r="F31" i="2"/>
  <c r="C30" i="2"/>
  <c r="D30" i="2"/>
  <c r="E30" i="2"/>
  <c r="F30" i="2"/>
  <c r="C29" i="2"/>
  <c r="D29" i="2"/>
  <c r="E29" i="2"/>
  <c r="F29" i="2"/>
  <c r="C28" i="2"/>
  <c r="D28" i="2"/>
  <c r="E28" i="2"/>
  <c r="F28" i="2"/>
  <c r="C27" i="2"/>
  <c r="D27" i="2"/>
  <c r="E27" i="2"/>
  <c r="F27" i="2"/>
  <c r="C26" i="2"/>
  <c r="D26" i="2"/>
  <c r="E26" i="2"/>
  <c r="F26" i="2"/>
  <c r="C25" i="2"/>
  <c r="D25" i="2"/>
  <c r="E25" i="2"/>
  <c r="F25" i="2"/>
  <c r="C24" i="2"/>
  <c r="D24" i="2"/>
  <c r="E24" i="2"/>
  <c r="F24" i="2"/>
  <c r="C23" i="2"/>
  <c r="D23" i="2"/>
  <c r="E23" i="2"/>
  <c r="F23" i="2"/>
  <c r="C22" i="2"/>
  <c r="D22" i="2"/>
  <c r="E22" i="2"/>
  <c r="F22" i="2"/>
  <c r="C21" i="2"/>
  <c r="D21" i="2"/>
  <c r="E21" i="2"/>
  <c r="F21" i="2"/>
  <c r="C19" i="2"/>
  <c r="D19" i="2"/>
  <c r="E19" i="2"/>
  <c r="F19" i="2"/>
  <c r="C18" i="2"/>
  <c r="D18" i="2"/>
  <c r="E18" i="2"/>
  <c r="F18" i="2"/>
  <c r="C16" i="2"/>
  <c r="D16" i="2"/>
  <c r="E16" i="2"/>
  <c r="F16" i="2"/>
  <c r="C15" i="2"/>
  <c r="D15" i="2"/>
  <c r="E15" i="2"/>
  <c r="F15" i="2"/>
  <c r="C13" i="2"/>
  <c r="D13" i="2"/>
  <c r="E13" i="2"/>
  <c r="F13" i="2"/>
  <c r="C12" i="2"/>
  <c r="D12" i="2"/>
  <c r="E12" i="2"/>
  <c r="F12" i="2"/>
  <c r="C10" i="2"/>
  <c r="D10" i="2"/>
  <c r="E10" i="2"/>
  <c r="F10" i="2"/>
  <c r="C42" i="2"/>
  <c r="D42" i="2"/>
  <c r="E42" i="2"/>
  <c r="F42" i="2"/>
  <c r="C121" i="2"/>
  <c r="D121" i="2"/>
  <c r="E121" i="2"/>
  <c r="F121" i="2"/>
  <c r="C127" i="2"/>
  <c r="D127" i="2"/>
  <c r="E127" i="2"/>
  <c r="F127" i="2"/>
  <c r="C9" i="2"/>
  <c r="D9" i="2"/>
  <c r="E9" i="2"/>
  <c r="F9" i="2"/>
  <c r="H125" i="2"/>
  <c r="I125" i="2"/>
  <c r="J125" i="2"/>
  <c r="K125" i="2"/>
  <c r="H21" i="2"/>
  <c r="I21" i="2"/>
  <c r="H138" i="2"/>
  <c r="I138" i="2"/>
  <c r="J138" i="2"/>
  <c r="K138" i="2"/>
  <c r="H139" i="2"/>
  <c r="I139" i="2"/>
  <c r="J139" i="2"/>
  <c r="K139" i="2"/>
  <c r="H104" i="2"/>
  <c r="I104" i="2"/>
  <c r="J104" i="2"/>
  <c r="K104" i="2"/>
  <c r="H106" i="2"/>
  <c r="I106" i="2"/>
  <c r="J106" i="2"/>
  <c r="K106" i="2"/>
  <c r="C45" i="2"/>
  <c r="D45" i="2"/>
  <c r="E45" i="2"/>
  <c r="F45" i="2"/>
  <c r="C38" i="2"/>
  <c r="D38" i="2"/>
  <c r="E38" i="2"/>
  <c r="F38" i="2"/>
  <c r="C39" i="2"/>
  <c r="D39" i="2"/>
  <c r="E39" i="2"/>
  <c r="F39" i="2"/>
  <c r="C14" i="2"/>
  <c r="D14" i="2"/>
  <c r="E14" i="2"/>
  <c r="F14" i="2"/>
  <c r="C116" i="2"/>
  <c r="D116" i="2"/>
  <c r="E116" i="2"/>
  <c r="F116" i="2"/>
  <c r="C118" i="2"/>
  <c r="D118" i="2"/>
  <c r="E118" i="2"/>
  <c r="F118" i="2"/>
  <c r="C49" i="2"/>
  <c r="D49" i="2"/>
  <c r="E49" i="2"/>
  <c r="F49" i="2"/>
  <c r="C119" i="2"/>
  <c r="D119" i="2"/>
  <c r="E119" i="2"/>
  <c r="F119" i="2"/>
  <c r="C50" i="2"/>
  <c r="D50" i="2"/>
  <c r="E50" i="2"/>
  <c r="F50" i="2"/>
  <c r="C120" i="2"/>
  <c r="D120" i="2"/>
  <c r="E120" i="2"/>
  <c r="F120" i="2"/>
  <c r="C98" i="2"/>
  <c r="D98" i="2"/>
  <c r="E98" i="2"/>
  <c r="F98" i="2"/>
  <c r="C61" i="2"/>
  <c r="D61" i="2"/>
  <c r="E61" i="2"/>
  <c r="F61" i="2"/>
  <c r="C62" i="2"/>
  <c r="D62" i="2"/>
  <c r="E62" i="2"/>
  <c r="F62" i="2"/>
  <c r="C51" i="2"/>
  <c r="D51" i="2"/>
  <c r="E51" i="2"/>
  <c r="F51" i="2"/>
  <c r="C102" i="2"/>
  <c r="D102" i="2"/>
  <c r="E102" i="2"/>
  <c r="F102" i="2"/>
  <c r="C114" i="2"/>
  <c r="D114" i="2"/>
  <c r="E114" i="2"/>
  <c r="F114" i="2"/>
  <c r="H126" i="2"/>
  <c r="I126" i="2"/>
  <c r="J126" i="2"/>
  <c r="K126" i="2"/>
  <c r="H40" i="2"/>
  <c r="I40" i="2"/>
  <c r="J40" i="2"/>
  <c r="K40" i="2"/>
  <c r="H23" i="2"/>
  <c r="I23" i="2"/>
  <c r="H66" i="2"/>
  <c r="I66" i="2"/>
  <c r="J66" i="2"/>
  <c r="K66" i="2"/>
  <c r="H99" i="2"/>
  <c r="I99" i="2"/>
  <c r="J99" i="2"/>
  <c r="K99" i="2"/>
  <c r="H33" i="2"/>
  <c r="I33" i="2"/>
  <c r="C55" i="2"/>
  <c r="D55" i="2"/>
  <c r="E55" i="2"/>
  <c r="F55" i="2"/>
  <c r="C53" i="2"/>
  <c r="D53" i="2"/>
  <c r="E53" i="2"/>
  <c r="F53" i="2"/>
  <c r="C155" i="2"/>
  <c r="D155" i="2"/>
  <c r="C154" i="2"/>
  <c r="D154" i="2"/>
  <c r="K23" i="2"/>
  <c r="H65" i="2"/>
  <c r="I65" i="2"/>
  <c r="J65" i="2"/>
  <c r="K65" i="2"/>
  <c r="H51" i="2"/>
  <c r="I51" i="2"/>
  <c r="C153" i="2"/>
  <c r="D153" i="2"/>
  <c r="M13" i="2"/>
  <c r="M130" i="2"/>
  <c r="H101" i="2"/>
  <c r="I101" i="2"/>
  <c r="H49" i="2"/>
  <c r="H50" i="2"/>
  <c r="I50" i="2"/>
  <c r="J50" i="2"/>
  <c r="K50" i="2"/>
  <c r="H19" i="2"/>
  <c r="I19" i="2"/>
  <c r="H108" i="2"/>
  <c r="I108" i="2"/>
  <c r="H111" i="2"/>
  <c r="I111" i="2"/>
  <c r="H109" i="2"/>
  <c r="I109" i="2"/>
  <c r="H128" i="2"/>
  <c r="I128" i="2"/>
  <c r="H37" i="2"/>
  <c r="I37" i="2"/>
  <c r="H113" i="2"/>
  <c r="I113" i="2"/>
  <c r="H107" i="2"/>
  <c r="I107" i="2"/>
  <c r="H137" i="2"/>
  <c r="I137" i="2"/>
  <c r="I41" i="2"/>
  <c r="H129" i="2"/>
  <c r="I129" i="2"/>
  <c r="H103" i="2"/>
  <c r="I103" i="2"/>
  <c r="I31" i="2"/>
  <c r="H130" i="2"/>
  <c r="I130" i="2"/>
  <c r="H110" i="2"/>
  <c r="I110" i="2"/>
  <c r="H115" i="2"/>
  <c r="I115" i="2"/>
  <c r="H13" i="2"/>
  <c r="I13" i="2"/>
  <c r="H102" i="2"/>
  <c r="I102" i="2"/>
  <c r="I49" i="2"/>
  <c r="J49" i="2"/>
  <c r="K49" i="2"/>
  <c r="G18" i="5"/>
  <c r="H98" i="2"/>
  <c r="I98" i="2"/>
  <c r="J98" i="2"/>
  <c r="K98" i="2"/>
  <c r="H45" i="2"/>
  <c r="I45" i="2"/>
  <c r="H44" i="2"/>
  <c r="I44" i="2"/>
  <c r="H36" i="2"/>
  <c r="I36" i="2"/>
  <c r="H25" i="2"/>
  <c r="I25" i="2"/>
  <c r="M74" i="2"/>
  <c r="M69" i="2"/>
  <c r="H97" i="2"/>
  <c r="I97" i="2"/>
  <c r="H116" i="2"/>
  <c r="I116" i="2"/>
  <c r="H118" i="2"/>
  <c r="I118" i="2"/>
  <c r="H134" i="2"/>
  <c r="I134" i="2"/>
  <c r="H119" i="2"/>
  <c r="I119" i="2"/>
  <c r="H120" i="2"/>
  <c r="I120" i="2"/>
  <c r="H114" i="2"/>
  <c r="I114" i="2"/>
  <c r="H61" i="2"/>
  <c r="I61" i="2"/>
  <c r="H55" i="2"/>
  <c r="I55" i="2"/>
  <c r="H60" i="2"/>
  <c r="I60" i="2"/>
  <c r="J60" i="2"/>
  <c r="K60" i="2"/>
  <c r="H10" i="2"/>
  <c r="I10" i="2"/>
  <c r="H14" i="2"/>
  <c r="I14" i="2"/>
  <c r="J14" i="2"/>
  <c r="K14" i="2"/>
  <c r="M24" i="2"/>
  <c r="M119" i="2"/>
  <c r="H73" i="2"/>
  <c r="H27" i="2"/>
  <c r="I27" i="2"/>
  <c r="G109" i="20"/>
  <c r="F109" i="20"/>
  <c r="G103" i="20"/>
  <c r="F103" i="20"/>
  <c r="G97" i="20"/>
  <c r="F97" i="20"/>
  <c r="C4" i="23"/>
  <c r="F11" i="23"/>
  <c r="C5" i="23"/>
  <c r="C6" i="23"/>
  <c r="C7" i="23"/>
  <c r="C9" i="23"/>
  <c r="C10" i="23"/>
  <c r="C11" i="23"/>
  <c r="O28" i="30"/>
  <c r="E28" i="30"/>
  <c r="E23" i="30"/>
  <c r="C17" i="30"/>
  <c r="S11" i="30"/>
  <c r="C16" i="30"/>
  <c r="Q11" i="30"/>
  <c r="C15" i="30"/>
  <c r="R11" i="30"/>
  <c r="C14" i="30"/>
  <c r="N11" i="30"/>
  <c r="C13" i="30"/>
  <c r="K11" i="30"/>
  <c r="C12" i="30"/>
  <c r="M11" i="30"/>
  <c r="C11" i="30"/>
  <c r="P11" i="30"/>
  <c r="C10" i="30"/>
  <c r="I11" i="30"/>
  <c r="C9" i="30"/>
  <c r="H11" i="30"/>
  <c r="C8" i="30"/>
  <c r="L11" i="30"/>
  <c r="C7" i="30"/>
  <c r="O11" i="30"/>
  <c r="C6" i="30"/>
  <c r="G11" i="30"/>
  <c r="C5" i="30"/>
  <c r="J11" i="30"/>
  <c r="C4" i="30"/>
  <c r="C18" i="30"/>
  <c r="F11" i="30"/>
  <c r="T11" i="30"/>
  <c r="D28" i="29"/>
  <c r="D26" i="29"/>
  <c r="D25" i="29"/>
  <c r="D23" i="29"/>
  <c r="H14" i="29"/>
  <c r="E28" i="29"/>
  <c r="AJ32" i="26"/>
  <c r="AC32" i="26"/>
  <c r="AB32" i="26"/>
  <c r="AJ31" i="26"/>
  <c r="L38" i="26"/>
  <c r="I38" i="26"/>
  <c r="AK31" i="26"/>
  <c r="AK40" i="26"/>
  <c r="AJ40" i="26"/>
  <c r="AK39" i="26"/>
  <c r="AJ39" i="26"/>
  <c r="AK38" i="26"/>
  <c r="AJ38" i="26"/>
  <c r="AJ37" i="26"/>
  <c r="AK30" i="26"/>
  <c r="AJ30" i="26"/>
  <c r="E4" i="27"/>
  <c r="D27" i="27"/>
  <c r="H38" i="26"/>
  <c r="H6" i="26"/>
  <c r="F27" i="26"/>
  <c r="P27" i="26"/>
  <c r="G19" i="26"/>
  <c r="Q6" i="26"/>
  <c r="D25" i="27"/>
  <c r="D26" i="27"/>
  <c r="G43" i="26"/>
  <c r="G44" i="26"/>
  <c r="G47" i="26"/>
  <c r="G20" i="26"/>
  <c r="F58" i="26"/>
  <c r="G48" i="26"/>
  <c r="F52" i="26"/>
  <c r="J52" i="26"/>
  <c r="F53" i="26"/>
  <c r="J53" i="26"/>
  <c r="F54" i="26"/>
  <c r="J54" i="26"/>
  <c r="F56" i="26"/>
  <c r="J56" i="26"/>
  <c r="F57" i="26"/>
  <c r="N57" i="26"/>
  <c r="J57" i="26"/>
  <c r="N56" i="26"/>
  <c r="N54" i="26"/>
  <c r="J58" i="26"/>
  <c r="N58" i="26"/>
  <c r="N53" i="26"/>
  <c r="N52" i="26"/>
  <c r="M73" i="2"/>
  <c r="AC40" i="26"/>
  <c r="AC39" i="26"/>
  <c r="AC38" i="26"/>
  <c r="AC37" i="26"/>
  <c r="AC36" i="26"/>
  <c r="AC35" i="26"/>
  <c r="AC34" i="26"/>
  <c r="AC31" i="26"/>
  <c r="AB40" i="26"/>
  <c r="AB39" i="26"/>
  <c r="AB38" i="26"/>
  <c r="AB37" i="26"/>
  <c r="AB36" i="26"/>
  <c r="AB35" i="26"/>
  <c r="AB34" i="26"/>
  <c r="AB33" i="26"/>
  <c r="AB31" i="26"/>
  <c r="AB30" i="26"/>
  <c r="O83" i="22"/>
  <c r="O99" i="22"/>
  <c r="O114" i="22"/>
  <c r="G114" i="22"/>
  <c r="G99" i="22"/>
  <c r="G83" i="22"/>
  <c r="G67" i="22"/>
  <c r="O67" i="22"/>
  <c r="O51" i="22"/>
  <c r="G35" i="22"/>
  <c r="O35" i="22"/>
  <c r="G51" i="22"/>
  <c r="M68" i="2"/>
  <c r="AM30" i="19"/>
  <c r="M106" i="2"/>
  <c r="M107" i="2"/>
  <c r="M108" i="2"/>
  <c r="M109" i="2"/>
  <c r="M110" i="2"/>
  <c r="M111" i="2"/>
  <c r="M112" i="2"/>
  <c r="M113" i="2"/>
  <c r="M114" i="2"/>
  <c r="M115" i="2"/>
  <c r="M116" i="2"/>
  <c r="M117" i="2"/>
  <c r="M118" i="2"/>
  <c r="M120" i="2"/>
  <c r="M121" i="2"/>
  <c r="M122" i="2"/>
  <c r="M123" i="2"/>
  <c r="M124" i="2"/>
  <c r="M125" i="2"/>
  <c r="M126" i="2"/>
  <c r="M127" i="2"/>
  <c r="M128" i="2"/>
  <c r="M129" i="2"/>
  <c r="M131" i="2"/>
  <c r="M132" i="2"/>
  <c r="M133" i="2"/>
  <c r="M134" i="2"/>
  <c r="M135" i="2"/>
  <c r="M136" i="2"/>
  <c r="M137" i="2"/>
  <c r="M138" i="2"/>
  <c r="M139" i="2"/>
  <c r="M66" i="2"/>
  <c r="M10" i="2"/>
  <c r="M11" i="2"/>
  <c r="M12" i="2"/>
  <c r="M14" i="2"/>
  <c r="M15" i="2"/>
  <c r="M16" i="2"/>
  <c r="M17" i="2"/>
  <c r="M18" i="2"/>
  <c r="M19" i="2"/>
  <c r="M20" i="2"/>
  <c r="M21" i="2"/>
  <c r="M22" i="2"/>
  <c r="M23" i="2"/>
  <c r="M25" i="2"/>
  <c r="M26" i="2"/>
  <c r="M27" i="2"/>
  <c r="H87" i="5"/>
  <c r="T18" i="5"/>
  <c r="T108" i="5"/>
  <c r="M28" i="2"/>
  <c r="M29" i="2"/>
  <c r="M32" i="2"/>
  <c r="M33" i="2"/>
  <c r="M35" i="2"/>
  <c r="M37" i="2"/>
  <c r="M38" i="2"/>
  <c r="M39" i="2"/>
  <c r="M40" i="2"/>
  <c r="M41" i="2"/>
  <c r="M42" i="2"/>
  <c r="M43" i="2"/>
  <c r="M44" i="2"/>
  <c r="M45" i="2"/>
  <c r="M46" i="2"/>
  <c r="M49" i="2"/>
  <c r="M50" i="2"/>
  <c r="M51" i="2"/>
  <c r="M52" i="2"/>
  <c r="M53" i="2"/>
  <c r="M54" i="2"/>
  <c r="M55" i="2"/>
  <c r="M60" i="2"/>
  <c r="M61" i="2"/>
  <c r="M62" i="2"/>
  <c r="M63" i="2"/>
  <c r="M64" i="2"/>
  <c r="M65" i="2"/>
  <c r="E81" i="5"/>
  <c r="G81" i="5"/>
  <c r="AB50" i="18"/>
  <c r="AA50" i="18"/>
  <c r="Z50" i="18"/>
  <c r="Y50" i="18"/>
  <c r="S115" i="18"/>
  <c r="Q115" i="18"/>
  <c r="I115" i="18"/>
  <c r="G115" i="18"/>
  <c r="S100" i="18"/>
  <c r="Q100" i="18"/>
  <c r="I100" i="18"/>
  <c r="G100" i="18"/>
  <c r="S84" i="18"/>
  <c r="Q84" i="18"/>
  <c r="I84" i="18"/>
  <c r="G84" i="18"/>
  <c r="S68" i="18"/>
  <c r="Q68" i="18"/>
  <c r="I68" i="18"/>
  <c r="G68" i="18"/>
  <c r="S52" i="18"/>
  <c r="Q52" i="18"/>
  <c r="I52" i="18"/>
  <c r="G52" i="18"/>
  <c r="F54" i="19"/>
  <c r="F53" i="19"/>
  <c r="F52" i="19"/>
  <c r="F48" i="19"/>
  <c r="F58" i="19"/>
  <c r="F47" i="19"/>
  <c r="F57" i="19"/>
  <c r="F46" i="19"/>
  <c r="F56" i="19"/>
  <c r="F45" i="19"/>
  <c r="F55" i="19"/>
  <c r="J55" i="19"/>
  <c r="N55" i="19"/>
  <c r="J56" i="19"/>
  <c r="N56" i="19"/>
  <c r="N58" i="19"/>
  <c r="J58" i="19"/>
  <c r="N57" i="19"/>
  <c r="J57" i="19"/>
  <c r="J52" i="19"/>
  <c r="N52" i="19"/>
  <c r="J53" i="19"/>
  <c r="N53" i="19"/>
  <c r="J54" i="19"/>
  <c r="N54" i="19"/>
  <c r="M99" i="2"/>
  <c r="D21" i="17"/>
  <c r="E4" i="22"/>
  <c r="E4" i="18"/>
  <c r="E12" i="18"/>
  <c r="C17" i="23"/>
  <c r="S11" i="23"/>
  <c r="M98" i="2"/>
  <c r="M100" i="2"/>
  <c r="M101" i="2"/>
  <c r="M102" i="2"/>
  <c r="M103" i="2"/>
  <c r="M104" i="2"/>
  <c r="M105" i="2"/>
  <c r="M151" i="2"/>
  <c r="M152" i="2"/>
  <c r="M153" i="2"/>
  <c r="M154" i="2"/>
  <c r="M155" i="2"/>
  <c r="C14" i="23"/>
  <c r="N11" i="23"/>
  <c r="C15" i="23"/>
  <c r="R11" i="23"/>
  <c r="C16" i="23"/>
  <c r="Q11" i="23"/>
  <c r="AC17" i="19"/>
  <c r="O28" i="23"/>
  <c r="E28" i="23"/>
  <c r="E23" i="23"/>
  <c r="P17" i="17"/>
  <c r="E25" i="17"/>
  <c r="S36" i="18"/>
  <c r="Q36" i="18"/>
  <c r="I36" i="18"/>
  <c r="G36" i="18"/>
  <c r="Q91" i="20"/>
  <c r="P91" i="20"/>
  <c r="Q84" i="20"/>
  <c r="P84" i="20"/>
  <c r="Q77" i="20"/>
  <c r="P77" i="20"/>
  <c r="Q70" i="20"/>
  <c r="P70" i="20"/>
  <c r="Q63" i="20"/>
  <c r="P63" i="20"/>
  <c r="Q56" i="20"/>
  <c r="P56" i="20"/>
  <c r="Q49" i="20"/>
  <c r="P49" i="20"/>
  <c r="Q42" i="20"/>
  <c r="P42" i="20"/>
  <c r="Q35" i="20"/>
  <c r="P35" i="20"/>
  <c r="R33" i="22"/>
  <c r="N31" i="22"/>
  <c r="N27" i="22"/>
  <c r="N23" i="22"/>
  <c r="J29" i="22"/>
  <c r="J25" i="22"/>
  <c r="M26" i="22"/>
  <c r="I24" i="22"/>
  <c r="J31" i="22"/>
  <c r="J23" i="22"/>
  <c r="N28" i="22"/>
  <c r="I30" i="22"/>
  <c r="M31" i="22"/>
  <c r="M27" i="22"/>
  <c r="M23" i="22"/>
  <c r="I29" i="22"/>
  <c r="I25" i="22"/>
  <c r="J24" i="22"/>
  <c r="M22" i="22"/>
  <c r="N29" i="22"/>
  <c r="M25" i="22"/>
  <c r="I31" i="22"/>
  <c r="I23" i="22"/>
  <c r="J26" i="22"/>
  <c r="M24" i="22"/>
  <c r="I22" i="22"/>
  <c r="N30" i="22"/>
  <c r="N26" i="22"/>
  <c r="N22" i="22"/>
  <c r="J28" i="22"/>
  <c r="I28" i="22"/>
  <c r="J27" i="22"/>
  <c r="M29" i="22"/>
  <c r="I27" i="22"/>
  <c r="J30" i="22"/>
  <c r="M28" i="22"/>
  <c r="I26" i="22"/>
  <c r="M30" i="22"/>
  <c r="N25" i="22"/>
  <c r="N24" i="22"/>
  <c r="J22" i="22"/>
  <c r="Q11" i="17"/>
  <c r="P11" i="17"/>
  <c r="D74" i="22"/>
  <c r="D78" i="22"/>
  <c r="D73" i="22"/>
  <c r="D75" i="22"/>
  <c r="D72" i="22"/>
  <c r="P12" i="17"/>
  <c r="Q12" i="17"/>
  <c r="D77" i="22"/>
  <c r="D71" i="22"/>
  <c r="D70" i="22"/>
  <c r="R33" i="18"/>
  <c r="N24" i="18"/>
  <c r="M26" i="18"/>
  <c r="J28" i="18"/>
  <c r="I30" i="18"/>
  <c r="I22" i="18"/>
  <c r="N31" i="18"/>
  <c r="N23" i="18"/>
  <c r="M25" i="18"/>
  <c r="J27" i="18"/>
  <c r="I29" i="18"/>
  <c r="N22" i="18"/>
  <c r="M24" i="18"/>
  <c r="J26" i="18"/>
  <c r="N29" i="18"/>
  <c r="M31" i="18"/>
  <c r="J25" i="18"/>
  <c r="N28" i="18"/>
  <c r="J24" i="18"/>
  <c r="M29" i="18"/>
  <c r="M28" i="18"/>
  <c r="I24" i="18"/>
  <c r="J29" i="18"/>
  <c r="I28" i="18"/>
  <c r="I26" i="18"/>
  <c r="J31" i="18"/>
  <c r="I25" i="18"/>
  <c r="J30" i="18"/>
  <c r="M27" i="18"/>
  <c r="I31" i="18"/>
  <c r="N30" i="18"/>
  <c r="M23" i="18"/>
  <c r="I27" i="18"/>
  <c r="M30" i="18"/>
  <c r="M22" i="18"/>
  <c r="N27" i="18"/>
  <c r="J23" i="18"/>
  <c r="J22" i="18"/>
  <c r="N25" i="18"/>
  <c r="I23" i="18"/>
  <c r="N26" i="18"/>
  <c r="H15" i="18"/>
  <c r="J15" i="18"/>
  <c r="D30" i="18"/>
  <c r="P63" i="18"/>
  <c r="S15" i="18"/>
  <c r="E30" i="18"/>
  <c r="Q10" i="20"/>
  <c r="Q13" i="20"/>
  <c r="P10" i="20"/>
  <c r="Q15" i="17"/>
  <c r="Q11" i="20"/>
  <c r="Q14" i="20"/>
  <c r="G91" i="20"/>
  <c r="F91" i="20"/>
  <c r="G84" i="20"/>
  <c r="F84" i="20"/>
  <c r="G77" i="20"/>
  <c r="F77" i="20"/>
  <c r="G70" i="20"/>
  <c r="F70" i="20"/>
  <c r="G63" i="20"/>
  <c r="F63" i="20"/>
  <c r="G56" i="20"/>
  <c r="F56" i="20"/>
  <c r="Q12" i="20"/>
  <c r="Q15" i="20"/>
  <c r="Q14" i="17"/>
  <c r="Q13" i="17"/>
  <c r="Q16" i="17"/>
  <c r="R4" i="22"/>
  <c r="G4" i="22"/>
  <c r="L4" i="20"/>
  <c r="P4" i="22"/>
  <c r="F27" i="19"/>
  <c r="P27" i="19"/>
  <c r="G48" i="19"/>
  <c r="G47" i="19"/>
  <c r="G20" i="19"/>
  <c r="G44" i="19"/>
  <c r="G43" i="19"/>
  <c r="G19" i="19"/>
  <c r="J6" i="19"/>
  <c r="Q4" i="18"/>
  <c r="F4" i="18"/>
  <c r="P19" i="22"/>
  <c r="G11" i="23"/>
  <c r="O11" i="23"/>
  <c r="C8" i="23"/>
  <c r="L11" i="23"/>
  <c r="H11" i="23"/>
  <c r="I11" i="23"/>
  <c r="P11" i="23"/>
  <c r="C12" i="23"/>
  <c r="M11" i="23"/>
  <c r="C13" i="23"/>
  <c r="K11" i="23"/>
  <c r="C18" i="23"/>
  <c r="J11" i="23"/>
  <c r="T11" i="23"/>
  <c r="D30" i="22"/>
  <c r="D28" i="22"/>
  <c r="N117" i="22"/>
  <c r="D24" i="22"/>
  <c r="D23" i="22"/>
  <c r="D22" i="22"/>
  <c r="F70" i="22"/>
  <c r="R12" i="22"/>
  <c r="R11" i="22"/>
  <c r="G11" i="22"/>
  <c r="N92" i="22"/>
  <c r="M69" i="17"/>
  <c r="P16" i="20"/>
  <c r="P15" i="17"/>
  <c r="P11" i="20"/>
  <c r="P14" i="20"/>
  <c r="G49" i="20"/>
  <c r="F49" i="20"/>
  <c r="G42" i="20"/>
  <c r="F42" i="20"/>
  <c r="G35" i="20"/>
  <c r="F35" i="20"/>
  <c r="Q28" i="20"/>
  <c r="P28" i="20"/>
  <c r="G28" i="20"/>
  <c r="G115" i="20"/>
  <c r="F28" i="20"/>
  <c r="F115" i="20"/>
  <c r="D28" i="18"/>
  <c r="P95" i="18"/>
  <c r="D23" i="18"/>
  <c r="P14" i="17"/>
  <c r="P13" i="17"/>
  <c r="P16" i="17"/>
  <c r="P13" i="20"/>
  <c r="B3" i="5"/>
  <c r="B2" i="5"/>
  <c r="AD29" i="22"/>
  <c r="V29" i="22"/>
  <c r="AC28" i="22"/>
  <c r="U23" i="22"/>
  <c r="V26" i="22"/>
  <c r="R26" i="22"/>
  <c r="U28" i="22"/>
  <c r="Q23" i="22"/>
  <c r="Y29" i="22"/>
  <c r="O11" i="17"/>
  <c r="O10" i="20"/>
  <c r="R23" i="22"/>
  <c r="Q29" i="22"/>
  <c r="N10" i="20"/>
  <c r="N12" i="20"/>
  <c r="Q22" i="22"/>
  <c r="R30" i="22"/>
  <c r="Z23" i="22"/>
  <c r="Y22" i="22"/>
  <c r="AC23" i="22"/>
  <c r="S30" i="22"/>
  <c r="T25" i="22"/>
  <c r="AA30" i="22"/>
  <c r="AB25" i="22"/>
  <c r="V27" i="22"/>
  <c r="Q26" i="22"/>
  <c r="Q27" i="22"/>
  <c r="U26" i="22"/>
  <c r="Y26" i="22"/>
  <c r="Y24" i="22"/>
  <c r="AC25" i="22"/>
  <c r="Z25" i="22"/>
  <c r="V24" i="22"/>
  <c r="T24" i="22"/>
  <c r="T28" i="22"/>
  <c r="S28" i="22"/>
  <c r="AD24" i="22"/>
  <c r="AB24" i="22"/>
  <c r="AB28" i="22"/>
  <c r="AA28" i="22"/>
  <c r="U29" i="22"/>
  <c r="R27" i="22"/>
  <c r="Q31" i="22"/>
  <c r="AC29" i="22"/>
  <c r="AC27" i="22"/>
  <c r="Z27" i="22"/>
  <c r="Y28" i="22"/>
  <c r="T26" i="22"/>
  <c r="S27" i="22"/>
  <c r="T22" i="22"/>
  <c r="V31" i="22"/>
  <c r="AB26" i="22"/>
  <c r="AA27" i="22"/>
  <c r="AB22" i="22"/>
  <c r="AD31" i="22"/>
  <c r="Z31" i="22"/>
  <c r="L46" i="22"/>
  <c r="Z29" i="22"/>
  <c r="O11" i="20"/>
  <c r="O12" i="20"/>
  <c r="Y30" i="22"/>
  <c r="AC31" i="22"/>
  <c r="S29" i="22"/>
  <c r="N13" i="20"/>
  <c r="V30" i="22"/>
  <c r="S25" i="22"/>
  <c r="S23" i="22"/>
  <c r="AA29" i="22"/>
  <c r="O13" i="20"/>
  <c r="AD30" i="22"/>
  <c r="AA25" i="22"/>
  <c r="AA23" i="22"/>
  <c r="U31" i="22"/>
  <c r="Z26" i="22"/>
  <c r="L41" i="22"/>
  <c r="Y27" i="22"/>
  <c r="U25" i="22"/>
  <c r="R31" i="22"/>
  <c r="D46" i="22"/>
  <c r="Q24" i="22"/>
  <c r="Q30" i="22"/>
  <c r="U30" i="22"/>
  <c r="Z22" i="22"/>
  <c r="T23" i="22"/>
  <c r="S31" i="22"/>
  <c r="V28" i="22"/>
  <c r="AB23" i="22"/>
  <c r="AA31" i="22"/>
  <c r="AD28" i="22"/>
  <c r="Y23" i="22"/>
  <c r="U27" i="22"/>
  <c r="R28" i="22"/>
  <c r="R25" i="22"/>
  <c r="R29" i="22"/>
  <c r="N11" i="20"/>
  <c r="R22" i="22"/>
  <c r="Q28" i="22"/>
  <c r="AC24" i="22"/>
  <c r="Z24" i="22"/>
  <c r="Y25" i="22"/>
  <c r="S26" i="22"/>
  <c r="S24" i="22"/>
  <c r="S22" i="22"/>
  <c r="T30" i="22"/>
  <c r="AA26" i="22"/>
  <c r="AA24" i="22"/>
  <c r="AA22" i="22"/>
  <c r="AB30" i="22"/>
  <c r="AC26" i="22"/>
  <c r="U24" i="22"/>
  <c r="R24" i="22"/>
  <c r="Q25" i="22"/>
  <c r="V25" i="22"/>
  <c r="AD27" i="22"/>
  <c r="AD25" i="22"/>
  <c r="AD26" i="22"/>
  <c r="Z28" i="22"/>
  <c r="L43" i="22"/>
  <c r="AC30" i="22"/>
  <c r="Z30" i="22"/>
  <c r="L45" i="22"/>
  <c r="T31" i="22"/>
  <c r="T29" i="22"/>
  <c r="N14" i="20"/>
  <c r="T27" i="22"/>
  <c r="V23" i="22"/>
  <c r="AB31" i="22"/>
  <c r="AB29" i="22"/>
  <c r="O14" i="20"/>
  <c r="AB27" i="22"/>
  <c r="AD23" i="22"/>
  <c r="Y31" i="22"/>
  <c r="K45" i="22"/>
  <c r="L38" i="22"/>
  <c r="D45" i="22"/>
  <c r="M46" i="22"/>
  <c r="L39" i="22"/>
  <c r="L42" i="22"/>
  <c r="N59" i="22"/>
  <c r="O15" i="17"/>
  <c r="N12" i="17"/>
  <c r="N14" i="17"/>
  <c r="N16" i="17"/>
  <c r="U22" i="22"/>
  <c r="O14" i="17"/>
  <c r="AD22" i="22"/>
  <c r="N15" i="17"/>
  <c r="AC22" i="22"/>
  <c r="V22" i="22"/>
  <c r="O12" i="17"/>
  <c r="N11" i="17"/>
  <c r="N13" i="17"/>
  <c r="O16" i="17"/>
  <c r="O13" i="17"/>
  <c r="G148" i="2"/>
  <c r="H121" i="2"/>
  <c r="I121" i="2"/>
  <c r="H105" i="2"/>
  <c r="L101" i="5"/>
  <c r="K156" i="2"/>
  <c r="H88" i="5"/>
  <c r="I88" i="5"/>
  <c r="J88" i="5"/>
  <c r="E82" i="5"/>
  <c r="G82" i="5"/>
  <c r="H84" i="5"/>
  <c r="I84" i="5"/>
  <c r="J84" i="5"/>
  <c r="H85" i="5"/>
  <c r="I85" i="5"/>
  <c r="J85" i="5"/>
  <c r="H82" i="5"/>
  <c r="I82" i="5"/>
  <c r="J82" i="5"/>
  <c r="H89" i="5"/>
  <c r="I89" i="5"/>
  <c r="J89" i="5"/>
  <c r="E83" i="5"/>
  <c r="G83" i="5"/>
  <c r="S23" i="5"/>
  <c r="E86" i="5"/>
  <c r="G86" i="5"/>
  <c r="H86" i="5"/>
  <c r="I86" i="5"/>
  <c r="U15" i="5"/>
  <c r="U105" i="5"/>
  <c r="H148" i="2"/>
  <c r="I83" i="5"/>
  <c r="J83" i="5"/>
  <c r="H83" i="5"/>
  <c r="E85" i="5"/>
  <c r="G85" i="5"/>
  <c r="S16" i="5"/>
  <c r="E87" i="5"/>
  <c r="G87" i="5"/>
  <c r="S18" i="5"/>
  <c r="S108" i="5"/>
  <c r="E89" i="5"/>
  <c r="G89" i="5"/>
  <c r="AB27" i="26"/>
  <c r="E88" i="5"/>
  <c r="G88" i="5"/>
  <c r="S14" i="5"/>
  <c r="AF53" i="18"/>
  <c r="AG53" i="18"/>
  <c r="E11" i="29"/>
  <c r="G11" i="29"/>
  <c r="AA38" i="29"/>
  <c r="AB38" i="29"/>
  <c r="D55" i="22"/>
  <c r="K60" i="22"/>
  <c r="L41" i="17"/>
  <c r="D56" i="22"/>
  <c r="AF57" i="18"/>
  <c r="AF55" i="18"/>
  <c r="E12" i="29"/>
  <c r="AA39" i="29"/>
  <c r="AB39" i="29"/>
  <c r="L61" i="22"/>
  <c r="AF58" i="18"/>
  <c r="AF56" i="18"/>
  <c r="Z41" i="29"/>
  <c r="AA41" i="27"/>
  <c r="AB41" i="27"/>
  <c r="E14" i="29"/>
  <c r="G14" i="29"/>
  <c r="AA41" i="29"/>
  <c r="AB41" i="29"/>
  <c r="D53" i="22"/>
  <c r="L56" i="22"/>
  <c r="G57" i="19"/>
  <c r="G53" i="19"/>
  <c r="AF39" i="18"/>
  <c r="AG39" i="18"/>
  <c r="J21" i="23"/>
  <c r="C53" i="22"/>
  <c r="D61" i="22"/>
  <c r="C41" i="22"/>
  <c r="L124" i="22"/>
  <c r="AF45" i="18"/>
  <c r="AG45" i="18"/>
  <c r="E8" i="29"/>
  <c r="G8" i="29"/>
  <c r="AA35" i="29"/>
  <c r="AB35" i="29"/>
  <c r="E9" i="29"/>
  <c r="G9" i="29"/>
  <c r="AA36" i="29"/>
  <c r="AB36" i="29"/>
  <c r="AF46" i="18"/>
  <c r="AF44" i="18"/>
  <c r="K58" i="22"/>
  <c r="C60" i="22"/>
  <c r="D41" i="17"/>
  <c r="O55" i="26"/>
  <c r="O57" i="19"/>
  <c r="L54" i="22"/>
  <c r="AF51" i="18"/>
  <c r="AG51" i="18"/>
  <c r="K55" i="22"/>
  <c r="D58" i="22"/>
  <c r="AF52" i="18"/>
  <c r="AG52" i="18"/>
  <c r="E10" i="29"/>
  <c r="G10" i="29"/>
  <c r="AA37" i="29"/>
  <c r="AB37" i="29"/>
  <c r="H71" i="5"/>
  <c r="M121" i="5"/>
  <c r="H72" i="5"/>
  <c r="M119" i="5"/>
  <c r="G64" i="5"/>
  <c r="I64" i="5"/>
  <c r="J64" i="5"/>
  <c r="O84" i="20"/>
  <c r="AF34" i="36"/>
  <c r="E72" i="18"/>
  <c r="P39" i="18"/>
  <c r="P38" i="18"/>
  <c r="P62" i="18"/>
  <c r="E93" i="18"/>
  <c r="E65" i="20"/>
  <c r="F90" i="18"/>
  <c r="P94" i="18"/>
  <c r="P58" i="18"/>
  <c r="E88" i="18"/>
  <c r="Z45" i="18"/>
  <c r="AF70" i="18"/>
  <c r="AF75" i="18"/>
  <c r="AG75" i="18"/>
  <c r="AF76" i="18"/>
  <c r="AG76" i="18"/>
  <c r="P91" i="18"/>
  <c r="P90" i="18"/>
  <c r="E90" i="18"/>
  <c r="O90" i="18"/>
  <c r="M73" i="22"/>
  <c r="AB51" i="23"/>
  <c r="E28" i="17"/>
  <c r="O117" i="18"/>
  <c r="P57" i="18"/>
  <c r="O92" i="18"/>
  <c r="F95" i="18"/>
  <c r="E38" i="18"/>
  <c r="O89" i="18"/>
  <c r="F101" i="22"/>
  <c r="AE51" i="23"/>
  <c r="P30" i="23"/>
  <c r="Q30" i="23"/>
  <c r="F92" i="18"/>
  <c r="P88" i="18"/>
  <c r="N87" i="22"/>
  <c r="O95" i="18"/>
  <c r="E86" i="22"/>
  <c r="Y57" i="18"/>
  <c r="AF61" i="18"/>
  <c r="AF65" i="18"/>
  <c r="AG65" i="18"/>
  <c r="H60" i="5"/>
  <c r="M120" i="5"/>
  <c r="H20" i="5"/>
  <c r="M118" i="5"/>
  <c r="P28" i="36"/>
  <c r="AB19" i="36"/>
  <c r="M21" i="23"/>
  <c r="C44" i="22"/>
  <c r="D40" i="17"/>
  <c r="C39" i="22"/>
  <c r="C43" i="22"/>
  <c r="L21" i="23"/>
  <c r="I41" i="26"/>
  <c r="I19" i="26"/>
  <c r="C38" i="22"/>
  <c r="K43" i="22"/>
  <c r="K21" i="23"/>
  <c r="D44" i="22"/>
  <c r="D47" i="17"/>
  <c r="N21" i="23"/>
  <c r="L44" i="22"/>
  <c r="L47" i="17"/>
  <c r="K40" i="22"/>
  <c r="D37" i="22"/>
  <c r="D41" i="22"/>
  <c r="O21" i="23"/>
  <c r="T25" i="23"/>
  <c r="C42" i="22"/>
  <c r="P21" i="23"/>
  <c r="K41" i="22"/>
  <c r="C40" i="22"/>
  <c r="K46" i="22"/>
  <c r="D42" i="22"/>
  <c r="K39" i="22"/>
  <c r="I21" i="23"/>
  <c r="C37" i="22"/>
  <c r="D40" i="22"/>
  <c r="G21" i="23"/>
  <c r="H21" i="23"/>
  <c r="R21" i="23"/>
  <c r="D38" i="22"/>
  <c r="K42" i="22"/>
  <c r="D39" i="22"/>
  <c r="P12" i="20"/>
  <c r="P15" i="20"/>
  <c r="N15" i="20"/>
  <c r="O15" i="20"/>
  <c r="E70" i="20"/>
  <c r="E91" i="20"/>
  <c r="O77" i="20"/>
  <c r="I76" i="5"/>
  <c r="J76" i="5"/>
  <c r="M131" i="5"/>
  <c r="M6" i="30"/>
  <c r="M10" i="30"/>
  <c r="C73" i="18"/>
  <c r="P4" i="18"/>
  <c r="P12" i="18"/>
  <c r="R12" i="18"/>
  <c r="C108" i="22"/>
  <c r="D82" i="17"/>
  <c r="D35" i="20"/>
  <c r="D49" i="20"/>
  <c r="G27" i="36"/>
  <c r="Q27" i="36"/>
  <c r="G27" i="37"/>
  <c r="Q27" i="37"/>
  <c r="K73" i="22"/>
  <c r="N105" i="18"/>
  <c r="D109" i="18"/>
  <c r="D92" i="20"/>
  <c r="K72" i="22"/>
  <c r="D103" i="18"/>
  <c r="C85" i="22"/>
  <c r="K108" i="22"/>
  <c r="L82" i="17"/>
  <c r="C75" i="18"/>
  <c r="C122" i="22"/>
  <c r="K71" i="22"/>
  <c r="D88" i="22"/>
  <c r="L73" i="22"/>
  <c r="D77" i="18"/>
  <c r="D71" i="20"/>
  <c r="M110" i="18"/>
  <c r="C47" i="18"/>
  <c r="D56" i="20"/>
  <c r="M45" i="18"/>
  <c r="N43" i="20"/>
  <c r="C77" i="18"/>
  <c r="D64" i="20"/>
  <c r="C86" i="22"/>
  <c r="F22" i="26"/>
  <c r="F22" i="37"/>
  <c r="F22" i="36"/>
  <c r="F22" i="19"/>
  <c r="P11" i="18"/>
  <c r="R11" i="18"/>
  <c r="E8" i="27"/>
  <c r="G8" i="27"/>
  <c r="E11" i="18"/>
  <c r="G11" i="18"/>
  <c r="E122" i="18"/>
  <c r="O128" i="5"/>
  <c r="M100" i="5"/>
  <c r="T99" i="5"/>
  <c r="I12" i="5"/>
  <c r="N108" i="5"/>
  <c r="H16" i="5"/>
  <c r="I16" i="5"/>
  <c r="J16" i="5"/>
  <c r="Q9" i="24"/>
  <c r="M108" i="5"/>
  <c r="N129" i="5"/>
  <c r="N41" i="26"/>
  <c r="N19" i="26"/>
  <c r="D43" i="18"/>
  <c r="I41" i="19"/>
  <c r="I19" i="19"/>
  <c r="L45" i="19"/>
  <c r="L20" i="19"/>
  <c r="L41" i="26"/>
  <c r="L19" i="26"/>
  <c r="D34" i="27"/>
  <c r="D111" i="20"/>
  <c r="M41" i="26"/>
  <c r="M19" i="26"/>
  <c r="D91" i="20"/>
  <c r="K41" i="26"/>
  <c r="K19" i="26"/>
  <c r="L76" i="22"/>
  <c r="L68" i="17"/>
  <c r="Q41" i="19"/>
  <c r="Q19" i="19"/>
  <c r="D39" i="17"/>
  <c r="C101" i="22"/>
  <c r="D53" i="17"/>
  <c r="K107" i="22"/>
  <c r="L39" i="17"/>
  <c r="N49" i="20"/>
  <c r="G20" i="30"/>
  <c r="H92" i="5"/>
  <c r="S19" i="5"/>
  <c r="U22" i="5"/>
  <c r="U112" i="5"/>
  <c r="J32" i="5"/>
  <c r="V22" i="5"/>
  <c r="V112" i="5"/>
  <c r="S11" i="5"/>
  <c r="H23" i="5"/>
  <c r="M114" i="5"/>
  <c r="J9" i="5"/>
  <c r="U9" i="5"/>
  <c r="H31" i="5"/>
  <c r="I31" i="5"/>
  <c r="J31" i="5"/>
  <c r="H28" i="5"/>
  <c r="S17" i="5"/>
  <c r="N128" i="5"/>
  <c r="I87" i="5"/>
  <c r="J87" i="5"/>
  <c r="V18" i="5"/>
  <c r="V108" i="5"/>
  <c r="T9" i="5"/>
  <c r="S22" i="5"/>
  <c r="T22" i="5"/>
  <c r="T112" i="5"/>
  <c r="J86" i="5"/>
  <c r="V15" i="5"/>
  <c r="V105" i="5"/>
  <c r="G137" i="5"/>
  <c r="AF30" i="19"/>
  <c r="AE30" i="19"/>
  <c r="AC30" i="26"/>
  <c r="C100" i="18"/>
  <c r="M115" i="18"/>
  <c r="D74" i="18"/>
  <c r="L6" i="26"/>
  <c r="C45" i="18"/>
  <c r="D43" i="20"/>
  <c r="N75" i="18"/>
  <c r="L53" i="17"/>
  <c r="D74" i="17"/>
  <c r="M44" i="18"/>
  <c r="N72" i="18"/>
  <c r="D73" i="18"/>
  <c r="L60" i="17"/>
  <c r="K101" i="22"/>
  <c r="C109" i="22"/>
  <c r="H20" i="30"/>
  <c r="K6" i="26"/>
  <c r="M77" i="18"/>
  <c r="N64" i="20"/>
  <c r="L46" i="17"/>
  <c r="M104" i="18"/>
  <c r="D40" i="18"/>
  <c r="O6" i="26"/>
  <c r="N45" i="18"/>
  <c r="N50" i="20"/>
  <c r="O6" i="19"/>
  <c r="D38" i="18"/>
  <c r="M39" i="18"/>
  <c r="M103" i="18"/>
  <c r="N76" i="18"/>
  <c r="C102" i="18"/>
  <c r="N6" i="30"/>
  <c r="N10" i="30"/>
  <c r="K55" i="26"/>
  <c r="Q45" i="26"/>
  <c r="Q20" i="26"/>
  <c r="L77" i="22"/>
  <c r="D103" i="22"/>
  <c r="N38" i="18"/>
  <c r="M45" i="19"/>
  <c r="M20" i="19"/>
  <c r="C103" i="18"/>
  <c r="M108" i="18"/>
  <c r="M72" i="18"/>
  <c r="N124" i="18"/>
  <c r="N93" i="20"/>
  <c r="M76" i="18"/>
  <c r="L67" i="17"/>
  <c r="M105" i="18"/>
  <c r="L25" i="17"/>
  <c r="D111" i="18"/>
  <c r="C119" i="18"/>
  <c r="D70" i="18"/>
  <c r="N77" i="20"/>
  <c r="L81" i="17"/>
  <c r="J6" i="30"/>
  <c r="J10" i="30"/>
  <c r="C71" i="22"/>
  <c r="M106" i="18"/>
  <c r="N92" i="18"/>
  <c r="M75" i="18"/>
  <c r="C70" i="18"/>
  <c r="D47" i="18"/>
  <c r="L74" i="17"/>
  <c r="N111" i="18"/>
  <c r="N41" i="18"/>
  <c r="D46" i="17"/>
  <c r="G25" i="17"/>
  <c r="O25" i="17"/>
  <c r="N79" i="18"/>
  <c r="N71" i="18"/>
  <c r="D44" i="18"/>
  <c r="D32" i="17"/>
  <c r="L88" i="17"/>
  <c r="N30" i="20"/>
  <c r="N102" i="18"/>
  <c r="M70" i="18"/>
  <c r="C108" i="18"/>
  <c r="C40" i="18"/>
  <c r="D60" i="17"/>
  <c r="N20" i="30"/>
  <c r="N44" i="18"/>
  <c r="M111" i="18"/>
  <c r="M42" i="18"/>
  <c r="D108" i="18"/>
  <c r="M6" i="23"/>
  <c r="M10" i="23"/>
  <c r="E54" i="18"/>
  <c r="F62" i="18"/>
  <c r="F123" i="18"/>
  <c r="P120" i="18"/>
  <c r="E124" i="18"/>
  <c r="E86" i="20"/>
  <c r="P121" i="18"/>
  <c r="F58" i="18"/>
  <c r="E56" i="18"/>
  <c r="O55" i="18"/>
  <c r="O62" i="18"/>
  <c r="F119" i="18"/>
  <c r="F57" i="18"/>
  <c r="F103" i="22"/>
  <c r="AE50" i="23"/>
  <c r="U15" i="18"/>
  <c r="F30" i="18"/>
  <c r="M40" i="22"/>
  <c r="P89" i="18"/>
  <c r="E118" i="22"/>
  <c r="N54" i="22"/>
  <c r="F93" i="18"/>
  <c r="E72" i="20"/>
  <c r="O93" i="18"/>
  <c r="O65" i="20"/>
  <c r="E91" i="18"/>
  <c r="F94" i="18"/>
  <c r="P119" i="18"/>
  <c r="E107" i="22"/>
  <c r="N121" i="22"/>
  <c r="G29" i="19"/>
  <c r="O122" i="18"/>
  <c r="N57" i="22"/>
  <c r="E94" i="18"/>
  <c r="P92" i="18"/>
  <c r="F88" i="18"/>
  <c r="O86" i="18"/>
  <c r="O88" i="18"/>
  <c r="F117" i="18"/>
  <c r="N104" i="22"/>
  <c r="Q29" i="19"/>
  <c r="AA37" i="30"/>
  <c r="P30" i="30"/>
  <c r="E77" i="22"/>
  <c r="E126" i="18"/>
  <c r="F120" i="18"/>
  <c r="M42" i="22"/>
  <c r="F91" i="18"/>
  <c r="F86" i="18"/>
  <c r="E123" i="18"/>
  <c r="F54" i="18"/>
  <c r="P54" i="18"/>
  <c r="M77" i="22"/>
  <c r="O29" i="20"/>
  <c r="E45" i="22"/>
  <c r="F77" i="22"/>
  <c r="F118" i="18"/>
  <c r="P60" i="18"/>
  <c r="P117" i="18"/>
  <c r="O59" i="18"/>
  <c r="P118" i="18"/>
  <c r="M110" i="22"/>
  <c r="F125" i="18"/>
  <c r="N58" i="22"/>
  <c r="E35" i="20"/>
  <c r="P122" i="18"/>
  <c r="E92" i="18"/>
  <c r="O121" i="18"/>
  <c r="E89" i="18"/>
  <c r="O87" i="18"/>
  <c r="E103" i="22"/>
  <c r="F121" i="18"/>
  <c r="E42" i="20"/>
  <c r="E120" i="18"/>
  <c r="P93" i="18"/>
  <c r="O72" i="20"/>
  <c r="F89" i="18"/>
  <c r="O91" i="18"/>
  <c r="AM30" i="26"/>
  <c r="AN30" i="26"/>
  <c r="N117" i="18"/>
  <c r="N86" i="18"/>
  <c r="D56" i="18"/>
  <c r="N59" i="18"/>
  <c r="M119" i="18"/>
  <c r="D95" i="18"/>
  <c r="D90" i="18"/>
  <c r="S6" i="19"/>
  <c r="N93" i="18"/>
  <c r="N72" i="20"/>
  <c r="M95" i="18"/>
  <c r="T41" i="19"/>
  <c r="Q41" i="26"/>
  <c r="Q19" i="26"/>
  <c r="D93" i="18"/>
  <c r="D72" i="20"/>
  <c r="N94" i="18"/>
  <c r="N84" i="20"/>
  <c r="D31" i="20"/>
  <c r="N91" i="18"/>
  <c r="N56" i="20"/>
  <c r="N61" i="18"/>
  <c r="N51" i="20"/>
  <c r="N28" i="20"/>
  <c r="C93" i="18"/>
  <c r="D65" i="20"/>
  <c r="C123" i="18"/>
  <c r="N87" i="18"/>
  <c r="N63" i="18"/>
  <c r="C105" i="22"/>
  <c r="N60" i="18"/>
  <c r="D63" i="20"/>
  <c r="M94" i="18"/>
  <c r="D86" i="18"/>
  <c r="E12" i="27"/>
  <c r="G12" i="27"/>
  <c r="Q6" i="30"/>
  <c r="Q10" i="30"/>
  <c r="M120" i="18"/>
  <c r="M88" i="18"/>
  <c r="C87" i="18"/>
  <c r="M87" i="18"/>
  <c r="C41" i="18"/>
  <c r="N91" i="20"/>
  <c r="M58" i="18"/>
  <c r="M123" i="18"/>
  <c r="D77" i="20"/>
  <c r="C105" i="18"/>
  <c r="N90" i="18"/>
  <c r="D105" i="18"/>
  <c r="C121" i="18"/>
  <c r="N63" i="20"/>
  <c r="R6" i="26"/>
  <c r="E14" i="27"/>
  <c r="K14" i="27"/>
  <c r="D103" i="20"/>
  <c r="N110" i="18"/>
  <c r="N88" i="18"/>
  <c r="C89" i="18"/>
  <c r="M92" i="18"/>
  <c r="M90" i="18"/>
  <c r="M38" i="18"/>
  <c r="N35" i="20"/>
  <c r="D97" i="20"/>
  <c r="N58" i="18"/>
  <c r="N104" i="18"/>
  <c r="D91" i="18"/>
  <c r="C110" i="18"/>
  <c r="D89" i="18"/>
  <c r="M36" i="18"/>
  <c r="R6" i="19"/>
  <c r="L6" i="23"/>
  <c r="L10" i="23"/>
  <c r="D109" i="20"/>
  <c r="K116" i="22"/>
  <c r="K102" i="22"/>
  <c r="C95" i="18"/>
  <c r="M117" i="18"/>
  <c r="N57" i="18"/>
  <c r="D42" i="20"/>
  <c r="D84" i="20"/>
  <c r="M86" i="18"/>
  <c r="C88" i="18"/>
  <c r="C94" i="18"/>
  <c r="D94" i="18"/>
  <c r="F108" i="18"/>
  <c r="P86" i="18"/>
  <c r="E121" i="18"/>
  <c r="O120" i="18"/>
  <c r="P126" i="18"/>
  <c r="E57" i="18"/>
  <c r="E62" i="18"/>
  <c r="P55" i="18"/>
  <c r="O123" i="18"/>
  <c r="O118" i="18"/>
  <c r="E87" i="18"/>
  <c r="O126" i="18"/>
  <c r="F87" i="18"/>
  <c r="P61" i="18"/>
  <c r="O51" i="20"/>
  <c r="F61" i="18"/>
  <c r="E51" i="20"/>
  <c r="P87" i="18"/>
  <c r="E119" i="18"/>
  <c r="F126" i="18"/>
  <c r="O119" i="18"/>
  <c r="E86" i="18"/>
  <c r="P59" i="18"/>
  <c r="P56" i="18"/>
  <c r="O57" i="18"/>
  <c r="O94" i="18"/>
  <c r="E95" i="18"/>
  <c r="N90" i="22"/>
  <c r="F109" i="22"/>
  <c r="N119" i="22"/>
  <c r="K44" i="22"/>
  <c r="L40" i="17"/>
  <c r="F39" i="22"/>
  <c r="N56" i="22"/>
  <c r="O46" i="18"/>
  <c r="M87" i="22"/>
  <c r="I11" i="5"/>
  <c r="I105" i="2"/>
  <c r="I148" i="2"/>
  <c r="C45" i="22"/>
  <c r="J62" i="5"/>
  <c r="O130" i="5"/>
  <c r="I63" i="5"/>
  <c r="J63" i="5"/>
  <c r="N37" i="22"/>
  <c r="L37" i="22"/>
  <c r="N40" i="22"/>
  <c r="L40" i="22"/>
  <c r="M108" i="22"/>
  <c r="M82" i="17"/>
  <c r="N91" i="22"/>
  <c r="M86" i="22"/>
  <c r="N89" i="22"/>
  <c r="E93" i="22"/>
  <c r="N116" i="22"/>
  <c r="M93" i="22"/>
  <c r="M88" i="17"/>
  <c r="E46" i="17"/>
  <c r="H29" i="5"/>
  <c r="S10" i="5"/>
  <c r="H22" i="5"/>
  <c r="M117" i="5"/>
  <c r="M85" i="22"/>
  <c r="K148" i="2"/>
  <c r="H59" i="5"/>
  <c r="M122" i="5"/>
  <c r="S13" i="5"/>
  <c r="L104" i="5"/>
  <c r="L137" i="5"/>
  <c r="E137" i="5"/>
  <c r="M105" i="22"/>
  <c r="H153" i="2"/>
  <c r="S15" i="5"/>
  <c r="E93" i="5"/>
  <c r="G93" i="5"/>
  <c r="AB27" i="19"/>
  <c r="K22" i="2"/>
  <c r="E21" i="5"/>
  <c r="G21" i="5"/>
  <c r="AB35" i="36"/>
  <c r="AJ35" i="26"/>
  <c r="AB35" i="37"/>
  <c r="I6" i="26"/>
  <c r="H6" i="30"/>
  <c r="H10" i="30"/>
  <c r="AF30" i="26"/>
  <c r="AE30" i="26"/>
  <c r="K55" i="37"/>
  <c r="K55" i="36"/>
  <c r="AC35" i="36"/>
  <c r="AK35" i="26"/>
  <c r="AC35" i="37"/>
  <c r="E105" i="22"/>
  <c r="H22" i="2"/>
  <c r="I22" i="2"/>
  <c r="H15" i="2"/>
  <c r="AB27" i="36"/>
  <c r="AB27" i="37"/>
  <c r="F34" i="29"/>
  <c r="E108" i="17"/>
  <c r="E109" i="20"/>
  <c r="M28" i="17"/>
  <c r="E73" i="22"/>
  <c r="F73" i="22"/>
  <c r="E35" i="29"/>
  <c r="E103" i="17"/>
  <c r="J148" i="2"/>
  <c r="K9" i="2"/>
  <c r="D106" i="17"/>
  <c r="D81" i="17"/>
  <c r="D100" i="17"/>
  <c r="D94" i="17"/>
  <c r="L32" i="17"/>
  <c r="D88" i="17"/>
  <c r="AJ33" i="26"/>
  <c r="AK32" i="26"/>
  <c r="D102" i="18"/>
  <c r="D119" i="22"/>
  <c r="C107" i="22"/>
  <c r="L110" i="22"/>
  <c r="D102" i="22"/>
  <c r="C33" i="29"/>
  <c r="D101" i="17"/>
  <c r="E117" i="22"/>
  <c r="F47" i="18"/>
  <c r="H46" i="36"/>
  <c r="R42" i="36"/>
  <c r="Q46" i="37"/>
  <c r="AC36" i="37"/>
  <c r="AC33" i="26"/>
  <c r="C90" i="22"/>
  <c r="Q42" i="36"/>
  <c r="AB36" i="37"/>
  <c r="L86" i="22"/>
  <c r="K104" i="22"/>
  <c r="C76" i="22"/>
  <c r="D61" i="17"/>
  <c r="O42" i="36"/>
  <c r="AB30" i="37"/>
  <c r="AC30" i="37"/>
  <c r="D34" i="29"/>
  <c r="D108" i="17"/>
  <c r="AM34" i="36"/>
  <c r="I42" i="37"/>
  <c r="AC40" i="37"/>
  <c r="AC34" i="37"/>
  <c r="K20" i="23"/>
  <c r="T46" i="36"/>
  <c r="AE34" i="36"/>
  <c r="AB40" i="37"/>
  <c r="AB34" i="37"/>
  <c r="S21" i="23"/>
  <c r="AC39" i="37"/>
  <c r="AC33" i="37"/>
  <c r="R46" i="36"/>
  <c r="AB39" i="37"/>
  <c r="AB33" i="37"/>
  <c r="AE33" i="37"/>
  <c r="J41" i="26"/>
  <c r="J19" i="26"/>
  <c r="P46" i="36"/>
  <c r="AC38" i="37"/>
  <c r="AC32" i="37"/>
  <c r="C92" i="22"/>
  <c r="D62" i="17"/>
  <c r="E33" i="29"/>
  <c r="E101" i="17"/>
  <c r="O20" i="30"/>
  <c r="O46" i="36"/>
  <c r="AB38" i="37"/>
  <c r="AB32" i="37"/>
  <c r="AK34" i="26"/>
  <c r="P45" i="19"/>
  <c r="P20" i="19"/>
  <c r="O55" i="37"/>
  <c r="O55" i="36"/>
  <c r="L88" i="22"/>
  <c r="C104" i="22"/>
  <c r="K106" i="22"/>
  <c r="M46" i="36"/>
  <c r="T42" i="36"/>
  <c r="AC37" i="37"/>
  <c r="AC31" i="37"/>
  <c r="G7" i="29"/>
  <c r="AJ34" i="26"/>
  <c r="AK33" i="26"/>
  <c r="K76" i="22"/>
  <c r="L61" i="17"/>
  <c r="K109" i="22"/>
  <c r="L69" i="22"/>
  <c r="T43" i="36"/>
  <c r="J46" i="36"/>
  <c r="AB37" i="37"/>
  <c r="AB31" i="37"/>
  <c r="F58" i="22"/>
  <c r="F38" i="18"/>
  <c r="E116" i="22"/>
  <c r="O74" i="18"/>
  <c r="O77" i="18"/>
  <c r="O64" i="20"/>
  <c r="P72" i="18"/>
  <c r="G12" i="29"/>
  <c r="E63" i="20"/>
  <c r="O70" i="20"/>
  <c r="E49" i="20"/>
  <c r="E103" i="20"/>
  <c r="O42" i="20"/>
  <c r="E97" i="20"/>
  <c r="O49" i="20"/>
  <c r="O91" i="20"/>
  <c r="E56" i="20"/>
  <c r="M26" i="17"/>
  <c r="P29" i="23"/>
  <c r="G4" i="27"/>
  <c r="D21" i="18"/>
  <c r="D27" i="18"/>
  <c r="F4" i="27"/>
  <c r="F28" i="30"/>
  <c r="P28" i="30"/>
  <c r="F28" i="23"/>
  <c r="P28" i="23"/>
  <c r="G4" i="18"/>
  <c r="G4" i="29"/>
  <c r="D21" i="29"/>
  <c r="E31" i="29"/>
  <c r="D21" i="27"/>
  <c r="E31" i="27"/>
  <c r="Q4" i="22"/>
  <c r="F4" i="22"/>
  <c r="D21" i="22"/>
  <c r="M61" i="22"/>
  <c r="M25" i="17"/>
  <c r="E44" i="18"/>
  <c r="O43" i="18"/>
  <c r="M59" i="22"/>
  <c r="F45" i="18"/>
  <c r="E50" i="20"/>
  <c r="O42" i="18"/>
  <c r="E111" i="18"/>
  <c r="M71" i="22"/>
  <c r="N71" i="22"/>
  <c r="M75" i="22"/>
  <c r="E109" i="22"/>
  <c r="E124" i="22"/>
  <c r="F122" i="22"/>
  <c r="E120" i="22"/>
  <c r="F117" i="22"/>
  <c r="P76" i="18"/>
  <c r="P79" i="18"/>
  <c r="O104" i="18"/>
  <c r="E29" i="20"/>
  <c r="G28" i="19"/>
  <c r="AB50" i="23"/>
  <c r="G29" i="26"/>
  <c r="X37" i="30"/>
  <c r="F30" i="30"/>
  <c r="Z46" i="18"/>
  <c r="P42" i="18"/>
  <c r="E77" i="18"/>
  <c r="E64" i="20"/>
  <c r="P73" i="18"/>
  <c r="Y46" i="18"/>
  <c r="F53" i="22"/>
  <c r="O109" i="18"/>
  <c r="O85" i="20"/>
  <c r="P103" i="18"/>
  <c r="O47" i="18"/>
  <c r="M101" i="22"/>
  <c r="N103" i="22"/>
  <c r="N109" i="22"/>
  <c r="E78" i="22"/>
  <c r="E91" i="22"/>
  <c r="F90" i="22"/>
  <c r="F88" i="22"/>
  <c r="F94" i="22"/>
  <c r="R4" i="18"/>
  <c r="E73" i="18"/>
  <c r="F79" i="18"/>
  <c r="O78" i="18"/>
  <c r="O102" i="18"/>
  <c r="O76" i="18"/>
  <c r="O108" i="18"/>
  <c r="P106" i="18"/>
  <c r="P105" i="18"/>
  <c r="F71" i="18"/>
  <c r="F74" i="18"/>
  <c r="F75" i="18"/>
  <c r="E110" i="18"/>
  <c r="P104" i="18"/>
  <c r="P74" i="18"/>
  <c r="E71" i="18"/>
  <c r="F78" i="18"/>
  <c r="P77" i="18"/>
  <c r="O71" i="20"/>
  <c r="P71" i="18"/>
  <c r="P102" i="18"/>
  <c r="E75" i="18"/>
  <c r="O73" i="18"/>
  <c r="E107" i="18"/>
  <c r="P107" i="18"/>
  <c r="E76" i="18"/>
  <c r="E70" i="18"/>
  <c r="O75" i="18"/>
  <c r="F73" i="18"/>
  <c r="F104" i="18"/>
  <c r="E109" i="18"/>
  <c r="E85" i="20"/>
  <c r="O71" i="18"/>
  <c r="P70" i="18"/>
  <c r="E108" i="18"/>
  <c r="E105" i="18"/>
  <c r="F109" i="18"/>
  <c r="E92" i="20"/>
  <c r="P111" i="18"/>
  <c r="O107" i="18"/>
  <c r="F72" i="18"/>
  <c r="E76" i="22"/>
  <c r="E61" i="17"/>
  <c r="E74" i="22"/>
  <c r="E72" i="22"/>
  <c r="F69" i="22"/>
  <c r="F92" i="22"/>
  <c r="E69" i="17"/>
  <c r="N86" i="22"/>
  <c r="M92" i="22"/>
  <c r="M62" i="17"/>
  <c r="M55" i="17"/>
  <c r="G27" i="19"/>
  <c r="Q27" i="19"/>
  <c r="F76" i="18"/>
  <c r="O79" i="18"/>
  <c r="E88" i="17"/>
  <c r="F29" i="30"/>
  <c r="E27" i="17"/>
  <c r="O111" i="18"/>
  <c r="M38" i="22"/>
  <c r="M78" i="22"/>
  <c r="F74" i="22"/>
  <c r="M74" i="22"/>
  <c r="M72" i="22"/>
  <c r="F125" i="22"/>
  <c r="M119" i="22"/>
  <c r="F116" i="22"/>
  <c r="N93" i="22"/>
  <c r="F89" i="22"/>
  <c r="E89" i="22"/>
  <c r="M117" i="22"/>
  <c r="F124" i="22"/>
  <c r="N62" i="22"/>
  <c r="N61" i="22"/>
  <c r="E59" i="22"/>
  <c r="M57" i="22"/>
  <c r="E125" i="22"/>
  <c r="M91" i="22"/>
  <c r="E87" i="22"/>
  <c r="F120" i="22"/>
  <c r="M124" i="22"/>
  <c r="E123" i="22"/>
  <c r="E83" i="17"/>
  <c r="M89" i="22"/>
  <c r="E60" i="22"/>
  <c r="E41" i="17"/>
  <c r="M55" i="22"/>
  <c r="M90" i="22"/>
  <c r="F85" i="22"/>
  <c r="N123" i="22"/>
  <c r="M90" i="17"/>
  <c r="M123" i="22"/>
  <c r="M83" i="17"/>
  <c r="E122" i="22"/>
  <c r="M88" i="22"/>
  <c r="F93" i="22"/>
  <c r="F86" i="22"/>
  <c r="E94" i="22"/>
  <c r="M122" i="22"/>
  <c r="F121" i="22"/>
  <c r="N88" i="22"/>
  <c r="N85" i="22"/>
  <c r="E92" i="22"/>
  <c r="E62" i="17"/>
  <c r="E53" i="22"/>
  <c r="M120" i="22"/>
  <c r="E119" i="22"/>
  <c r="N94" i="22"/>
  <c r="M94" i="22"/>
  <c r="E90" i="22"/>
  <c r="M118" i="22"/>
  <c r="M54" i="22"/>
  <c r="N55" i="22"/>
  <c r="I28" i="20"/>
  <c r="I115" i="20"/>
  <c r="E74" i="18"/>
  <c r="P40" i="18"/>
  <c r="M32" i="17"/>
  <c r="M56" i="22"/>
  <c r="E61" i="22"/>
  <c r="P110" i="18"/>
  <c r="M39" i="22"/>
  <c r="E34" i="29"/>
  <c r="G12" i="18"/>
  <c r="Z57" i="18"/>
  <c r="F35" i="29"/>
  <c r="E109" i="17"/>
  <c r="F33" i="29"/>
  <c r="E107" i="17"/>
  <c r="E54" i="22"/>
  <c r="O103" i="18"/>
  <c r="P109" i="18"/>
  <c r="O92" i="20"/>
  <c r="N125" i="22"/>
  <c r="O72" i="18"/>
  <c r="E104" i="18"/>
  <c r="H16" i="18"/>
  <c r="O39" i="18"/>
  <c r="F45" i="22"/>
  <c r="E84" i="20"/>
  <c r="F43" i="18"/>
  <c r="F41" i="18"/>
  <c r="F43" i="22"/>
  <c r="M45" i="22"/>
  <c r="O28" i="20"/>
  <c r="E45" i="18"/>
  <c r="E43" i="20"/>
  <c r="F110" i="18"/>
  <c r="M70" i="22"/>
  <c r="N76" i="22"/>
  <c r="M68" i="17"/>
  <c r="M70" i="17"/>
  <c r="F123" i="22"/>
  <c r="E90" i="17"/>
  <c r="F118" i="22"/>
  <c r="F54" i="22"/>
  <c r="F60" i="22"/>
  <c r="E48" i="17"/>
  <c r="F57" i="22"/>
  <c r="E78" i="18"/>
  <c r="F61" i="22"/>
  <c r="N60" i="22"/>
  <c r="M48" i="17"/>
  <c r="O35" i="20"/>
  <c r="E47" i="18"/>
  <c r="M121" i="22"/>
  <c r="P78" i="18"/>
  <c r="G27" i="26"/>
  <c r="Q27" i="26"/>
  <c r="E37" i="22"/>
  <c r="M53" i="22"/>
  <c r="E58" i="22"/>
  <c r="F42" i="22"/>
  <c r="E39" i="22"/>
  <c r="N53" i="22"/>
  <c r="O56" i="20"/>
  <c r="E106" i="18"/>
  <c r="F106" i="18"/>
  <c r="F107" i="18"/>
  <c r="O124" i="18"/>
  <c r="O86" i="20"/>
  <c r="F60" i="18"/>
  <c r="N101" i="22"/>
  <c r="M109" i="22"/>
  <c r="M107" i="22"/>
  <c r="N118" i="22"/>
  <c r="E85" i="22"/>
  <c r="N122" i="22"/>
  <c r="O70" i="18"/>
  <c r="O105" i="18"/>
  <c r="F4" i="29"/>
  <c r="F28" i="27"/>
  <c r="E28" i="27"/>
  <c r="D28" i="27"/>
  <c r="F35" i="27"/>
  <c r="E112" i="20"/>
  <c r="E106" i="17"/>
  <c r="E81" i="17"/>
  <c r="E32" i="17"/>
  <c r="E100" i="17"/>
  <c r="E60" i="17"/>
  <c r="M81" i="17"/>
  <c r="E67" i="17"/>
  <c r="M67" i="17"/>
  <c r="E74" i="17"/>
  <c r="M53" i="17"/>
  <c r="E53" i="17"/>
  <c r="M39" i="17"/>
  <c r="H25" i="17"/>
  <c r="M46" i="17"/>
  <c r="E39" i="17"/>
  <c r="AA36" i="30"/>
  <c r="Q28" i="26"/>
  <c r="P44" i="18"/>
  <c r="E39" i="18"/>
  <c r="E46" i="18"/>
  <c r="F44" i="18"/>
  <c r="P46" i="18"/>
  <c r="O40" i="18"/>
  <c r="F39" i="18"/>
  <c r="O41" i="18"/>
  <c r="E41" i="18"/>
  <c r="F42" i="18"/>
  <c r="E40" i="18"/>
  <c r="P41" i="18"/>
  <c r="P45" i="18"/>
  <c r="O50" i="20"/>
  <c r="O45" i="18"/>
  <c r="O43" i="20"/>
  <c r="E42" i="18"/>
  <c r="P47" i="18"/>
  <c r="P43" i="18"/>
  <c r="E43" i="18"/>
  <c r="M60" i="22"/>
  <c r="M41" i="17"/>
  <c r="F62" i="22"/>
  <c r="F119" i="22"/>
  <c r="O30" i="20"/>
  <c r="F103" i="18"/>
  <c r="O110" i="18"/>
  <c r="N74" i="22"/>
  <c r="F71" i="22"/>
  <c r="E70" i="22"/>
  <c r="N110" i="22"/>
  <c r="F107" i="22"/>
  <c r="N72" i="22"/>
  <c r="M69" i="22"/>
  <c r="N42" i="22"/>
  <c r="F78" i="22"/>
  <c r="N108" i="22"/>
  <c r="M89" i="17"/>
  <c r="F105" i="22"/>
  <c r="E104" i="22"/>
  <c r="N69" i="22"/>
  <c r="F76" i="22"/>
  <c r="E68" i="17"/>
  <c r="E46" i="22"/>
  <c r="N38" i="22"/>
  <c r="F41" i="22"/>
  <c r="M41" i="22"/>
  <c r="F38" i="22"/>
  <c r="N107" i="22"/>
  <c r="F104" i="22"/>
  <c r="E101" i="22"/>
  <c r="N78" i="22"/>
  <c r="F75" i="22"/>
  <c r="N105" i="22"/>
  <c r="F44" i="22"/>
  <c r="E47" i="17"/>
  <c r="M44" i="22"/>
  <c r="M40" i="17"/>
  <c r="E40" i="22"/>
  <c r="M106" i="22"/>
  <c r="E102" i="22"/>
  <c r="N77" i="22"/>
  <c r="M76" i="22"/>
  <c r="M61" i="17"/>
  <c r="E75" i="22"/>
  <c r="M104" i="22"/>
  <c r="E42" i="22"/>
  <c r="E41" i="22"/>
  <c r="F46" i="22"/>
  <c r="N44" i="22"/>
  <c r="M47" i="17"/>
  <c r="E38" i="22"/>
  <c r="F110" i="22"/>
  <c r="N75" i="22"/>
  <c r="F72" i="22"/>
  <c r="E69" i="22"/>
  <c r="M102" i="22"/>
  <c r="F108" i="22"/>
  <c r="E89" i="17"/>
  <c r="N73" i="22"/>
  <c r="N46" i="22"/>
  <c r="M43" i="22"/>
  <c r="E43" i="22"/>
  <c r="N41" i="22"/>
  <c r="F111" i="18"/>
  <c r="N45" i="22"/>
  <c r="E57" i="22"/>
  <c r="M37" i="22"/>
  <c r="N39" i="22"/>
  <c r="F56" i="22"/>
  <c r="E77" i="20"/>
  <c r="F40" i="18"/>
  <c r="E103" i="18"/>
  <c r="O38" i="18"/>
  <c r="F59" i="22"/>
  <c r="F55" i="22"/>
  <c r="E62" i="22"/>
  <c r="E55" i="22"/>
  <c r="F105" i="18"/>
  <c r="N70" i="22"/>
  <c r="E108" i="22"/>
  <c r="E82" i="17"/>
  <c r="E121" i="22"/>
  <c r="M116" i="22"/>
  <c r="F77" i="18"/>
  <c r="E71" i="20"/>
  <c r="M60" i="17"/>
  <c r="E56" i="22"/>
  <c r="E102" i="18"/>
  <c r="P108" i="18"/>
  <c r="E106" i="22"/>
  <c r="F106" i="22"/>
  <c r="E110" i="22"/>
  <c r="F102" i="22"/>
  <c r="M125" i="22"/>
  <c r="N124" i="22"/>
  <c r="N120" i="22"/>
  <c r="E79" i="18"/>
  <c r="M74" i="17"/>
  <c r="F37" i="22"/>
  <c r="E44" i="22"/>
  <c r="E40" i="17"/>
  <c r="N43" i="22"/>
  <c r="M58" i="22"/>
  <c r="F40" i="22"/>
  <c r="M62" i="22"/>
  <c r="O63" i="20"/>
  <c r="O44" i="18"/>
  <c r="F102" i="18"/>
  <c r="O106" i="18"/>
  <c r="P124" i="18"/>
  <c r="O93" i="20"/>
  <c r="O125" i="18"/>
  <c r="E117" i="18"/>
  <c r="O54" i="18"/>
  <c r="O60" i="18"/>
  <c r="E118" i="18"/>
  <c r="E125" i="18"/>
  <c r="O58" i="18"/>
  <c r="F59" i="18"/>
  <c r="E60" i="18"/>
  <c r="E61" i="18"/>
  <c r="E44" i="20"/>
  <c r="E63" i="18"/>
  <c r="E55" i="18"/>
  <c r="F124" i="18"/>
  <c r="E93" i="20"/>
  <c r="O56" i="18"/>
  <c r="E59" i="18"/>
  <c r="O61" i="18"/>
  <c r="O44" i="20"/>
  <c r="F56" i="18"/>
  <c r="P123" i="18"/>
  <c r="O63" i="18"/>
  <c r="F55" i="18"/>
  <c r="F63" i="18"/>
  <c r="P125" i="18"/>
  <c r="F122" i="18"/>
  <c r="E58" i="18"/>
  <c r="M103" i="22"/>
  <c r="N102" i="22"/>
  <c r="E71" i="22"/>
  <c r="N106" i="22"/>
  <c r="F91" i="22"/>
  <c r="E88" i="22"/>
  <c r="F87" i="22"/>
  <c r="F46" i="18"/>
  <c r="P75" i="18"/>
  <c r="F70" i="18"/>
  <c r="E94" i="17"/>
  <c r="Y45" i="18"/>
  <c r="Z52" i="18"/>
  <c r="AG56" i="18"/>
  <c r="M124" i="18"/>
  <c r="N86" i="20"/>
  <c r="Q20" i="23"/>
  <c r="C91" i="22"/>
  <c r="L120" i="22"/>
  <c r="C88" i="22"/>
  <c r="K91" i="22"/>
  <c r="C120" i="22"/>
  <c r="C70" i="22"/>
  <c r="C69" i="22"/>
  <c r="L103" i="22"/>
  <c r="L74" i="22"/>
  <c r="D104" i="22"/>
  <c r="D110" i="22"/>
  <c r="D92" i="22"/>
  <c r="D69" i="17"/>
  <c r="K121" i="22"/>
  <c r="D89" i="22"/>
  <c r="L92" i="22"/>
  <c r="L69" i="17"/>
  <c r="D121" i="22"/>
  <c r="L85" i="22"/>
  <c r="C89" i="22"/>
  <c r="K92" i="22"/>
  <c r="L62" i="17"/>
  <c r="L117" i="22"/>
  <c r="C93" i="22"/>
  <c r="L78" i="22"/>
  <c r="C106" i="22"/>
  <c r="L75" i="22"/>
  <c r="C102" i="22"/>
  <c r="L108" i="22"/>
  <c r="L89" i="17"/>
  <c r="K105" i="22"/>
  <c r="C57" i="22"/>
  <c r="K57" i="22"/>
  <c r="D57" i="18"/>
  <c r="L57" i="22"/>
  <c r="L55" i="22"/>
  <c r="D54" i="18"/>
  <c r="D57" i="22"/>
  <c r="C59" i="22"/>
  <c r="C54" i="22"/>
  <c r="L60" i="22"/>
  <c r="L48" i="17"/>
  <c r="K54" i="22"/>
  <c r="L58" i="22"/>
  <c r="N122" i="18"/>
  <c r="D33" i="29"/>
  <c r="D107" i="17"/>
  <c r="S20" i="30"/>
  <c r="D60" i="22"/>
  <c r="D48" i="17"/>
  <c r="K61" i="22"/>
  <c r="K56" i="22"/>
  <c r="L53" i="22"/>
  <c r="M54" i="18"/>
  <c r="M126" i="18"/>
  <c r="M43" i="18"/>
  <c r="N47" i="18"/>
  <c r="M107" i="18"/>
  <c r="N123" i="18"/>
  <c r="M78" i="18"/>
  <c r="M73" i="18"/>
  <c r="D121" i="18"/>
  <c r="M71" i="18"/>
  <c r="C43" i="18"/>
  <c r="C42" i="18"/>
  <c r="D41" i="18"/>
  <c r="K20" i="30"/>
  <c r="L20" i="30"/>
  <c r="D35" i="27"/>
  <c r="D112" i="20"/>
  <c r="K87" i="22"/>
  <c r="D90" i="22"/>
  <c r="L93" i="22"/>
  <c r="K118" i="22"/>
  <c r="D94" i="22"/>
  <c r="L70" i="22"/>
  <c r="D108" i="22"/>
  <c r="D89" i="17"/>
  <c r="C77" i="22"/>
  <c r="C103" i="22"/>
  <c r="L72" i="22"/>
  <c r="L106" i="22"/>
  <c r="L87" i="22"/>
  <c r="K93" i="22"/>
  <c r="L116" i="22"/>
  <c r="C121" i="22"/>
  <c r="D86" i="22"/>
  <c r="C72" i="22"/>
  <c r="L101" i="22"/>
  <c r="D69" i="22"/>
  <c r="D105" i="22"/>
  <c r="C74" i="22"/>
  <c r="C58" i="18"/>
  <c r="M6" i="26"/>
  <c r="M61" i="18"/>
  <c r="N44" i="20"/>
  <c r="C125" i="18"/>
  <c r="AG55" i="18"/>
  <c r="D59" i="22"/>
  <c r="C61" i="22"/>
  <c r="D62" i="22"/>
  <c r="L6" i="19"/>
  <c r="C120" i="18"/>
  <c r="I20" i="30"/>
  <c r="C56" i="22"/>
  <c r="L59" i="22"/>
  <c r="C62" i="22"/>
  <c r="D59" i="18"/>
  <c r="M56" i="18"/>
  <c r="C56" i="18"/>
  <c r="C63" i="18"/>
  <c r="M122" i="18"/>
  <c r="D120" i="18"/>
  <c r="D35" i="29"/>
  <c r="D109" i="17"/>
  <c r="R20" i="30"/>
  <c r="Q20" i="30"/>
  <c r="Y40" i="18"/>
  <c r="E8" i="22"/>
  <c r="G8" i="22"/>
  <c r="D54" i="22"/>
  <c r="L62" i="22"/>
  <c r="M121" i="18"/>
  <c r="N118" i="18"/>
  <c r="M60" i="18"/>
  <c r="N39" i="18"/>
  <c r="D76" i="18"/>
  <c r="C72" i="18"/>
  <c r="C79" i="18"/>
  <c r="D110" i="18"/>
  <c r="C106" i="18"/>
  <c r="C44" i="18"/>
  <c r="C46" i="18"/>
  <c r="H41" i="19"/>
  <c r="H19" i="19"/>
  <c r="J20" i="30"/>
  <c r="M20" i="30"/>
  <c r="L121" i="22"/>
  <c r="L94" i="22"/>
  <c r="L118" i="22"/>
  <c r="D122" i="22"/>
  <c r="K89" i="22"/>
  <c r="K59" i="22"/>
  <c r="C55" i="22"/>
  <c r="N126" i="18"/>
  <c r="D118" i="18"/>
  <c r="O6" i="30"/>
  <c r="O10" i="30"/>
  <c r="C58" i="22"/>
  <c r="K62" i="22"/>
  <c r="N109" i="18"/>
  <c r="N92" i="20"/>
  <c r="N106" i="18"/>
  <c r="M74" i="18"/>
  <c r="C111" i="18"/>
  <c r="C74" i="18"/>
  <c r="P20" i="30"/>
  <c r="I6" i="23"/>
  <c r="I10" i="23"/>
  <c r="G54" i="19"/>
  <c r="K122" i="22"/>
  <c r="L90" i="22"/>
  <c r="K119" i="22"/>
  <c r="C94" i="22"/>
  <c r="L89" i="22"/>
  <c r="D109" i="22"/>
  <c r="L104" i="22"/>
  <c r="D106" i="22"/>
  <c r="K69" i="22"/>
  <c r="D101" i="22"/>
  <c r="C35" i="29"/>
  <c r="D103" i="17"/>
  <c r="R20" i="23"/>
  <c r="D91" i="22"/>
  <c r="L119" i="22"/>
  <c r="D123" i="22"/>
  <c r="D90" i="17"/>
  <c r="D87" i="22"/>
  <c r="D93" i="22"/>
  <c r="K38" i="22"/>
  <c r="K53" i="22"/>
  <c r="D43" i="22"/>
  <c r="C46" i="22"/>
  <c r="K37" i="22"/>
  <c r="D61" i="18"/>
  <c r="D51" i="20"/>
  <c r="N125" i="18"/>
  <c r="N43" i="18"/>
  <c r="N56" i="18"/>
  <c r="N120" i="18"/>
  <c r="J41" i="19"/>
  <c r="J19" i="19"/>
  <c r="D107" i="18"/>
  <c r="D88" i="18"/>
  <c r="M93" i="18"/>
  <c r="N65" i="20"/>
  <c r="N95" i="18"/>
  <c r="C78" i="18"/>
  <c r="M79" i="18"/>
  <c r="C86" i="18"/>
  <c r="C91" i="18"/>
  <c r="D39" i="18"/>
  <c r="D76" i="22"/>
  <c r="D68" i="17"/>
  <c r="Q21" i="23"/>
  <c r="E11" i="27"/>
  <c r="G11" i="27"/>
  <c r="N6" i="26"/>
  <c r="D30" i="20"/>
  <c r="O6" i="23"/>
  <c r="O10" i="23"/>
  <c r="Z34" i="29"/>
  <c r="L122" i="22"/>
  <c r="K94" i="22"/>
  <c r="K120" i="22"/>
  <c r="D85" i="22"/>
  <c r="K90" i="22"/>
  <c r="K85" i="22"/>
  <c r="L105" i="22"/>
  <c r="D107" i="22"/>
  <c r="L102" i="22"/>
  <c r="C75" i="22"/>
  <c r="L107" i="22"/>
  <c r="C118" i="22"/>
  <c r="K86" i="22"/>
  <c r="C123" i="22"/>
  <c r="D83" i="17"/>
  <c r="C87" i="22"/>
  <c r="L91" i="22"/>
  <c r="K75" i="22"/>
  <c r="K110" i="22"/>
  <c r="K74" i="22"/>
  <c r="C110" i="22"/>
  <c r="K77" i="22"/>
  <c r="S20" i="23"/>
  <c r="Y39" i="18"/>
  <c r="AG44" i="18"/>
  <c r="T42" i="19"/>
  <c r="K54" i="19"/>
  <c r="F28" i="19"/>
  <c r="N42" i="19"/>
  <c r="J42" i="19"/>
  <c r="N6" i="19"/>
  <c r="C52" i="18"/>
  <c r="C115" i="18"/>
  <c r="C84" i="18"/>
  <c r="M84" i="18"/>
  <c r="M52" i="18"/>
  <c r="Z39" i="18"/>
  <c r="N41" i="19"/>
  <c r="N19" i="19"/>
  <c r="R41" i="19"/>
  <c r="R19" i="19"/>
  <c r="K41" i="19"/>
  <c r="K19" i="19"/>
  <c r="L41" i="19"/>
  <c r="L19" i="19"/>
  <c r="P41" i="19"/>
  <c r="P19" i="19"/>
  <c r="M41" i="19"/>
  <c r="M19" i="19"/>
  <c r="O41" i="19"/>
  <c r="O19" i="19"/>
  <c r="C34" i="27"/>
  <c r="C33" i="27"/>
  <c r="D104" i="20"/>
  <c r="C35" i="27"/>
  <c r="D106" i="20"/>
  <c r="E10" i="27"/>
  <c r="G10" i="27"/>
  <c r="Q46" i="19"/>
  <c r="H6" i="23"/>
  <c r="H10" i="23"/>
  <c r="I42" i="19"/>
  <c r="K46" i="19"/>
  <c r="H45" i="19"/>
  <c r="H20" i="19"/>
  <c r="I14" i="29"/>
  <c r="K51" i="22"/>
  <c r="C27" i="22"/>
  <c r="K35" i="22"/>
  <c r="C35" i="22"/>
  <c r="N20" i="23"/>
  <c r="F6" i="23"/>
  <c r="F10" i="23"/>
  <c r="G6" i="19"/>
  <c r="N46" i="19"/>
  <c r="E9" i="27"/>
  <c r="G9" i="27"/>
  <c r="S38" i="26"/>
  <c r="S6" i="26"/>
  <c r="R6" i="30"/>
  <c r="R10" i="30"/>
  <c r="G56" i="26"/>
  <c r="J38" i="26"/>
  <c r="J6" i="26"/>
  <c r="H20" i="23"/>
  <c r="L20" i="23"/>
  <c r="I20" i="23"/>
  <c r="M20" i="23"/>
  <c r="J20" i="23"/>
  <c r="P6" i="23"/>
  <c r="P10" i="23"/>
  <c r="Q6" i="19"/>
  <c r="O56" i="26"/>
  <c r="P46" i="19"/>
  <c r="I46" i="19"/>
  <c r="J46" i="19"/>
  <c r="G20" i="23"/>
  <c r="O30" i="30"/>
  <c r="Q30" i="30"/>
  <c r="R30" i="30"/>
  <c r="K45" i="19"/>
  <c r="K20" i="19"/>
  <c r="J45" i="19"/>
  <c r="J20" i="19"/>
  <c r="T45" i="19"/>
  <c r="N45" i="19"/>
  <c r="N20" i="19"/>
  <c r="P20" i="23"/>
  <c r="R42" i="19"/>
  <c r="O20" i="23"/>
  <c r="R46" i="19"/>
  <c r="AE45" i="23"/>
  <c r="L26" i="17"/>
  <c r="C38" i="18"/>
  <c r="C34" i="29"/>
  <c r="C78" i="22"/>
  <c r="L71" i="22"/>
  <c r="N107" i="18"/>
  <c r="N46" i="18"/>
  <c r="D62" i="18"/>
  <c r="N40" i="18"/>
  <c r="M57" i="18"/>
  <c r="N54" i="18"/>
  <c r="D60" i="18"/>
  <c r="M125" i="18"/>
  <c r="E7" i="27"/>
  <c r="G7" i="27"/>
  <c r="O46" i="19"/>
  <c r="D75" i="18"/>
  <c r="C109" i="18"/>
  <c r="D85" i="20"/>
  <c r="D92" i="18"/>
  <c r="M91" i="18"/>
  <c r="C92" i="18"/>
  <c r="D87" i="18"/>
  <c r="C71" i="18"/>
  <c r="C117" i="18"/>
  <c r="C90" i="18"/>
  <c r="C39" i="18"/>
  <c r="T46" i="19"/>
  <c r="AB45" i="23"/>
  <c r="D26" i="17"/>
  <c r="K78" i="22"/>
  <c r="C73" i="22"/>
  <c r="Y52" i="18"/>
  <c r="Z54" i="18"/>
  <c r="L109" i="22"/>
  <c r="K70" i="22"/>
  <c r="M47" i="18"/>
  <c r="N62" i="18"/>
  <c r="N55" i="18"/>
  <c r="M109" i="18"/>
  <c r="N85" i="20"/>
  <c r="D58" i="18"/>
  <c r="N119" i="18"/>
  <c r="C62" i="18"/>
  <c r="D122" i="18"/>
  <c r="D104" i="18"/>
  <c r="C104" i="18"/>
  <c r="M89" i="18"/>
  <c r="D106" i="18"/>
  <c r="C118" i="18"/>
  <c r="D33" i="27"/>
  <c r="D120" i="22"/>
  <c r="Z40" i="18"/>
  <c r="AG40" i="18"/>
  <c r="AG41" i="18"/>
  <c r="O32" i="17"/>
  <c r="L46" i="19"/>
  <c r="K56" i="26"/>
  <c r="O88" i="17"/>
  <c r="O54" i="19"/>
  <c r="P28" i="19"/>
  <c r="O54" i="26"/>
  <c r="AB19" i="26"/>
  <c r="AC19" i="26"/>
  <c r="O41" i="26"/>
  <c r="O19" i="26"/>
  <c r="P42" i="19"/>
  <c r="M42" i="19"/>
  <c r="K42" i="19"/>
  <c r="D124" i="18"/>
  <c r="D93" i="20"/>
  <c r="D119" i="18"/>
  <c r="N121" i="18"/>
  <c r="C55" i="18"/>
  <c r="D55" i="18"/>
  <c r="M63" i="18"/>
  <c r="D117" i="18"/>
  <c r="D123" i="18"/>
  <c r="M62" i="18"/>
  <c r="C60" i="18"/>
  <c r="C59" i="18"/>
  <c r="M59" i="18"/>
  <c r="C61" i="18"/>
  <c r="D44" i="20"/>
  <c r="M118" i="18"/>
  <c r="C54" i="18"/>
  <c r="C122" i="18"/>
  <c r="D126" i="18"/>
  <c r="C57" i="18"/>
  <c r="M55" i="18"/>
  <c r="D63" i="18"/>
  <c r="R41" i="26"/>
  <c r="R19" i="26"/>
  <c r="Z51" i="18"/>
  <c r="AE46" i="23"/>
  <c r="L28" i="17"/>
  <c r="J6" i="23"/>
  <c r="J10" i="23"/>
  <c r="K6" i="19"/>
  <c r="E30" i="30"/>
  <c r="O45" i="19"/>
  <c r="O20" i="19"/>
  <c r="R45" i="19"/>
  <c r="R20" i="19"/>
  <c r="Q45" i="19"/>
  <c r="Q20" i="19"/>
  <c r="I45" i="19"/>
  <c r="I20" i="19"/>
  <c r="L42" i="19"/>
  <c r="C126" i="18"/>
  <c r="H41" i="26"/>
  <c r="H19" i="26"/>
  <c r="O42" i="19"/>
  <c r="D125" i="18"/>
  <c r="C124" i="18"/>
  <c r="D86" i="20"/>
  <c r="Q42" i="19"/>
  <c r="L6" i="30"/>
  <c r="L10" i="30"/>
  <c r="M100" i="18"/>
  <c r="M68" i="18"/>
  <c r="C36" i="18"/>
  <c r="C68" i="18"/>
  <c r="P41" i="26"/>
  <c r="P19" i="26"/>
  <c r="T41" i="26"/>
  <c r="D70" i="20"/>
  <c r="H28" i="20"/>
  <c r="N70" i="20"/>
  <c r="N42" i="20"/>
  <c r="Y51" i="18"/>
  <c r="D46" i="18"/>
  <c r="C107" i="18"/>
  <c r="N78" i="18"/>
  <c r="D78" i="18"/>
  <c r="N77" i="18"/>
  <c r="N71" i="20"/>
  <c r="D71" i="18"/>
  <c r="N70" i="18"/>
  <c r="D79" i="18"/>
  <c r="M40" i="18"/>
  <c r="N108" i="18"/>
  <c r="M46" i="18"/>
  <c r="M102" i="18"/>
  <c r="D42" i="18"/>
  <c r="D45" i="18"/>
  <c r="D50" i="20"/>
  <c r="N73" i="18"/>
  <c r="C76" i="18"/>
  <c r="D72" i="18"/>
  <c r="N42" i="18"/>
  <c r="N103" i="18"/>
  <c r="M41" i="18"/>
  <c r="C124" i="22"/>
  <c r="D124" i="22"/>
  <c r="L123" i="22"/>
  <c r="L90" i="17"/>
  <c r="D125" i="22"/>
  <c r="K124" i="22"/>
  <c r="C125" i="22"/>
  <c r="D117" i="22"/>
  <c r="C116" i="22"/>
  <c r="K123" i="22"/>
  <c r="L83" i="17"/>
  <c r="C117" i="22"/>
  <c r="K125" i="22"/>
  <c r="C119" i="22"/>
  <c r="D116" i="22"/>
  <c r="D118" i="22"/>
  <c r="L125" i="22"/>
  <c r="K117" i="22"/>
  <c r="F42" i="37"/>
  <c r="F52" i="37"/>
  <c r="F38" i="37"/>
  <c r="F43" i="37"/>
  <c r="AM33" i="37"/>
  <c r="P46" i="37"/>
  <c r="H41" i="37"/>
  <c r="H19" i="37"/>
  <c r="R42" i="37"/>
  <c r="F46" i="37"/>
  <c r="F56" i="37"/>
  <c r="J56" i="37"/>
  <c r="Q42" i="37"/>
  <c r="N56" i="37"/>
  <c r="J52" i="37"/>
  <c r="N52" i="37"/>
  <c r="F44" i="37"/>
  <c r="M46" i="37"/>
  <c r="F45" i="37"/>
  <c r="O42" i="37"/>
  <c r="Q41" i="37"/>
  <c r="Q19" i="37"/>
  <c r="L46" i="37"/>
  <c r="N42" i="37"/>
  <c r="P41" i="37"/>
  <c r="P19" i="37"/>
  <c r="R41" i="37"/>
  <c r="R19" i="37"/>
  <c r="F51" i="37"/>
  <c r="K46" i="37"/>
  <c r="M42" i="37"/>
  <c r="O41" i="37"/>
  <c r="O19" i="37"/>
  <c r="AN33" i="37"/>
  <c r="J46" i="37"/>
  <c r="L42" i="37"/>
  <c r="N41" i="37"/>
  <c r="N19" i="37"/>
  <c r="N46" i="37"/>
  <c r="P42" i="37"/>
  <c r="I46" i="37"/>
  <c r="K42" i="37"/>
  <c r="M41" i="37"/>
  <c r="M19" i="37"/>
  <c r="O54" i="37"/>
  <c r="T46" i="37"/>
  <c r="H46" i="37"/>
  <c r="J42" i="37"/>
  <c r="L41" i="37"/>
  <c r="L19" i="37"/>
  <c r="K41" i="37"/>
  <c r="K19" i="37"/>
  <c r="R46" i="37"/>
  <c r="T42" i="37"/>
  <c r="H42" i="37"/>
  <c r="J41" i="37"/>
  <c r="J19" i="37"/>
  <c r="I41" i="37"/>
  <c r="I19" i="37"/>
  <c r="T41" i="37"/>
  <c r="H41" i="36"/>
  <c r="H19" i="36"/>
  <c r="N46" i="36"/>
  <c r="P42" i="36"/>
  <c r="R41" i="36"/>
  <c r="R19" i="36"/>
  <c r="F45" i="36"/>
  <c r="Q41" i="36"/>
  <c r="Q19" i="36"/>
  <c r="T41" i="36"/>
  <c r="K54" i="36"/>
  <c r="L46" i="36"/>
  <c r="N42" i="36"/>
  <c r="P41" i="36"/>
  <c r="P19" i="36"/>
  <c r="F51" i="36"/>
  <c r="K46" i="36"/>
  <c r="M42" i="36"/>
  <c r="O41" i="36"/>
  <c r="O19" i="36"/>
  <c r="N41" i="36"/>
  <c r="N19" i="36"/>
  <c r="I46" i="36"/>
  <c r="M41" i="36"/>
  <c r="M19" i="36"/>
  <c r="N45" i="36"/>
  <c r="N20" i="36"/>
  <c r="L41" i="36"/>
  <c r="L19" i="36"/>
  <c r="K41" i="36"/>
  <c r="K19" i="36"/>
  <c r="F42" i="36"/>
  <c r="F37" i="36"/>
  <c r="L34" i="17"/>
  <c r="I71" i="5"/>
  <c r="J71" i="5"/>
  <c r="T15" i="5"/>
  <c r="T105" i="5"/>
  <c r="T35" i="36"/>
  <c r="T37" i="36"/>
  <c r="T38" i="36"/>
  <c r="I72" i="5"/>
  <c r="J72" i="5"/>
  <c r="I20" i="5"/>
  <c r="J20" i="5"/>
  <c r="Y41" i="18"/>
  <c r="G55" i="37"/>
  <c r="G55" i="36"/>
  <c r="Y54" i="18"/>
  <c r="Y53" i="18"/>
  <c r="P9" i="22"/>
  <c r="G55" i="26"/>
  <c r="D47" i="22"/>
  <c r="D42" i="17"/>
  <c r="AG57" i="18"/>
  <c r="AG46" i="18"/>
  <c r="AB16" i="19"/>
  <c r="Y16" i="30"/>
  <c r="Y42" i="18"/>
  <c r="AF47" i="18"/>
  <c r="P28" i="26"/>
  <c r="AB19" i="19"/>
  <c r="AC19" i="19"/>
  <c r="T35" i="19"/>
  <c r="H37" i="19"/>
  <c r="H38" i="19"/>
  <c r="E58" i="20"/>
  <c r="R30" i="23"/>
  <c r="N28" i="17"/>
  <c r="P28" i="17"/>
  <c r="D75" i="17"/>
  <c r="D49" i="17"/>
  <c r="D33" i="17"/>
  <c r="L54" i="17"/>
  <c r="F111" i="22"/>
  <c r="F30" i="23"/>
  <c r="P64" i="18"/>
  <c r="I23" i="5"/>
  <c r="J23" i="5"/>
  <c r="V11" i="5"/>
  <c r="C12" i="26"/>
  <c r="N11" i="26"/>
  <c r="N10" i="26"/>
  <c r="N23" i="26"/>
  <c r="I60" i="5"/>
  <c r="J60" i="5"/>
  <c r="V16" i="5"/>
  <c r="T44" i="36"/>
  <c r="T19" i="36"/>
  <c r="F28" i="36"/>
  <c r="AB19" i="37"/>
  <c r="P28" i="37"/>
  <c r="H45" i="36"/>
  <c r="H20" i="36"/>
  <c r="D84" i="17"/>
  <c r="L45" i="36"/>
  <c r="L20" i="36"/>
  <c r="M45" i="36"/>
  <c r="M20" i="36"/>
  <c r="U18" i="5"/>
  <c r="U108" i="5"/>
  <c r="N100" i="5"/>
  <c r="L33" i="17"/>
  <c r="R45" i="36"/>
  <c r="R20" i="36"/>
  <c r="P45" i="36"/>
  <c r="P20" i="36"/>
  <c r="L75" i="17"/>
  <c r="J94" i="2"/>
  <c r="J158" i="2"/>
  <c r="J160" i="2"/>
  <c r="T21" i="23"/>
  <c r="U21" i="23"/>
  <c r="T45" i="36"/>
  <c r="G81" i="17"/>
  <c r="M49" i="17"/>
  <c r="O45" i="36"/>
  <c r="O20" i="36"/>
  <c r="L42" i="17"/>
  <c r="L70" i="17"/>
  <c r="C47" i="22"/>
  <c r="D78" i="20"/>
  <c r="P45" i="26"/>
  <c r="P20" i="26"/>
  <c r="D57" i="20"/>
  <c r="N36" i="20"/>
  <c r="S112" i="5"/>
  <c r="D16" i="26"/>
  <c r="R14" i="26"/>
  <c r="R13" i="26"/>
  <c r="C16" i="36"/>
  <c r="R11" i="36"/>
  <c r="S109" i="5"/>
  <c r="Q45" i="36"/>
  <c r="Q20" i="36"/>
  <c r="I45" i="37"/>
  <c r="I20" i="37"/>
  <c r="K45" i="37"/>
  <c r="K20" i="37"/>
  <c r="S106" i="5"/>
  <c r="T11" i="5"/>
  <c r="C16" i="19"/>
  <c r="T23" i="5"/>
  <c r="C16" i="26"/>
  <c r="R11" i="26"/>
  <c r="R10" i="26"/>
  <c r="R23" i="26"/>
  <c r="J12" i="5"/>
  <c r="N79" i="20"/>
  <c r="Q45" i="37"/>
  <c r="Q20" i="37"/>
  <c r="O81" i="17"/>
  <c r="O45" i="26"/>
  <c r="O20" i="26"/>
  <c r="S107" i="5"/>
  <c r="O74" i="17"/>
  <c r="K45" i="26"/>
  <c r="K20" i="26"/>
  <c r="R45" i="26"/>
  <c r="R20" i="26"/>
  <c r="J45" i="26"/>
  <c r="J20" i="26"/>
  <c r="T45" i="26"/>
  <c r="L45" i="26"/>
  <c r="L20" i="26"/>
  <c r="N45" i="26"/>
  <c r="N20" i="26"/>
  <c r="O53" i="17"/>
  <c r="L47" i="22"/>
  <c r="I45" i="26"/>
  <c r="I20" i="26"/>
  <c r="H45" i="26"/>
  <c r="H20" i="26"/>
  <c r="M45" i="26"/>
  <c r="M20" i="26"/>
  <c r="V9" i="5"/>
  <c r="C12" i="19"/>
  <c r="C3" i="20"/>
  <c r="S113" i="5"/>
  <c r="S101" i="5"/>
  <c r="I28" i="5"/>
  <c r="T17" i="5"/>
  <c r="T107" i="5"/>
  <c r="U99" i="5"/>
  <c r="D12" i="26"/>
  <c r="N14" i="26"/>
  <c r="N13" i="26"/>
  <c r="O100" i="5"/>
  <c r="V99" i="5"/>
  <c r="T19" i="5"/>
  <c r="T109" i="5"/>
  <c r="I92" i="5"/>
  <c r="AF33" i="37"/>
  <c r="T35" i="26"/>
  <c r="T37" i="26"/>
  <c r="T35" i="37"/>
  <c r="T37" i="37"/>
  <c r="O39" i="17"/>
  <c r="T24" i="23"/>
  <c r="G39" i="17"/>
  <c r="P45" i="37"/>
  <c r="P20" i="37"/>
  <c r="G88" i="17"/>
  <c r="G100" i="17"/>
  <c r="G106" i="17"/>
  <c r="O46" i="17"/>
  <c r="G74" i="17"/>
  <c r="I14" i="27"/>
  <c r="G53" i="17"/>
  <c r="L63" i="22"/>
  <c r="L45" i="37"/>
  <c r="L20" i="37"/>
  <c r="G60" i="17"/>
  <c r="M45" i="37"/>
  <c r="M20" i="37"/>
  <c r="O45" i="37"/>
  <c r="O20" i="37"/>
  <c r="R45" i="37"/>
  <c r="R20" i="37"/>
  <c r="G94" i="17"/>
  <c r="O67" i="17"/>
  <c r="G67" i="17"/>
  <c r="K47" i="22"/>
  <c r="H45" i="37"/>
  <c r="H20" i="37"/>
  <c r="N45" i="37"/>
  <c r="N20" i="37"/>
  <c r="G46" i="17"/>
  <c r="D100" i="20"/>
  <c r="O60" i="17"/>
  <c r="G32" i="17"/>
  <c r="N96" i="18"/>
  <c r="G14" i="27"/>
  <c r="G15" i="27"/>
  <c r="D63" i="17"/>
  <c r="D55" i="17"/>
  <c r="D54" i="17"/>
  <c r="O58" i="20"/>
  <c r="G57" i="36"/>
  <c r="G57" i="37"/>
  <c r="M91" i="17"/>
  <c r="K57" i="36"/>
  <c r="K57" i="37"/>
  <c r="E84" i="17"/>
  <c r="E76" i="17"/>
  <c r="O57" i="26"/>
  <c r="O57" i="37"/>
  <c r="O57" i="36"/>
  <c r="M84" i="17"/>
  <c r="E79" i="20"/>
  <c r="E63" i="17"/>
  <c r="E33" i="27"/>
  <c r="P96" i="18"/>
  <c r="F96" i="18"/>
  <c r="O96" i="18"/>
  <c r="L63" i="17"/>
  <c r="P48" i="18"/>
  <c r="N58" i="20"/>
  <c r="D58" i="20"/>
  <c r="O37" i="20"/>
  <c r="N52" i="20"/>
  <c r="Z53" i="18"/>
  <c r="P9" i="18"/>
  <c r="R9" i="18"/>
  <c r="AG58" i="18"/>
  <c r="Z41" i="18"/>
  <c r="E33" i="17"/>
  <c r="D95" i="17"/>
  <c r="N48" i="18"/>
  <c r="C111" i="22"/>
  <c r="M42" i="17"/>
  <c r="M96" i="18"/>
  <c r="D96" i="18"/>
  <c r="D112" i="18"/>
  <c r="L111" i="22"/>
  <c r="W24" i="30"/>
  <c r="E70" i="17"/>
  <c r="E48" i="18"/>
  <c r="M34" i="17"/>
  <c r="M95" i="22"/>
  <c r="I10" i="5"/>
  <c r="I137" i="5"/>
  <c r="M110" i="5"/>
  <c r="T12" i="5"/>
  <c r="O64" i="18"/>
  <c r="S103" i="5"/>
  <c r="T14" i="5"/>
  <c r="T104" i="5"/>
  <c r="I22" i="5"/>
  <c r="U23" i="5"/>
  <c r="J11" i="5"/>
  <c r="V23" i="5"/>
  <c r="AG47" i="18"/>
  <c r="E127" i="18"/>
  <c r="E95" i="22"/>
  <c r="H21" i="5"/>
  <c r="M116" i="5"/>
  <c r="S21" i="5"/>
  <c r="T13" i="5"/>
  <c r="T103" i="5"/>
  <c r="I59" i="5"/>
  <c r="S104" i="5"/>
  <c r="C96" i="18"/>
  <c r="K45" i="36"/>
  <c r="K20" i="36"/>
  <c r="I45" i="36"/>
  <c r="I20" i="36"/>
  <c r="J45" i="36"/>
  <c r="J20" i="36"/>
  <c r="S100" i="5"/>
  <c r="E64" i="18"/>
  <c r="E10" i="5"/>
  <c r="K94" i="2"/>
  <c r="K158" i="2"/>
  <c r="T45" i="37"/>
  <c r="J45" i="37"/>
  <c r="J20" i="37"/>
  <c r="I29" i="5"/>
  <c r="T10" i="5"/>
  <c r="D79" i="22"/>
  <c r="F127" i="18"/>
  <c r="N126" i="22"/>
  <c r="E91" i="17"/>
  <c r="H93" i="5"/>
  <c r="S20" i="5"/>
  <c r="K111" i="22"/>
  <c r="K95" i="22"/>
  <c r="I15" i="2"/>
  <c r="I94" i="2"/>
  <c r="H94" i="2"/>
  <c r="H156" i="2"/>
  <c r="H158" i="2"/>
  <c r="H160" i="2"/>
  <c r="S105" i="5"/>
  <c r="E96" i="18"/>
  <c r="C63" i="22"/>
  <c r="I153" i="2"/>
  <c r="I156" i="2"/>
  <c r="D95" i="22"/>
  <c r="G94" i="2"/>
  <c r="G158" i="2"/>
  <c r="G160" i="2"/>
  <c r="D63" i="22"/>
  <c r="C95" i="22"/>
  <c r="M109" i="5"/>
  <c r="H109" i="20"/>
  <c r="H97" i="20"/>
  <c r="H103" i="20"/>
  <c r="H115" i="20"/>
  <c r="C79" i="22"/>
  <c r="P127" i="18"/>
  <c r="N47" i="22"/>
  <c r="N109" i="5"/>
  <c r="L79" i="22"/>
  <c r="F64" i="18"/>
  <c r="F63" i="22"/>
  <c r="T16" i="5"/>
  <c r="T106" i="5"/>
  <c r="G15" i="29"/>
  <c r="T43" i="19"/>
  <c r="T44" i="19"/>
  <c r="T19" i="19"/>
  <c r="O58" i="19"/>
  <c r="P29" i="19"/>
  <c r="O78" i="20"/>
  <c r="O36" i="20"/>
  <c r="N37" i="20"/>
  <c r="E36" i="20"/>
  <c r="M63" i="17"/>
  <c r="M56" i="17"/>
  <c r="D34" i="17"/>
  <c r="E34" i="17"/>
  <c r="L55" i="17"/>
  <c r="M54" i="17"/>
  <c r="E49" i="17"/>
  <c r="E75" i="17"/>
  <c r="M75" i="17"/>
  <c r="O57" i="20"/>
  <c r="E57" i="20"/>
  <c r="E37" i="20"/>
  <c r="E78" i="20"/>
  <c r="E42" i="17"/>
  <c r="F112" i="18"/>
  <c r="F126" i="22"/>
  <c r="L91" i="17"/>
  <c r="D91" i="17"/>
  <c r="M47" i="22"/>
  <c r="M63" i="22"/>
  <c r="E63" i="22"/>
  <c r="F33" i="27"/>
  <c r="E110" i="20"/>
  <c r="E24" i="18"/>
  <c r="E25" i="18"/>
  <c r="J16" i="18"/>
  <c r="O28" i="17"/>
  <c r="N111" i="22"/>
  <c r="E47" i="22"/>
  <c r="E55" i="17"/>
  <c r="F95" i="22"/>
  <c r="F34" i="27"/>
  <c r="E111" i="20"/>
  <c r="M33" i="17"/>
  <c r="N95" i="22"/>
  <c r="P80" i="18"/>
  <c r="P112" i="18"/>
  <c r="E97" i="17"/>
  <c r="O79" i="20"/>
  <c r="AG61" i="18"/>
  <c r="AB57" i="18"/>
  <c r="P15" i="18"/>
  <c r="T15" i="18"/>
  <c r="AA57" i="18"/>
  <c r="S91" i="20"/>
  <c r="I77" i="20"/>
  <c r="S42" i="20"/>
  <c r="I103" i="20"/>
  <c r="S35" i="20"/>
  <c r="S28" i="20"/>
  <c r="I97" i="20"/>
  <c r="S70" i="20"/>
  <c r="I63" i="20"/>
  <c r="S84" i="20"/>
  <c r="S49" i="20"/>
  <c r="S77" i="20"/>
  <c r="I42" i="20"/>
  <c r="S56" i="20"/>
  <c r="I56" i="20"/>
  <c r="S63" i="20"/>
  <c r="I84" i="20"/>
  <c r="I91" i="20"/>
  <c r="I109" i="20"/>
  <c r="I70" i="20"/>
  <c r="I35" i="20"/>
  <c r="I49" i="20"/>
  <c r="F79" i="22"/>
  <c r="E112" i="18"/>
  <c r="F47" i="22"/>
  <c r="N79" i="22"/>
  <c r="E102" i="17"/>
  <c r="E96" i="17"/>
  <c r="O112" i="18"/>
  <c r="M111" i="22"/>
  <c r="O68" i="18"/>
  <c r="O36" i="18"/>
  <c r="O115" i="18"/>
  <c r="E100" i="18"/>
  <c r="O100" i="18"/>
  <c r="E115" i="18"/>
  <c r="O84" i="18"/>
  <c r="E36" i="18"/>
  <c r="O52" i="18"/>
  <c r="E68" i="18"/>
  <c r="E52" i="18"/>
  <c r="E84" i="18"/>
  <c r="E104" i="20"/>
  <c r="O48" i="18"/>
  <c r="AA46" i="18"/>
  <c r="AG71" i="18"/>
  <c r="AB46" i="18"/>
  <c r="E16" i="18"/>
  <c r="O80" i="18"/>
  <c r="F80" i="18"/>
  <c r="M126" i="22"/>
  <c r="E111" i="22"/>
  <c r="P29" i="30"/>
  <c r="M27" i="17"/>
  <c r="N63" i="22"/>
  <c r="E34" i="27"/>
  <c r="E80" i="18"/>
  <c r="D27" i="22"/>
  <c r="M67" i="22"/>
  <c r="M51" i="22"/>
  <c r="M114" i="22"/>
  <c r="M83" i="22"/>
  <c r="M99" i="22"/>
  <c r="M35" i="22"/>
  <c r="E26" i="17"/>
  <c r="F29" i="23"/>
  <c r="E95" i="17"/>
  <c r="L49" i="17"/>
  <c r="AA45" i="18"/>
  <c r="AG70" i="18"/>
  <c r="AB45" i="18"/>
  <c r="E15" i="18"/>
  <c r="E126" i="22"/>
  <c r="E54" i="17"/>
  <c r="E79" i="22"/>
  <c r="M79" i="22"/>
  <c r="P60" i="17"/>
  <c r="H60" i="17"/>
  <c r="P46" i="17"/>
  <c r="P81" i="17"/>
  <c r="H39" i="17"/>
  <c r="P67" i="17"/>
  <c r="P53" i="17"/>
  <c r="P39" i="17"/>
  <c r="P88" i="17"/>
  <c r="H53" i="17"/>
  <c r="H67" i="17"/>
  <c r="H46" i="17"/>
  <c r="H74" i="17"/>
  <c r="P25" i="17"/>
  <c r="H81" i="17"/>
  <c r="H94" i="17"/>
  <c r="H88" i="17"/>
  <c r="H106" i="17"/>
  <c r="H100" i="17"/>
  <c r="P74" i="17"/>
  <c r="H32" i="17"/>
  <c r="P32" i="17"/>
  <c r="E35" i="27"/>
  <c r="M76" i="17"/>
  <c r="O127" i="18"/>
  <c r="F48" i="18"/>
  <c r="K63" i="22"/>
  <c r="L95" i="22"/>
  <c r="D79" i="20"/>
  <c r="M80" i="18"/>
  <c r="D70" i="17"/>
  <c r="D76" i="17"/>
  <c r="C127" i="18"/>
  <c r="C48" i="18"/>
  <c r="C80" i="18"/>
  <c r="D97" i="17"/>
  <c r="D52" i="20"/>
  <c r="C112" i="18"/>
  <c r="M127" i="18"/>
  <c r="N78" i="20"/>
  <c r="K79" i="22"/>
  <c r="N57" i="20"/>
  <c r="D111" i="22"/>
  <c r="M112" i="18"/>
  <c r="P8" i="18"/>
  <c r="R8" i="18"/>
  <c r="M48" i="18"/>
  <c r="G58" i="19"/>
  <c r="AB20" i="19"/>
  <c r="G57" i="26"/>
  <c r="D105" i="20"/>
  <c r="D99" i="20"/>
  <c r="D96" i="17"/>
  <c r="D102" i="17"/>
  <c r="E7" i="18"/>
  <c r="G7" i="18"/>
  <c r="E7" i="22"/>
  <c r="G7" i="22"/>
  <c r="N64" i="18"/>
  <c r="Z36" i="29"/>
  <c r="N127" i="18"/>
  <c r="D48" i="18"/>
  <c r="Z37" i="29"/>
  <c r="C83" i="22"/>
  <c r="C114" i="22"/>
  <c r="C99" i="22"/>
  <c r="K99" i="22"/>
  <c r="K67" i="22"/>
  <c r="C67" i="22"/>
  <c r="K114" i="22"/>
  <c r="K83" i="22"/>
  <c r="P8" i="22"/>
  <c r="R8" i="22"/>
  <c r="D98" i="20"/>
  <c r="D110" i="20"/>
  <c r="P10" i="18"/>
  <c r="R10" i="18"/>
  <c r="P10" i="22"/>
  <c r="R10" i="22"/>
  <c r="C64" i="18"/>
  <c r="T47" i="19"/>
  <c r="K57" i="26"/>
  <c r="K58" i="19"/>
  <c r="F29" i="19"/>
  <c r="O21" i="30"/>
  <c r="W25" i="30"/>
  <c r="M21" i="30"/>
  <c r="N21" i="30"/>
  <c r="Q21" i="30"/>
  <c r="G21" i="30"/>
  <c r="I21" i="30"/>
  <c r="L21" i="30"/>
  <c r="H21" i="30"/>
  <c r="J21" i="30"/>
  <c r="R21" i="30"/>
  <c r="S21" i="30"/>
  <c r="P21" i="30"/>
  <c r="K21" i="30"/>
  <c r="L42" i="26"/>
  <c r="R42" i="26"/>
  <c r="M42" i="26"/>
  <c r="T42" i="26"/>
  <c r="P42" i="26"/>
  <c r="I42" i="26"/>
  <c r="Q42" i="26"/>
  <c r="J42" i="26"/>
  <c r="N42" i="26"/>
  <c r="H42" i="26"/>
  <c r="O42" i="26"/>
  <c r="K42" i="26"/>
  <c r="K126" i="22"/>
  <c r="E9" i="22"/>
  <c r="E9" i="18"/>
  <c r="D37" i="20"/>
  <c r="R9" i="22"/>
  <c r="P7" i="22"/>
  <c r="P7" i="18"/>
  <c r="E10" i="18"/>
  <c r="E10" i="22"/>
  <c r="E8" i="18"/>
  <c r="G8" i="18"/>
  <c r="D126" i="22"/>
  <c r="R35" i="20"/>
  <c r="R63" i="20"/>
  <c r="R28" i="20"/>
  <c r="H84" i="20"/>
  <c r="R91" i="20"/>
  <c r="R84" i="20"/>
  <c r="R42" i="20"/>
  <c r="H35" i="20"/>
  <c r="R49" i="20"/>
  <c r="H70" i="20"/>
  <c r="H56" i="20"/>
  <c r="H91" i="20"/>
  <c r="H77" i="20"/>
  <c r="H63" i="20"/>
  <c r="R77" i="20"/>
  <c r="H49" i="20"/>
  <c r="R70" i="20"/>
  <c r="H42" i="20"/>
  <c r="R56" i="20"/>
  <c r="D87" i="20"/>
  <c r="D36" i="20"/>
  <c r="N112" i="18"/>
  <c r="N80" i="18"/>
  <c r="M64" i="18"/>
  <c r="D127" i="18"/>
  <c r="L76" i="17"/>
  <c r="L84" i="17"/>
  <c r="D80" i="18"/>
  <c r="C126" i="22"/>
  <c r="D64" i="18"/>
  <c r="L126" i="22"/>
  <c r="N46" i="26"/>
  <c r="R46" i="26"/>
  <c r="J46" i="26"/>
  <c r="K46" i="26"/>
  <c r="T46" i="26"/>
  <c r="L46" i="26"/>
  <c r="H46" i="26"/>
  <c r="P46" i="26"/>
  <c r="I46" i="26"/>
  <c r="O46" i="26"/>
  <c r="Q46" i="26"/>
  <c r="M46" i="26"/>
  <c r="F47" i="37"/>
  <c r="F57" i="37"/>
  <c r="F53" i="37"/>
  <c r="N51" i="37"/>
  <c r="J51" i="37"/>
  <c r="T43" i="37"/>
  <c r="K54" i="37"/>
  <c r="F55" i="37"/>
  <c r="F48" i="37"/>
  <c r="F58" i="37"/>
  <c r="F54" i="37"/>
  <c r="F43" i="36"/>
  <c r="F38" i="36"/>
  <c r="J51" i="36"/>
  <c r="N51" i="36"/>
  <c r="F46" i="36"/>
  <c r="F56" i="36"/>
  <c r="F52" i="36"/>
  <c r="F55" i="36"/>
  <c r="O87" i="20"/>
  <c r="U11" i="5"/>
  <c r="U101" i="5"/>
  <c r="C9" i="19"/>
  <c r="S6" i="23"/>
  <c r="S10" i="23"/>
  <c r="C5" i="26"/>
  <c r="K11" i="26"/>
  <c r="K10" i="26"/>
  <c r="K23" i="26"/>
  <c r="C17" i="26"/>
  <c r="T11" i="26"/>
  <c r="C10" i="26"/>
  <c r="J11" i="26"/>
  <c r="J10" i="26"/>
  <c r="J23" i="26"/>
  <c r="D94" i="20"/>
  <c r="D80" i="20"/>
  <c r="E45" i="20"/>
  <c r="O94" i="20"/>
  <c r="O80" i="20"/>
  <c r="D66" i="20"/>
  <c r="N73" i="20"/>
  <c r="O45" i="20"/>
  <c r="N94" i="20"/>
  <c r="O52" i="20"/>
  <c r="E52" i="20"/>
  <c r="D45" i="20"/>
  <c r="D38" i="20"/>
  <c r="O73" i="20"/>
  <c r="D73" i="20"/>
  <c r="E66" i="20"/>
  <c r="N87" i="20"/>
  <c r="N45" i="20"/>
  <c r="N38" i="20"/>
  <c r="AC16" i="19"/>
  <c r="E94" i="20"/>
  <c r="E87" i="20"/>
  <c r="O66" i="20"/>
  <c r="N66" i="20"/>
  <c r="E73" i="20"/>
  <c r="D35" i="17"/>
  <c r="M35" i="17"/>
  <c r="AC20" i="19"/>
  <c r="Y21" i="30"/>
  <c r="N11" i="19"/>
  <c r="N10" i="19"/>
  <c r="C12" i="37"/>
  <c r="N11" i="37"/>
  <c r="N10" i="37"/>
  <c r="C12" i="36"/>
  <c r="N11" i="36"/>
  <c r="N10" i="36"/>
  <c r="D12" i="19"/>
  <c r="D12" i="37"/>
  <c r="N14" i="37"/>
  <c r="N13" i="37"/>
  <c r="C5" i="36"/>
  <c r="K11" i="36"/>
  <c r="K10" i="36"/>
  <c r="C9" i="26"/>
  <c r="I11" i="26"/>
  <c r="I10" i="26"/>
  <c r="I23" i="26"/>
  <c r="C9" i="36"/>
  <c r="I11" i="36"/>
  <c r="I10" i="36"/>
  <c r="E98" i="20"/>
  <c r="C17" i="36"/>
  <c r="T11" i="36"/>
  <c r="U16" i="5"/>
  <c r="T37" i="19"/>
  <c r="G30" i="23"/>
  <c r="H30" i="23"/>
  <c r="S6" i="30"/>
  <c r="S10" i="30"/>
  <c r="D77" i="17"/>
  <c r="C5" i="19"/>
  <c r="K11" i="19"/>
  <c r="K10" i="19"/>
  <c r="V106" i="5"/>
  <c r="D10" i="26"/>
  <c r="J14" i="26"/>
  <c r="J13" i="26"/>
  <c r="C10" i="19"/>
  <c r="C10" i="37"/>
  <c r="J11" i="37"/>
  <c r="J10" i="37"/>
  <c r="C17" i="19"/>
  <c r="T11" i="19"/>
  <c r="C10" i="36"/>
  <c r="J11" i="36"/>
  <c r="V101" i="5"/>
  <c r="T44" i="37"/>
  <c r="T19" i="37"/>
  <c r="F28" i="37"/>
  <c r="G16" i="18"/>
  <c r="I16" i="18"/>
  <c r="E16" i="22"/>
  <c r="I16" i="22"/>
  <c r="E15" i="22"/>
  <c r="I15" i="18"/>
  <c r="G15" i="18"/>
  <c r="K15" i="18"/>
  <c r="P15" i="22"/>
  <c r="T15" i="22"/>
  <c r="V15" i="18"/>
  <c r="R15" i="18"/>
  <c r="L35" i="17"/>
  <c r="L56" i="17"/>
  <c r="D16" i="19"/>
  <c r="R14" i="19"/>
  <c r="R13" i="19"/>
  <c r="T101" i="5"/>
  <c r="R11" i="19"/>
  <c r="R10" i="19"/>
  <c r="C16" i="37"/>
  <c r="R11" i="37"/>
  <c r="R10" i="37"/>
  <c r="I11" i="19"/>
  <c r="I10" i="19"/>
  <c r="C9" i="37"/>
  <c r="I11" i="37"/>
  <c r="I10" i="37"/>
  <c r="N110" i="5"/>
  <c r="O108" i="5"/>
  <c r="H95" i="5"/>
  <c r="D56" i="17"/>
  <c r="J28" i="5"/>
  <c r="V17" i="5"/>
  <c r="U17" i="5"/>
  <c r="U107" i="5"/>
  <c r="Q11" i="24"/>
  <c r="T102" i="5"/>
  <c r="U19" i="5"/>
  <c r="U109" i="5"/>
  <c r="J92" i="5"/>
  <c r="V19" i="5"/>
  <c r="M77" i="17"/>
  <c r="E56" i="17"/>
  <c r="E77" i="17"/>
  <c r="T47" i="37"/>
  <c r="T47" i="36"/>
  <c r="K58" i="36"/>
  <c r="F29" i="36"/>
  <c r="K58" i="37"/>
  <c r="F29" i="37"/>
  <c r="O58" i="26"/>
  <c r="P29" i="26"/>
  <c r="O58" i="36"/>
  <c r="P29" i="36"/>
  <c r="O58" i="37"/>
  <c r="P29" i="37"/>
  <c r="G58" i="26"/>
  <c r="AB20" i="26"/>
  <c r="AC20" i="26"/>
  <c r="G58" i="37"/>
  <c r="AB20" i="37"/>
  <c r="AC20" i="37"/>
  <c r="G58" i="36"/>
  <c r="AB20" i="36"/>
  <c r="T47" i="26"/>
  <c r="Z42" i="18"/>
  <c r="H137" i="5"/>
  <c r="T113" i="5"/>
  <c r="M137" i="5"/>
  <c r="U13" i="5"/>
  <c r="U103" i="5"/>
  <c r="J59" i="5"/>
  <c r="O109" i="5"/>
  <c r="G6" i="23"/>
  <c r="G10" i="23"/>
  <c r="U12" i="5"/>
  <c r="J10" i="5"/>
  <c r="T100" i="5"/>
  <c r="I158" i="2"/>
  <c r="I160" i="2"/>
  <c r="J29" i="5"/>
  <c r="V10" i="5"/>
  <c r="U10" i="5"/>
  <c r="T21" i="5"/>
  <c r="I21" i="5"/>
  <c r="J22" i="5"/>
  <c r="U14" i="5"/>
  <c r="U104" i="5"/>
  <c r="E35" i="17"/>
  <c r="S110" i="5"/>
  <c r="K160" i="2"/>
  <c r="C5" i="5"/>
  <c r="T20" i="5"/>
  <c r="T110" i="5"/>
  <c r="I93" i="5"/>
  <c r="G10" i="5"/>
  <c r="E95" i="5"/>
  <c r="U113" i="5"/>
  <c r="D9" i="19"/>
  <c r="D9" i="26"/>
  <c r="I14" i="26"/>
  <c r="I13" i="26"/>
  <c r="S111" i="5"/>
  <c r="E105" i="20"/>
  <c r="E99" i="20"/>
  <c r="E106" i="20"/>
  <c r="E100" i="20"/>
  <c r="F24" i="18"/>
  <c r="K16" i="18"/>
  <c r="E99" i="22"/>
  <c r="E67" i="22"/>
  <c r="E35" i="22"/>
  <c r="E51" i="22"/>
  <c r="E83" i="22"/>
  <c r="E114" i="22"/>
  <c r="L77" i="17"/>
  <c r="T21" i="30"/>
  <c r="U21" i="30"/>
  <c r="G30" i="30"/>
  <c r="H30" i="30"/>
  <c r="G10" i="18"/>
  <c r="R7" i="18"/>
  <c r="R7" i="22"/>
  <c r="K54" i="26"/>
  <c r="T43" i="26"/>
  <c r="G9" i="18"/>
  <c r="K58" i="26"/>
  <c r="F29" i="26"/>
  <c r="T48" i="19"/>
  <c r="T20" i="19"/>
  <c r="G10" i="22"/>
  <c r="G9" i="22"/>
  <c r="J53" i="37"/>
  <c r="N53" i="37"/>
  <c r="J57" i="37"/>
  <c r="N57" i="37"/>
  <c r="AC19" i="37"/>
  <c r="J55" i="37"/>
  <c r="N55" i="37"/>
  <c r="J58" i="37"/>
  <c r="N58" i="37"/>
  <c r="J54" i="37"/>
  <c r="N54" i="37"/>
  <c r="J56" i="36"/>
  <c r="N56" i="36"/>
  <c r="F47" i="36"/>
  <c r="F53" i="36"/>
  <c r="R10" i="36"/>
  <c r="F44" i="36"/>
  <c r="J52" i="36"/>
  <c r="N52" i="36"/>
  <c r="D59" i="20"/>
  <c r="G16" i="22"/>
  <c r="N80" i="20"/>
  <c r="E80" i="20"/>
  <c r="N59" i="20"/>
  <c r="E59" i="20"/>
  <c r="E38" i="20"/>
  <c r="O59" i="20"/>
  <c r="O38" i="20"/>
  <c r="N14" i="19"/>
  <c r="N13" i="19"/>
  <c r="D12" i="36"/>
  <c r="N14" i="36"/>
  <c r="N13" i="36"/>
  <c r="D10" i="19"/>
  <c r="D10" i="36"/>
  <c r="J14" i="36"/>
  <c r="J13" i="36"/>
  <c r="F28" i="17"/>
  <c r="G28" i="17"/>
  <c r="C17" i="37"/>
  <c r="T11" i="37"/>
  <c r="C5" i="37"/>
  <c r="K11" i="37"/>
  <c r="K10" i="37"/>
  <c r="U106" i="5"/>
  <c r="J11" i="19"/>
  <c r="J10" i="19"/>
  <c r="R15" i="22"/>
  <c r="T10" i="30"/>
  <c r="Q29" i="30"/>
  <c r="R29" i="30"/>
  <c r="T20" i="30"/>
  <c r="H28" i="17"/>
  <c r="V13" i="5"/>
  <c r="V107" i="5"/>
  <c r="D11" i="26"/>
  <c r="Q14" i="26"/>
  <c r="Q13" i="26"/>
  <c r="C11" i="19"/>
  <c r="C11" i="26"/>
  <c r="Q11" i="26"/>
  <c r="Q10" i="26"/>
  <c r="Q23" i="26"/>
  <c r="C11" i="36"/>
  <c r="Q11" i="36"/>
  <c r="Q10" i="36"/>
  <c r="V14" i="5"/>
  <c r="C4" i="36"/>
  <c r="G11" i="36"/>
  <c r="G10" i="36"/>
  <c r="C4" i="26"/>
  <c r="G11" i="26"/>
  <c r="G10" i="26"/>
  <c r="C4" i="19"/>
  <c r="V109" i="5"/>
  <c r="D13" i="26"/>
  <c r="L14" i="26"/>
  <c r="L13" i="26"/>
  <c r="C13" i="36"/>
  <c r="L11" i="36"/>
  <c r="L10" i="36"/>
  <c r="C13" i="19"/>
  <c r="C13" i="26"/>
  <c r="L11" i="26"/>
  <c r="L10" i="26"/>
  <c r="L23" i="26"/>
  <c r="T44" i="26"/>
  <c r="T19" i="26"/>
  <c r="F28" i="26"/>
  <c r="I15" i="22"/>
  <c r="G15" i="22"/>
  <c r="D5" i="26"/>
  <c r="K14" i="26"/>
  <c r="K13" i="26"/>
  <c r="D5" i="19"/>
  <c r="D5" i="37"/>
  <c r="K14" i="37"/>
  <c r="K13" i="37"/>
  <c r="T111" i="5"/>
  <c r="T114" i="5"/>
  <c r="Q18" i="24"/>
  <c r="N137" i="5"/>
  <c r="D16" i="36"/>
  <c r="R14" i="36"/>
  <c r="R13" i="36"/>
  <c r="D16" i="37"/>
  <c r="R14" i="37"/>
  <c r="R13" i="37"/>
  <c r="U102" i="5"/>
  <c r="I14" i="19"/>
  <c r="I13" i="19"/>
  <c r="D9" i="36"/>
  <c r="I14" i="36"/>
  <c r="I13" i="36"/>
  <c r="D9" i="37"/>
  <c r="I14" i="37"/>
  <c r="I13" i="37"/>
  <c r="E96" i="5"/>
  <c r="I95" i="5"/>
  <c r="O110" i="5"/>
  <c r="J137" i="5"/>
  <c r="AJ27" i="36"/>
  <c r="T36" i="36"/>
  <c r="AJ27" i="37"/>
  <c r="T36" i="37"/>
  <c r="T38" i="37"/>
  <c r="T6" i="37"/>
  <c r="AJ27" i="26"/>
  <c r="T36" i="26"/>
  <c r="T38" i="26"/>
  <c r="T6" i="26"/>
  <c r="T48" i="26"/>
  <c r="T20" i="26"/>
  <c r="T48" i="37"/>
  <c r="T20" i="37"/>
  <c r="T48" i="36"/>
  <c r="T20" i="36"/>
  <c r="Q16" i="24"/>
  <c r="Q5" i="24"/>
  <c r="Q6" i="24"/>
  <c r="U100" i="5"/>
  <c r="T10" i="23"/>
  <c r="Q29" i="23"/>
  <c r="T20" i="23"/>
  <c r="Y19" i="23"/>
  <c r="V100" i="5"/>
  <c r="D4" i="26"/>
  <c r="G14" i="26"/>
  <c r="V113" i="5"/>
  <c r="D17" i="26"/>
  <c r="T14" i="26"/>
  <c r="AJ27" i="19"/>
  <c r="T36" i="19"/>
  <c r="S12" i="5"/>
  <c r="G95" i="5"/>
  <c r="T24" i="5"/>
  <c r="U20" i="5"/>
  <c r="U110" i="5"/>
  <c r="J93" i="5"/>
  <c r="V20" i="5"/>
  <c r="V12" i="5"/>
  <c r="J21" i="5"/>
  <c r="U21" i="5"/>
  <c r="U111" i="5"/>
  <c r="Y8" i="22"/>
  <c r="Y8" i="18"/>
  <c r="AC21" i="37"/>
  <c r="AB21" i="37"/>
  <c r="J53" i="36"/>
  <c r="N53" i="36"/>
  <c r="F57" i="36"/>
  <c r="J10" i="36"/>
  <c r="F54" i="36"/>
  <c r="F48" i="36"/>
  <c r="J14" i="19"/>
  <c r="J13" i="19"/>
  <c r="D10" i="37"/>
  <c r="J14" i="37"/>
  <c r="J13" i="37"/>
  <c r="N27" i="17"/>
  <c r="O27" i="17"/>
  <c r="D11" i="19"/>
  <c r="Q14" i="19"/>
  <c r="Q13" i="19"/>
  <c r="V104" i="5"/>
  <c r="C8" i="36"/>
  <c r="M11" i="36"/>
  <c r="M10" i="36"/>
  <c r="C8" i="26"/>
  <c r="M11" i="26"/>
  <c r="M10" i="26"/>
  <c r="M23" i="26"/>
  <c r="C8" i="19"/>
  <c r="Q11" i="19"/>
  <c r="Q10" i="19"/>
  <c r="C11" i="37"/>
  <c r="Q11" i="37"/>
  <c r="Q10" i="37"/>
  <c r="V110" i="5"/>
  <c r="D14" i="26"/>
  <c r="O14" i="26"/>
  <c r="O13" i="26"/>
  <c r="C14" i="26"/>
  <c r="O11" i="26"/>
  <c r="O10" i="26"/>
  <c r="O23" i="26"/>
  <c r="C14" i="19"/>
  <c r="C14" i="36"/>
  <c r="O11" i="36"/>
  <c r="O10" i="36"/>
  <c r="D13" i="19"/>
  <c r="L14" i="19"/>
  <c r="L13" i="19"/>
  <c r="L11" i="19"/>
  <c r="L10" i="19"/>
  <c r="C13" i="37"/>
  <c r="L11" i="37"/>
  <c r="L10" i="37"/>
  <c r="C4" i="37"/>
  <c r="G11" i="37"/>
  <c r="G10" i="37"/>
  <c r="G11" i="19"/>
  <c r="G10" i="19"/>
  <c r="C6" i="36"/>
  <c r="H11" i="36"/>
  <c r="V21" i="5"/>
  <c r="O137" i="5"/>
  <c r="V103" i="5"/>
  <c r="C7" i="26"/>
  <c r="P11" i="26"/>
  <c r="C7" i="19"/>
  <c r="C7" i="36"/>
  <c r="P11" i="36"/>
  <c r="P10" i="36"/>
  <c r="W22" i="36"/>
  <c r="D17" i="19"/>
  <c r="T14" i="19"/>
  <c r="D4" i="19"/>
  <c r="D5" i="36"/>
  <c r="K14" i="36"/>
  <c r="K13" i="36"/>
  <c r="K14" i="19"/>
  <c r="K13" i="19"/>
  <c r="T10" i="26"/>
  <c r="T23" i="26"/>
  <c r="T13" i="26"/>
  <c r="V102" i="5"/>
  <c r="T10" i="37"/>
  <c r="T6" i="36"/>
  <c r="G23" i="26"/>
  <c r="Y22" i="23"/>
  <c r="U20" i="23"/>
  <c r="Y19" i="30"/>
  <c r="Y22" i="30"/>
  <c r="U20" i="30"/>
  <c r="C6" i="19"/>
  <c r="C6" i="37"/>
  <c r="C6" i="26"/>
  <c r="S102" i="5"/>
  <c r="S24" i="5"/>
  <c r="R29" i="23"/>
  <c r="N26" i="17"/>
  <c r="J95" i="5"/>
  <c r="H6" i="19"/>
  <c r="T38" i="19"/>
  <c r="T6" i="19"/>
  <c r="T10" i="19"/>
  <c r="U114" i="5"/>
  <c r="Q19" i="24"/>
  <c r="U24" i="5"/>
  <c r="G13" i="26"/>
  <c r="J54" i="36"/>
  <c r="N54" i="36"/>
  <c r="J57" i="36"/>
  <c r="N57" i="36"/>
  <c r="F58" i="36"/>
  <c r="D11" i="36"/>
  <c r="Q14" i="36"/>
  <c r="Q13" i="36"/>
  <c r="P27" i="17"/>
  <c r="D11" i="37"/>
  <c r="Q14" i="37"/>
  <c r="Q13" i="37"/>
  <c r="D14" i="19"/>
  <c r="D14" i="36"/>
  <c r="O14" i="36"/>
  <c r="O13" i="36"/>
  <c r="V111" i="5"/>
  <c r="V114" i="5"/>
  <c r="Q20" i="24"/>
  <c r="C15" i="26"/>
  <c r="S11" i="26"/>
  <c r="S10" i="26"/>
  <c r="S23" i="26"/>
  <c r="C15" i="19"/>
  <c r="C18" i="19"/>
  <c r="C15" i="36"/>
  <c r="S11" i="36"/>
  <c r="S10" i="36"/>
  <c r="C14" i="37"/>
  <c r="O11" i="37"/>
  <c r="O10" i="37"/>
  <c r="O11" i="19"/>
  <c r="O10" i="19"/>
  <c r="C8" i="37"/>
  <c r="M11" i="37"/>
  <c r="M10" i="37"/>
  <c r="M11" i="19"/>
  <c r="M10" i="19"/>
  <c r="P11" i="19"/>
  <c r="C7" i="37"/>
  <c r="P11" i="37"/>
  <c r="D7" i="26"/>
  <c r="P14" i="26"/>
  <c r="D7" i="19"/>
  <c r="D13" i="37"/>
  <c r="L14" i="37"/>
  <c r="L13" i="37"/>
  <c r="P10" i="26"/>
  <c r="W23" i="26"/>
  <c r="D13" i="36"/>
  <c r="L14" i="36"/>
  <c r="L13" i="36"/>
  <c r="V24" i="5"/>
  <c r="D8" i="19"/>
  <c r="D8" i="26"/>
  <c r="M14" i="26"/>
  <c r="M13" i="26"/>
  <c r="D17" i="36"/>
  <c r="T14" i="36"/>
  <c r="T13" i="36"/>
  <c r="D17" i="37"/>
  <c r="T14" i="37"/>
  <c r="T13" i="37"/>
  <c r="D4" i="37"/>
  <c r="G14" i="37"/>
  <c r="G13" i="37"/>
  <c r="D4" i="36"/>
  <c r="G14" i="36"/>
  <c r="G13" i="36"/>
  <c r="G14" i="19"/>
  <c r="G13" i="19"/>
  <c r="T13" i="19"/>
  <c r="H10" i="36"/>
  <c r="H11" i="37"/>
  <c r="T10" i="36"/>
  <c r="D6" i="26"/>
  <c r="D6" i="19"/>
  <c r="S114" i="5"/>
  <c r="Q17" i="24"/>
  <c r="H11" i="26"/>
  <c r="H11" i="19"/>
  <c r="I15" i="29"/>
  <c r="G29" i="30"/>
  <c r="Y9" i="22"/>
  <c r="Y10" i="22"/>
  <c r="H7" i="22"/>
  <c r="G29" i="23"/>
  <c r="P26" i="17"/>
  <c r="O26" i="17"/>
  <c r="J58" i="36"/>
  <c r="N58" i="36"/>
  <c r="W23" i="36"/>
  <c r="AC19" i="36"/>
  <c r="AC20" i="36"/>
  <c r="C18" i="36"/>
  <c r="O14" i="19"/>
  <c r="O13" i="19"/>
  <c r="U20" i="36"/>
  <c r="V20" i="36"/>
  <c r="H29" i="36"/>
  <c r="J29" i="36"/>
  <c r="D14" i="37"/>
  <c r="O14" i="37"/>
  <c r="O13" i="37"/>
  <c r="U11" i="36"/>
  <c r="R29" i="36"/>
  <c r="T29" i="36"/>
  <c r="C18" i="26"/>
  <c r="X23" i="26"/>
  <c r="P13" i="26"/>
  <c r="X22" i="26"/>
  <c r="P10" i="37"/>
  <c r="W22" i="37"/>
  <c r="W23" i="37"/>
  <c r="D8" i="37"/>
  <c r="M14" i="37"/>
  <c r="M13" i="37"/>
  <c r="D8" i="36"/>
  <c r="M14" i="36"/>
  <c r="M13" i="36"/>
  <c r="M14" i="19"/>
  <c r="M13" i="19"/>
  <c r="D7" i="37"/>
  <c r="P14" i="37"/>
  <c r="P14" i="19"/>
  <c r="D7" i="36"/>
  <c r="P14" i="36"/>
  <c r="W23" i="19"/>
  <c r="P10" i="19"/>
  <c r="W22" i="19"/>
  <c r="P23" i="26"/>
  <c r="W22" i="26"/>
  <c r="S11" i="19"/>
  <c r="S10" i="19"/>
  <c r="C15" i="37"/>
  <c r="D15" i="26"/>
  <c r="S14" i="26"/>
  <c r="S13" i="26"/>
  <c r="D15" i="19"/>
  <c r="D6" i="37"/>
  <c r="D6" i="36"/>
  <c r="H10" i="37"/>
  <c r="U19" i="36"/>
  <c r="U10" i="36"/>
  <c r="R28" i="36"/>
  <c r="F26" i="17"/>
  <c r="H29" i="23"/>
  <c r="H12" i="29"/>
  <c r="H9" i="29"/>
  <c r="H10" i="29"/>
  <c r="H11" i="29"/>
  <c r="H7" i="29"/>
  <c r="H8" i="29"/>
  <c r="H10" i="19"/>
  <c r="H10" i="26"/>
  <c r="U11" i="26"/>
  <c r="U20" i="26"/>
  <c r="V20" i="26"/>
  <c r="H29" i="26"/>
  <c r="J29" i="26"/>
  <c r="H11" i="22"/>
  <c r="I7" i="22"/>
  <c r="H8" i="22"/>
  <c r="S7" i="22"/>
  <c r="H9" i="22"/>
  <c r="E22" i="22"/>
  <c r="F27" i="17"/>
  <c r="H29" i="30"/>
  <c r="H14" i="19"/>
  <c r="H14" i="26"/>
  <c r="AB21" i="36"/>
  <c r="AC21" i="36"/>
  <c r="U20" i="19"/>
  <c r="V20" i="19"/>
  <c r="H29" i="19"/>
  <c r="J29" i="19"/>
  <c r="U11" i="19"/>
  <c r="R29" i="19"/>
  <c r="P31" i="20"/>
  <c r="X23" i="19"/>
  <c r="P13" i="19"/>
  <c r="X22" i="19"/>
  <c r="P13" i="37"/>
  <c r="X22" i="37"/>
  <c r="X23" i="37"/>
  <c r="S11" i="37"/>
  <c r="C18" i="37"/>
  <c r="P13" i="36"/>
  <c r="X22" i="36"/>
  <c r="X23" i="36"/>
  <c r="D15" i="36"/>
  <c r="S14" i="36"/>
  <c r="S13" i="36"/>
  <c r="D15" i="37"/>
  <c r="S14" i="37"/>
  <c r="S13" i="37"/>
  <c r="S14" i="19"/>
  <c r="S13" i="19"/>
  <c r="D18" i="26"/>
  <c r="D18" i="19"/>
  <c r="H14" i="36"/>
  <c r="H14" i="37"/>
  <c r="T28" i="36"/>
  <c r="V19" i="36"/>
  <c r="H28" i="36"/>
  <c r="I11" i="22"/>
  <c r="S11" i="22"/>
  <c r="T11" i="22"/>
  <c r="E24" i="22"/>
  <c r="H12" i="22"/>
  <c r="H23" i="26"/>
  <c r="U19" i="26"/>
  <c r="U10" i="26"/>
  <c r="H13" i="19"/>
  <c r="U10" i="19"/>
  <c r="R28" i="19"/>
  <c r="U19" i="19"/>
  <c r="AB18" i="19"/>
  <c r="G27" i="17"/>
  <c r="H27" i="17"/>
  <c r="P43" i="22"/>
  <c r="O72" i="22"/>
  <c r="P101" i="22"/>
  <c r="H78" i="22"/>
  <c r="H72" i="22"/>
  <c r="P46" i="22"/>
  <c r="O104" i="22"/>
  <c r="O69" i="22"/>
  <c r="H46" i="22"/>
  <c r="P45" i="22"/>
  <c r="P41" i="22"/>
  <c r="H70" i="22"/>
  <c r="P42" i="22"/>
  <c r="P37" i="22"/>
  <c r="P104" i="22"/>
  <c r="G72" i="22"/>
  <c r="P107" i="22"/>
  <c r="H75" i="22"/>
  <c r="H74" i="22"/>
  <c r="O78" i="22"/>
  <c r="H45" i="22"/>
  <c r="O70" i="22"/>
  <c r="G76" i="22"/>
  <c r="F61" i="17"/>
  <c r="G78" i="22"/>
  <c r="H76" i="22"/>
  <c r="F68" i="17"/>
  <c r="P73" i="22"/>
  <c r="P70" i="22"/>
  <c r="P40" i="22"/>
  <c r="P103" i="22"/>
  <c r="O75" i="22"/>
  <c r="G69" i="22"/>
  <c r="P109" i="22"/>
  <c r="P38" i="22"/>
  <c r="G107" i="22"/>
  <c r="O73" i="22"/>
  <c r="G77" i="22"/>
  <c r="H73" i="22"/>
  <c r="G73" i="22"/>
  <c r="P78" i="22"/>
  <c r="G74" i="22"/>
  <c r="G103" i="22"/>
  <c r="O71" i="22"/>
  <c r="O76" i="22"/>
  <c r="N61" i="17"/>
  <c r="P77" i="22"/>
  <c r="O45" i="22"/>
  <c r="P102" i="22"/>
  <c r="P39" i="22"/>
  <c r="O74" i="22"/>
  <c r="P106" i="22"/>
  <c r="H71" i="22"/>
  <c r="P76" i="22"/>
  <c r="N68" i="17"/>
  <c r="H69" i="22"/>
  <c r="G70" i="22"/>
  <c r="P75" i="22"/>
  <c r="P74" i="22"/>
  <c r="G75" i="22"/>
  <c r="P71" i="22"/>
  <c r="O77" i="22"/>
  <c r="P72" i="22"/>
  <c r="P69" i="22"/>
  <c r="O107" i="22"/>
  <c r="O103" i="22"/>
  <c r="H77" i="22"/>
  <c r="G71" i="22"/>
  <c r="E23" i="29"/>
  <c r="I8" i="29"/>
  <c r="H10" i="22"/>
  <c r="E23" i="22"/>
  <c r="O102" i="22"/>
  <c r="S9" i="22"/>
  <c r="I9" i="22"/>
  <c r="E22" i="29"/>
  <c r="I7" i="29"/>
  <c r="T7" i="22"/>
  <c r="E28" i="22"/>
  <c r="I11" i="29"/>
  <c r="E26" i="29"/>
  <c r="S8" i="22"/>
  <c r="T8" i="22"/>
  <c r="I8" i="22"/>
  <c r="E25" i="29"/>
  <c r="I10" i="29"/>
  <c r="E24" i="29"/>
  <c r="I9" i="29"/>
  <c r="I12" i="29"/>
  <c r="E27" i="29"/>
  <c r="H13" i="26"/>
  <c r="U14" i="26"/>
  <c r="W20" i="26"/>
  <c r="H26" i="17"/>
  <c r="G26" i="17"/>
  <c r="T29" i="19"/>
  <c r="F31" i="20"/>
  <c r="W20" i="19"/>
  <c r="I29" i="19"/>
  <c r="D18" i="37"/>
  <c r="U14" i="19"/>
  <c r="S29" i="19"/>
  <c r="U29" i="19"/>
  <c r="S10" i="37"/>
  <c r="U20" i="37"/>
  <c r="V20" i="37"/>
  <c r="H29" i="37"/>
  <c r="J29" i="37"/>
  <c r="U11" i="37"/>
  <c r="R29" i="37"/>
  <c r="T29" i="37"/>
  <c r="D18" i="36"/>
  <c r="H13" i="37"/>
  <c r="U14" i="37"/>
  <c r="S29" i="37"/>
  <c r="U29" i="37"/>
  <c r="W20" i="37"/>
  <c r="H13" i="36"/>
  <c r="U14" i="36"/>
  <c r="S29" i="36"/>
  <c r="U29" i="36"/>
  <c r="W20" i="36"/>
  <c r="F117" i="20"/>
  <c r="G37" i="22"/>
  <c r="G38" i="22"/>
  <c r="H102" i="22"/>
  <c r="H101" i="22"/>
  <c r="G104" i="22"/>
  <c r="O44" i="22"/>
  <c r="N40" i="17"/>
  <c r="O40" i="17"/>
  <c r="O38" i="22"/>
  <c r="G44" i="22"/>
  <c r="F40" i="17"/>
  <c r="H40" i="17"/>
  <c r="G108" i="22"/>
  <c r="F82" i="17"/>
  <c r="G82" i="17"/>
  <c r="P105" i="22"/>
  <c r="H108" i="22"/>
  <c r="F89" i="17"/>
  <c r="H110" i="22"/>
  <c r="H41" i="22"/>
  <c r="H39" i="22"/>
  <c r="G40" i="22"/>
  <c r="P79" i="22"/>
  <c r="H79" i="22"/>
  <c r="G79" i="22"/>
  <c r="O79" i="22"/>
  <c r="P110" i="22"/>
  <c r="O106" i="22"/>
  <c r="H106" i="22"/>
  <c r="E29" i="22"/>
  <c r="T9" i="22"/>
  <c r="T28" i="19"/>
  <c r="P29" i="20"/>
  <c r="H33" i="29"/>
  <c r="F107" i="17"/>
  <c r="H34" i="29"/>
  <c r="F108" i="17"/>
  <c r="H35" i="29"/>
  <c r="F109" i="17"/>
  <c r="O101" i="22"/>
  <c r="G39" i="22"/>
  <c r="G106" i="22"/>
  <c r="G46" i="22"/>
  <c r="H43" i="22"/>
  <c r="P44" i="22"/>
  <c r="N47" i="17"/>
  <c r="O46" i="22"/>
  <c r="O105" i="22"/>
  <c r="H42" i="22"/>
  <c r="G102" i="22"/>
  <c r="H105" i="22"/>
  <c r="O39" i="22"/>
  <c r="H104" i="22"/>
  <c r="G42" i="22"/>
  <c r="O41" i="22"/>
  <c r="O40" i="22"/>
  <c r="P108" i="22"/>
  <c r="N89" i="17"/>
  <c r="I10" i="22"/>
  <c r="S10" i="22"/>
  <c r="T10" i="22"/>
  <c r="N54" i="17"/>
  <c r="O61" i="17"/>
  <c r="P61" i="17"/>
  <c r="O108" i="22"/>
  <c r="N82" i="17"/>
  <c r="O110" i="22"/>
  <c r="AC18" i="19"/>
  <c r="W19" i="19"/>
  <c r="U13" i="19"/>
  <c r="S28" i="19"/>
  <c r="G105" i="22"/>
  <c r="H107" i="22"/>
  <c r="H40" i="22"/>
  <c r="H109" i="22"/>
  <c r="G101" i="22"/>
  <c r="G110" i="22"/>
  <c r="P89" i="22"/>
  <c r="O86" i="22"/>
  <c r="G118" i="22"/>
  <c r="H94" i="22"/>
  <c r="P57" i="22"/>
  <c r="P117" i="22"/>
  <c r="O119" i="22"/>
  <c r="G91" i="22"/>
  <c r="P60" i="22"/>
  <c r="N48" i="17"/>
  <c r="P61" i="22"/>
  <c r="O87" i="22"/>
  <c r="P56" i="22"/>
  <c r="O88" i="22"/>
  <c r="O91" i="22"/>
  <c r="P91" i="22"/>
  <c r="P124" i="22"/>
  <c r="P59" i="22"/>
  <c r="O93" i="22"/>
  <c r="H92" i="22"/>
  <c r="F69" i="17"/>
  <c r="O122" i="22"/>
  <c r="H89" i="22"/>
  <c r="P94" i="22"/>
  <c r="G122" i="22"/>
  <c r="G89" i="22"/>
  <c r="P55" i="22"/>
  <c r="O92" i="22"/>
  <c r="N62" i="17"/>
  <c r="P119" i="22"/>
  <c r="O85" i="22"/>
  <c r="P85" i="22"/>
  <c r="G93" i="22"/>
  <c r="P87" i="22"/>
  <c r="H87" i="22"/>
  <c r="O89" i="22"/>
  <c r="H90" i="22"/>
  <c r="P116" i="22"/>
  <c r="P93" i="22"/>
  <c r="H88" i="22"/>
  <c r="P121" i="22"/>
  <c r="P62" i="22"/>
  <c r="P58" i="22"/>
  <c r="P122" i="22"/>
  <c r="P86" i="22"/>
  <c r="G94" i="22"/>
  <c r="P88" i="22"/>
  <c r="G92" i="22"/>
  <c r="F62" i="17"/>
  <c r="O118" i="22"/>
  <c r="P90" i="22"/>
  <c r="P54" i="22"/>
  <c r="O90" i="22"/>
  <c r="H93" i="22"/>
  <c r="G86" i="22"/>
  <c r="P92" i="22"/>
  <c r="N69" i="17"/>
  <c r="G88" i="22"/>
  <c r="G85" i="22"/>
  <c r="H91" i="22"/>
  <c r="P118" i="22"/>
  <c r="G87" i="22"/>
  <c r="H86" i="22"/>
  <c r="H85" i="22"/>
  <c r="G90" i="22"/>
  <c r="O94" i="22"/>
  <c r="P53" i="22"/>
  <c r="O68" i="17"/>
  <c r="P68" i="17"/>
  <c r="O42" i="22"/>
  <c r="G45" i="22"/>
  <c r="S12" i="22"/>
  <c r="I12" i="22"/>
  <c r="G109" i="22"/>
  <c r="G41" i="22"/>
  <c r="H37" i="22"/>
  <c r="H38" i="22"/>
  <c r="G68" i="17"/>
  <c r="H68" i="17"/>
  <c r="O43" i="22"/>
  <c r="I29" i="26"/>
  <c r="K29" i="26"/>
  <c r="X20" i="26"/>
  <c r="H44" i="22"/>
  <c r="F47" i="17"/>
  <c r="G33" i="29"/>
  <c r="G34" i="29"/>
  <c r="G35" i="29"/>
  <c r="H61" i="17"/>
  <c r="F54" i="17"/>
  <c r="G61" i="17"/>
  <c r="AB18" i="26"/>
  <c r="AB21" i="26"/>
  <c r="R29" i="26"/>
  <c r="T29" i="26"/>
  <c r="AB21" i="19"/>
  <c r="V19" i="19"/>
  <c r="H103" i="22"/>
  <c r="W19" i="26"/>
  <c r="U13" i="26"/>
  <c r="O109" i="22"/>
  <c r="G43" i="22"/>
  <c r="O37" i="22"/>
  <c r="Q31" i="20"/>
  <c r="T31" i="20"/>
  <c r="X20" i="19"/>
  <c r="U10" i="37"/>
  <c r="R28" i="37"/>
  <c r="T28" i="37"/>
  <c r="U19" i="37"/>
  <c r="V19" i="37"/>
  <c r="H28" i="37"/>
  <c r="I29" i="36"/>
  <c r="K29" i="36"/>
  <c r="X20" i="36"/>
  <c r="W19" i="36"/>
  <c r="X19" i="36"/>
  <c r="I28" i="36"/>
  <c r="U13" i="36"/>
  <c r="S28" i="36"/>
  <c r="U28" i="36"/>
  <c r="X20" i="37"/>
  <c r="I29" i="37"/>
  <c r="K29" i="37"/>
  <c r="U13" i="37"/>
  <c r="S28" i="37"/>
  <c r="U28" i="37"/>
  <c r="W19" i="37"/>
  <c r="X19" i="37"/>
  <c r="I28" i="37"/>
  <c r="J28" i="36"/>
  <c r="P47" i="22"/>
  <c r="P40" i="17"/>
  <c r="H82" i="17"/>
  <c r="F75" i="17"/>
  <c r="G75" i="17"/>
  <c r="H89" i="17"/>
  <c r="G89" i="17"/>
  <c r="G40" i="17"/>
  <c r="G47" i="22"/>
  <c r="H111" i="22"/>
  <c r="P63" i="22"/>
  <c r="G111" i="22"/>
  <c r="O47" i="22"/>
  <c r="H95" i="22"/>
  <c r="H47" i="22"/>
  <c r="O111" i="22"/>
  <c r="G95" i="22"/>
  <c r="P95" i="22"/>
  <c r="O95" i="22"/>
  <c r="P111" i="22"/>
  <c r="F103" i="17"/>
  <c r="F97" i="17"/>
  <c r="F101" i="17"/>
  <c r="F95" i="17"/>
  <c r="N75" i="17"/>
  <c r="O82" i="17"/>
  <c r="P82" i="17"/>
  <c r="V19" i="26"/>
  <c r="F63" i="17"/>
  <c r="G62" i="17"/>
  <c r="H62" i="17"/>
  <c r="F55" i="17"/>
  <c r="O48" i="17"/>
  <c r="P48" i="17"/>
  <c r="H109" i="17"/>
  <c r="G109" i="17"/>
  <c r="H28" i="19"/>
  <c r="Y9" i="18"/>
  <c r="G47" i="17"/>
  <c r="H47" i="17"/>
  <c r="F33" i="17"/>
  <c r="H108" i="17"/>
  <c r="G108" i="17"/>
  <c r="T12" i="22"/>
  <c r="E30" i="22"/>
  <c r="F70" i="17"/>
  <c r="G69" i="17"/>
  <c r="H69" i="17"/>
  <c r="O54" i="17"/>
  <c r="P54" i="17"/>
  <c r="G107" i="17"/>
  <c r="H107" i="17"/>
  <c r="G54" i="17"/>
  <c r="H54" i="17"/>
  <c r="R28" i="26"/>
  <c r="P69" i="17"/>
  <c r="N70" i="17"/>
  <c r="O69" i="17"/>
  <c r="U28" i="19"/>
  <c r="Q29" i="20"/>
  <c r="O89" i="17"/>
  <c r="P89" i="17"/>
  <c r="P47" i="17"/>
  <c r="N49" i="17"/>
  <c r="O47" i="17"/>
  <c r="N33" i="17"/>
  <c r="H55" i="22"/>
  <c r="G58" i="22"/>
  <c r="H53" i="22"/>
  <c r="P123" i="22"/>
  <c r="N90" i="17"/>
  <c r="N91" i="17"/>
  <c r="O120" i="22"/>
  <c r="H60" i="22"/>
  <c r="F48" i="17"/>
  <c r="H122" i="22"/>
  <c r="G61" i="22"/>
  <c r="O62" i="22"/>
  <c r="H54" i="22"/>
  <c r="O59" i="22"/>
  <c r="G120" i="22"/>
  <c r="G54" i="22"/>
  <c r="G56" i="22"/>
  <c r="O60" i="22"/>
  <c r="N41" i="17"/>
  <c r="O117" i="22"/>
  <c r="H56" i="22"/>
  <c r="O56" i="22"/>
  <c r="O61" i="22"/>
  <c r="O55" i="22"/>
  <c r="G119" i="22"/>
  <c r="G123" i="22"/>
  <c r="F83" i="17"/>
  <c r="H117" i="22"/>
  <c r="G121" i="22"/>
  <c r="O125" i="22"/>
  <c r="G62" i="22"/>
  <c r="H118" i="22"/>
  <c r="H62" i="22"/>
  <c r="H116" i="22"/>
  <c r="G59" i="22"/>
  <c r="G53" i="22"/>
  <c r="H124" i="22"/>
  <c r="G55" i="22"/>
  <c r="O123" i="22"/>
  <c r="N83" i="17"/>
  <c r="N84" i="17"/>
  <c r="H119" i="22"/>
  <c r="H58" i="22"/>
  <c r="H120" i="22"/>
  <c r="G116" i="22"/>
  <c r="G57" i="22"/>
  <c r="H61" i="22"/>
  <c r="H121" i="22"/>
  <c r="G60" i="22"/>
  <c r="F41" i="17"/>
  <c r="G125" i="22"/>
  <c r="O53" i="22"/>
  <c r="O54" i="22"/>
  <c r="G124" i="22"/>
  <c r="O57" i="22"/>
  <c r="O121" i="22"/>
  <c r="O116" i="22"/>
  <c r="H123" i="22"/>
  <c r="F90" i="17"/>
  <c r="H59" i="22"/>
  <c r="P125" i="22"/>
  <c r="H57" i="22"/>
  <c r="P120" i="22"/>
  <c r="G117" i="22"/>
  <c r="H125" i="22"/>
  <c r="O124" i="22"/>
  <c r="O58" i="22"/>
  <c r="F96" i="17"/>
  <c r="F102" i="17"/>
  <c r="O62" i="17"/>
  <c r="P62" i="17"/>
  <c r="N63" i="17"/>
  <c r="N55" i="17"/>
  <c r="AC21" i="19"/>
  <c r="X19" i="19"/>
  <c r="AC18" i="26"/>
  <c r="AC21" i="26"/>
  <c r="S29" i="26"/>
  <c r="U29" i="26"/>
  <c r="G31" i="20"/>
  <c r="K29" i="19"/>
  <c r="S31" i="20"/>
  <c r="R31" i="20"/>
  <c r="J28" i="37"/>
  <c r="F116" i="20"/>
  <c r="K28" i="37"/>
  <c r="G116" i="20"/>
  <c r="G117" i="20"/>
  <c r="K28" i="36"/>
  <c r="H75" i="17"/>
  <c r="G126" i="22"/>
  <c r="O63" i="22"/>
  <c r="O126" i="22"/>
  <c r="H126" i="22"/>
  <c r="P126" i="22"/>
  <c r="G63" i="22"/>
  <c r="H63" i="22"/>
  <c r="O91" i="17"/>
  <c r="P91" i="17"/>
  <c r="O84" i="17"/>
  <c r="N77" i="17"/>
  <c r="P84" i="17"/>
  <c r="H31" i="20"/>
  <c r="J31" i="20"/>
  <c r="I31" i="20"/>
  <c r="Z9" i="18"/>
  <c r="H7" i="18"/>
  <c r="G41" i="17"/>
  <c r="F34" i="17"/>
  <c r="H41" i="17"/>
  <c r="F42" i="17"/>
  <c r="F49" i="17"/>
  <c r="G48" i="17"/>
  <c r="H48" i="17"/>
  <c r="F29" i="20"/>
  <c r="J28" i="19"/>
  <c r="I28" i="19"/>
  <c r="Y10" i="18"/>
  <c r="R29" i="20"/>
  <c r="T29" i="20"/>
  <c r="S29" i="20"/>
  <c r="P75" i="17"/>
  <c r="O75" i="17"/>
  <c r="O90" i="17"/>
  <c r="P90" i="17"/>
  <c r="X19" i="26"/>
  <c r="N56" i="17"/>
  <c r="P63" i="17"/>
  <c r="O63" i="17"/>
  <c r="N42" i="17"/>
  <c r="P41" i="17"/>
  <c r="N34" i="17"/>
  <c r="O41" i="17"/>
  <c r="H70" i="17"/>
  <c r="G70" i="17"/>
  <c r="S28" i="26"/>
  <c r="O55" i="17"/>
  <c r="P55" i="17"/>
  <c r="F91" i="17"/>
  <c r="G90" i="17"/>
  <c r="H90" i="17"/>
  <c r="O70" i="17"/>
  <c r="P70" i="17"/>
  <c r="G55" i="17"/>
  <c r="H55" i="17"/>
  <c r="G102" i="17"/>
  <c r="H102" i="17"/>
  <c r="P33" i="17"/>
  <c r="O33" i="17"/>
  <c r="P30" i="20"/>
  <c r="T28" i="26"/>
  <c r="H95" i="17"/>
  <c r="G95" i="17"/>
  <c r="G96" i="17"/>
  <c r="H96" i="17"/>
  <c r="H101" i="17"/>
  <c r="G101" i="17"/>
  <c r="P83" i="17"/>
  <c r="N76" i="17"/>
  <c r="O83" i="17"/>
  <c r="F84" i="17"/>
  <c r="F76" i="17"/>
  <c r="H83" i="17"/>
  <c r="G83" i="17"/>
  <c r="O49" i="17"/>
  <c r="P49" i="17"/>
  <c r="G33" i="17"/>
  <c r="H33" i="17"/>
  <c r="G63" i="17"/>
  <c r="F56" i="17"/>
  <c r="H63" i="17"/>
  <c r="G97" i="17"/>
  <c r="H97" i="17"/>
  <c r="I15" i="27"/>
  <c r="H28" i="26"/>
  <c r="H103" i="17"/>
  <c r="G103" i="17"/>
  <c r="J117" i="20"/>
  <c r="H117" i="20"/>
  <c r="I117" i="20"/>
  <c r="H116" i="20"/>
  <c r="J116" i="20"/>
  <c r="I116" i="20"/>
  <c r="H34" i="17"/>
  <c r="G34" i="17"/>
  <c r="P34" i="17"/>
  <c r="O34" i="17"/>
  <c r="I7" i="18"/>
  <c r="S7" i="18"/>
  <c r="H8" i="18"/>
  <c r="H11" i="18"/>
  <c r="H9" i="18"/>
  <c r="E22" i="18"/>
  <c r="O42" i="17"/>
  <c r="P42" i="17"/>
  <c r="N35" i="17"/>
  <c r="Z10" i="18"/>
  <c r="J7" i="18"/>
  <c r="G29" i="20"/>
  <c r="K28" i="19"/>
  <c r="P56" i="17"/>
  <c r="O56" i="17"/>
  <c r="G91" i="17"/>
  <c r="H91" i="17"/>
  <c r="H7" i="27"/>
  <c r="H8" i="27"/>
  <c r="H10" i="27"/>
  <c r="H12" i="27"/>
  <c r="H11" i="27"/>
  <c r="H9" i="27"/>
  <c r="H76" i="17"/>
  <c r="G76" i="17"/>
  <c r="I28" i="26"/>
  <c r="K15" i="27"/>
  <c r="F30" i="20"/>
  <c r="J28" i="26"/>
  <c r="H84" i="17"/>
  <c r="F77" i="17"/>
  <c r="G84" i="17"/>
  <c r="O77" i="17"/>
  <c r="P77" i="17"/>
  <c r="U28" i="26"/>
  <c r="Q30" i="20"/>
  <c r="H49" i="17"/>
  <c r="G49" i="17"/>
  <c r="P76" i="17"/>
  <c r="O76" i="17"/>
  <c r="H42" i="17"/>
  <c r="G42" i="17"/>
  <c r="F35" i="17"/>
  <c r="G56" i="17"/>
  <c r="H56" i="17"/>
  <c r="E27" i="27"/>
  <c r="I12" i="27"/>
  <c r="P35" i="17"/>
  <c r="O35" i="17"/>
  <c r="E25" i="27"/>
  <c r="I10" i="27"/>
  <c r="G35" i="17"/>
  <c r="H35" i="17"/>
  <c r="G77" i="17"/>
  <c r="H77" i="17"/>
  <c r="E23" i="27"/>
  <c r="I8" i="27"/>
  <c r="J9" i="27"/>
  <c r="J8" i="27"/>
  <c r="J11" i="27"/>
  <c r="J7" i="27"/>
  <c r="J10" i="27"/>
  <c r="J12" i="27"/>
  <c r="I7" i="27"/>
  <c r="E22" i="27"/>
  <c r="R39" i="18"/>
  <c r="R42" i="18"/>
  <c r="Q72" i="18"/>
  <c r="R43" i="18"/>
  <c r="H46" i="18"/>
  <c r="Q74" i="18"/>
  <c r="G77" i="18"/>
  <c r="F64" i="20"/>
  <c r="G73" i="18"/>
  <c r="R40" i="18"/>
  <c r="Q77" i="18"/>
  <c r="P64" i="20"/>
  <c r="R78" i="18"/>
  <c r="G79" i="18"/>
  <c r="Q104" i="18"/>
  <c r="R70" i="18"/>
  <c r="H74" i="18"/>
  <c r="Q79" i="18"/>
  <c r="Q105" i="18"/>
  <c r="R72" i="18"/>
  <c r="R79" i="18"/>
  <c r="H75" i="18"/>
  <c r="H47" i="18"/>
  <c r="R77" i="18"/>
  <c r="P71" i="20"/>
  <c r="G74" i="18"/>
  <c r="H72" i="18"/>
  <c r="R71" i="18"/>
  <c r="G104" i="18"/>
  <c r="G76" i="18"/>
  <c r="H71" i="18"/>
  <c r="G70" i="18"/>
  <c r="Q73" i="18"/>
  <c r="R44" i="18"/>
  <c r="G75" i="18"/>
  <c r="R46" i="18"/>
  <c r="H76" i="18"/>
  <c r="G72" i="18"/>
  <c r="R74" i="18"/>
  <c r="Q75" i="18"/>
  <c r="G71" i="18"/>
  <c r="R73" i="18"/>
  <c r="R41" i="18"/>
  <c r="Q108" i="18"/>
  <c r="Q76" i="18"/>
  <c r="R47" i="18"/>
  <c r="R75" i="18"/>
  <c r="R38" i="18"/>
  <c r="H79" i="18"/>
  <c r="R102" i="18"/>
  <c r="Q102" i="18"/>
  <c r="H77" i="18"/>
  <c r="F71" i="20"/>
  <c r="Q70" i="18"/>
  <c r="H70" i="18"/>
  <c r="G108" i="18"/>
  <c r="R76" i="18"/>
  <c r="G78" i="18"/>
  <c r="H73" i="18"/>
  <c r="Q46" i="18"/>
  <c r="H78" i="18"/>
  <c r="Q71" i="18"/>
  <c r="Q78" i="18"/>
  <c r="H10" i="18"/>
  <c r="E23" i="18"/>
  <c r="H110" i="18"/>
  <c r="S9" i="18"/>
  <c r="I9" i="18"/>
  <c r="S11" i="18"/>
  <c r="T11" i="18"/>
  <c r="H12" i="18"/>
  <c r="I11" i="18"/>
  <c r="S8" i="18"/>
  <c r="T8" i="18"/>
  <c r="I8" i="18"/>
  <c r="G30" i="20"/>
  <c r="K28" i="26"/>
  <c r="T7" i="18"/>
  <c r="E28" i="18"/>
  <c r="R30" i="20"/>
  <c r="S30" i="20"/>
  <c r="T30" i="20"/>
  <c r="I29" i="20"/>
  <c r="J29" i="20"/>
  <c r="H29" i="20"/>
  <c r="E24" i="27"/>
  <c r="I9" i="27"/>
  <c r="J9" i="18"/>
  <c r="J11" i="18"/>
  <c r="K7" i="18"/>
  <c r="J8" i="18"/>
  <c r="U7" i="18"/>
  <c r="F22" i="18"/>
  <c r="I11" i="27"/>
  <c r="E26" i="27"/>
  <c r="H80" i="18"/>
  <c r="Q80" i="18"/>
  <c r="R80" i="18"/>
  <c r="G80" i="18"/>
  <c r="Q110" i="18"/>
  <c r="H41" i="18"/>
  <c r="H40" i="18"/>
  <c r="G47" i="18"/>
  <c r="H44" i="18"/>
  <c r="Q103" i="18"/>
  <c r="Q106" i="18"/>
  <c r="H109" i="18"/>
  <c r="F92" i="20"/>
  <c r="Q40" i="18"/>
  <c r="H42" i="18"/>
  <c r="G105" i="18"/>
  <c r="Q45" i="18"/>
  <c r="P43" i="20"/>
  <c r="G42" i="18"/>
  <c r="G103" i="18"/>
  <c r="Q43" i="18"/>
  <c r="F24" i="27"/>
  <c r="K9" i="27"/>
  <c r="R107" i="18"/>
  <c r="G106" i="18"/>
  <c r="H43" i="18"/>
  <c r="Q39" i="18"/>
  <c r="G43" i="18"/>
  <c r="H104" i="18"/>
  <c r="G38" i="18"/>
  <c r="Q41" i="18"/>
  <c r="G111" i="18"/>
  <c r="R108" i="18"/>
  <c r="T41" i="18"/>
  <c r="S77" i="18"/>
  <c r="Q64" i="20"/>
  <c r="J72" i="18"/>
  <c r="T40" i="18"/>
  <c r="S72" i="18"/>
  <c r="T75" i="18"/>
  <c r="S74" i="18"/>
  <c r="J71" i="18"/>
  <c r="I72" i="18"/>
  <c r="T42" i="18"/>
  <c r="J47" i="18"/>
  <c r="T72" i="18"/>
  <c r="T39" i="18"/>
  <c r="T47" i="18"/>
  <c r="S75" i="18"/>
  <c r="T46" i="18"/>
  <c r="S46" i="18"/>
  <c r="I78" i="18"/>
  <c r="T79" i="18"/>
  <c r="S105" i="18"/>
  <c r="S102" i="18"/>
  <c r="T38" i="18"/>
  <c r="T78" i="18"/>
  <c r="T71" i="18"/>
  <c r="J77" i="18"/>
  <c r="G71" i="20"/>
  <c r="T77" i="18"/>
  <c r="Q71" i="20"/>
  <c r="S70" i="18"/>
  <c r="S104" i="18"/>
  <c r="T44" i="18"/>
  <c r="S108" i="18"/>
  <c r="I70" i="18"/>
  <c r="J78" i="18"/>
  <c r="J46" i="18"/>
  <c r="S78" i="18"/>
  <c r="T74" i="18"/>
  <c r="I77" i="18"/>
  <c r="G64" i="20"/>
  <c r="J70" i="18"/>
  <c r="S71" i="18"/>
  <c r="J74" i="18"/>
  <c r="S79" i="18"/>
  <c r="I74" i="18"/>
  <c r="S73" i="18"/>
  <c r="I108" i="18"/>
  <c r="T76" i="18"/>
  <c r="J76" i="18"/>
  <c r="T70" i="18"/>
  <c r="T73" i="18"/>
  <c r="J73" i="18"/>
  <c r="I75" i="18"/>
  <c r="I71" i="18"/>
  <c r="T102" i="18"/>
  <c r="J75" i="18"/>
  <c r="T43" i="18"/>
  <c r="I73" i="18"/>
  <c r="I76" i="18"/>
  <c r="J79" i="18"/>
  <c r="I104" i="18"/>
  <c r="S76" i="18"/>
  <c r="I79" i="18"/>
  <c r="H103" i="18"/>
  <c r="G39" i="18"/>
  <c r="G107" i="18"/>
  <c r="G44" i="18"/>
  <c r="H105" i="18"/>
  <c r="F28" i="18"/>
  <c r="V7" i="18"/>
  <c r="E29" i="18"/>
  <c r="H119" i="18"/>
  <c r="T9" i="18"/>
  <c r="Q47" i="18"/>
  <c r="G41" i="18"/>
  <c r="H108" i="18"/>
  <c r="R105" i="18"/>
  <c r="Q109" i="18"/>
  <c r="P85" i="20"/>
  <c r="Q93" i="18"/>
  <c r="P65" i="20"/>
  <c r="P66" i="20"/>
  <c r="H89" i="18"/>
  <c r="H94" i="18"/>
  <c r="G91" i="18"/>
  <c r="G92" i="18"/>
  <c r="H86" i="18"/>
  <c r="G90" i="18"/>
  <c r="R56" i="18"/>
  <c r="G119" i="18"/>
  <c r="Q94" i="18"/>
  <c r="R61" i="18"/>
  <c r="P51" i="20"/>
  <c r="G123" i="18"/>
  <c r="R86" i="18"/>
  <c r="H91" i="18"/>
  <c r="R92" i="18"/>
  <c r="Q90" i="18"/>
  <c r="H90" i="18"/>
  <c r="H95" i="18"/>
  <c r="G95" i="18"/>
  <c r="Q120" i="18"/>
  <c r="Q86" i="18"/>
  <c r="Q95" i="18"/>
  <c r="R57" i="18"/>
  <c r="Q92" i="18"/>
  <c r="R58" i="18"/>
  <c r="G94" i="18"/>
  <c r="H88" i="18"/>
  <c r="R89" i="18"/>
  <c r="Q88" i="18"/>
  <c r="G93" i="18"/>
  <c r="F65" i="20"/>
  <c r="H92" i="18"/>
  <c r="R88" i="18"/>
  <c r="R87" i="18"/>
  <c r="Q89" i="18"/>
  <c r="R90" i="18"/>
  <c r="H93" i="18"/>
  <c r="F72" i="20"/>
  <c r="F73" i="20"/>
  <c r="R94" i="18"/>
  <c r="Q117" i="18"/>
  <c r="Q123" i="18"/>
  <c r="R63" i="18"/>
  <c r="H87" i="18"/>
  <c r="Q87" i="18"/>
  <c r="G88" i="18"/>
  <c r="R55" i="18"/>
  <c r="R54" i="18"/>
  <c r="R60" i="18"/>
  <c r="Q119" i="18"/>
  <c r="R95" i="18"/>
  <c r="Q91" i="18"/>
  <c r="R93" i="18"/>
  <c r="P72" i="20"/>
  <c r="P73" i="20"/>
  <c r="R59" i="18"/>
  <c r="R91" i="18"/>
  <c r="R117" i="18"/>
  <c r="G89" i="18"/>
  <c r="G86" i="18"/>
  <c r="R62" i="18"/>
  <c r="G87" i="18"/>
  <c r="K8" i="18"/>
  <c r="U8" i="18"/>
  <c r="V8" i="18"/>
  <c r="Q42" i="18"/>
  <c r="H45" i="18"/>
  <c r="F50" i="20"/>
  <c r="H111" i="18"/>
  <c r="Q111" i="18"/>
  <c r="H102" i="18"/>
  <c r="G33" i="27"/>
  <c r="G35" i="27"/>
  <c r="G34" i="27"/>
  <c r="J12" i="18"/>
  <c r="K11" i="18"/>
  <c r="U11" i="18"/>
  <c r="V11" i="18"/>
  <c r="G109" i="18"/>
  <c r="F85" i="20"/>
  <c r="J10" i="18"/>
  <c r="K9" i="18"/>
  <c r="U9" i="18"/>
  <c r="F23" i="18"/>
  <c r="T110" i="18"/>
  <c r="Q107" i="18"/>
  <c r="G110" i="18"/>
  <c r="H39" i="18"/>
  <c r="R110" i="18"/>
  <c r="R45" i="18"/>
  <c r="P50" i="20"/>
  <c r="P57" i="20"/>
  <c r="F27" i="27"/>
  <c r="K12" i="27"/>
  <c r="R106" i="18"/>
  <c r="H34" i="27"/>
  <c r="F111" i="20"/>
  <c r="H35" i="27"/>
  <c r="F112" i="20"/>
  <c r="H33" i="27"/>
  <c r="F110" i="20"/>
  <c r="S10" i="18"/>
  <c r="T10" i="18"/>
  <c r="I10" i="18"/>
  <c r="J30" i="20"/>
  <c r="H30" i="20"/>
  <c r="I30" i="20"/>
  <c r="Q38" i="18"/>
  <c r="H107" i="18"/>
  <c r="F25" i="27"/>
  <c r="K10" i="27"/>
  <c r="G102" i="18"/>
  <c r="G46" i="18"/>
  <c r="H38" i="18"/>
  <c r="G45" i="18"/>
  <c r="F43" i="20"/>
  <c r="R109" i="18"/>
  <c r="P92" i="20"/>
  <c r="K7" i="27"/>
  <c r="F22" i="27"/>
  <c r="F57" i="20"/>
  <c r="K11" i="27"/>
  <c r="F26" i="27"/>
  <c r="R103" i="18"/>
  <c r="G40" i="18"/>
  <c r="Q44" i="18"/>
  <c r="H106" i="18"/>
  <c r="K8" i="27"/>
  <c r="F23" i="27"/>
  <c r="I12" i="18"/>
  <c r="S12" i="18"/>
  <c r="T12" i="18"/>
  <c r="R111" i="18"/>
  <c r="R104" i="18"/>
  <c r="R112" i="18"/>
  <c r="Q112" i="18"/>
  <c r="J80" i="18"/>
  <c r="R96" i="18"/>
  <c r="G112" i="18"/>
  <c r="S80" i="18"/>
  <c r="Q48" i="18"/>
  <c r="R64" i="18"/>
  <c r="Q96" i="18"/>
  <c r="T80" i="18"/>
  <c r="G48" i="18"/>
  <c r="G96" i="18"/>
  <c r="I80" i="18"/>
  <c r="R48" i="18"/>
  <c r="H96" i="18"/>
  <c r="H48" i="18"/>
  <c r="H112" i="18"/>
  <c r="P52" i="20"/>
  <c r="F58" i="20"/>
  <c r="P59" i="20"/>
  <c r="R119" i="18"/>
  <c r="G125" i="18"/>
  <c r="R124" i="18"/>
  <c r="P93" i="20"/>
  <c r="P94" i="20"/>
  <c r="R125" i="18"/>
  <c r="H118" i="18"/>
  <c r="R121" i="18"/>
  <c r="H60" i="18"/>
  <c r="G58" i="18"/>
  <c r="H54" i="18"/>
  <c r="R118" i="18"/>
  <c r="G122" i="18"/>
  <c r="Q121" i="18"/>
  <c r="G121" i="18"/>
  <c r="G54" i="18"/>
  <c r="R122" i="18"/>
  <c r="Q62" i="18"/>
  <c r="G120" i="18"/>
  <c r="G126" i="18"/>
  <c r="G124" i="18"/>
  <c r="F86" i="20"/>
  <c r="F87" i="20"/>
  <c r="R126" i="18"/>
  <c r="Q122" i="18"/>
  <c r="G55" i="18"/>
  <c r="H124" i="18"/>
  <c r="F93" i="20"/>
  <c r="F94" i="20"/>
  <c r="Q126" i="18"/>
  <c r="Q55" i="18"/>
  <c r="P36" i="20"/>
  <c r="P78" i="20"/>
  <c r="F105" i="20"/>
  <c r="F99" i="20"/>
  <c r="H121" i="18"/>
  <c r="G59" i="18"/>
  <c r="T105" i="18"/>
  <c r="I106" i="18"/>
  <c r="I46" i="18"/>
  <c r="S109" i="18"/>
  <c r="Q85" i="20"/>
  <c r="T106" i="18"/>
  <c r="F106" i="20"/>
  <c r="F100" i="20"/>
  <c r="Q118" i="18"/>
  <c r="H59" i="18"/>
  <c r="H55" i="18"/>
  <c r="H57" i="18"/>
  <c r="T108" i="18"/>
  <c r="S47" i="18"/>
  <c r="S45" i="18"/>
  <c r="Q43" i="20"/>
  <c r="I47" i="18"/>
  <c r="J106" i="18"/>
  <c r="F66" i="20"/>
  <c r="F59" i="20"/>
  <c r="F98" i="20"/>
  <c r="F104" i="20"/>
  <c r="G118" i="18"/>
  <c r="Q54" i="18"/>
  <c r="H63" i="18"/>
  <c r="H126" i="18"/>
  <c r="Q59" i="18"/>
  <c r="S106" i="18"/>
  <c r="T103" i="18"/>
  <c r="S111" i="18"/>
  <c r="S44" i="18"/>
  <c r="I43" i="18"/>
  <c r="I107" i="18"/>
  <c r="J111" i="18"/>
  <c r="S42" i="18"/>
  <c r="I39" i="18"/>
  <c r="S71" i="20"/>
  <c r="T71" i="20"/>
  <c r="R71" i="20"/>
  <c r="J34" i="27"/>
  <c r="G111" i="20"/>
  <c r="J33" i="27"/>
  <c r="G110" i="20"/>
  <c r="J35" i="27"/>
  <c r="G112" i="20"/>
  <c r="J45" i="18"/>
  <c r="G50" i="20"/>
  <c r="I40" i="18"/>
  <c r="S43" i="18"/>
  <c r="J41" i="18"/>
  <c r="J71" i="20"/>
  <c r="H71" i="20"/>
  <c r="I71" i="20"/>
  <c r="J104" i="18"/>
  <c r="T107" i="18"/>
  <c r="V9" i="18"/>
  <c r="F29" i="18"/>
  <c r="T123" i="18"/>
  <c r="H125" i="18"/>
  <c r="Q124" i="18"/>
  <c r="P86" i="20"/>
  <c r="Q56" i="18"/>
  <c r="H61" i="18"/>
  <c r="F51" i="20"/>
  <c r="F52" i="20"/>
  <c r="G60" i="18"/>
  <c r="J86" i="18"/>
  <c r="S89" i="18"/>
  <c r="I119" i="18"/>
  <c r="S92" i="18"/>
  <c r="I90" i="18"/>
  <c r="T54" i="18"/>
  <c r="S90" i="18"/>
  <c r="I91" i="18"/>
  <c r="S93" i="18"/>
  <c r="Q65" i="20"/>
  <c r="Q66" i="20"/>
  <c r="T89" i="18"/>
  <c r="J88" i="18"/>
  <c r="J92" i="18"/>
  <c r="S94" i="18"/>
  <c r="S91" i="18"/>
  <c r="I87" i="18"/>
  <c r="J89" i="18"/>
  <c r="T58" i="18"/>
  <c r="T62" i="18"/>
  <c r="I92" i="18"/>
  <c r="I88" i="18"/>
  <c r="T61" i="18"/>
  <c r="Q51" i="20"/>
  <c r="I89" i="18"/>
  <c r="T59" i="18"/>
  <c r="T60" i="18"/>
  <c r="S123" i="18"/>
  <c r="T90" i="18"/>
  <c r="J95" i="18"/>
  <c r="J87" i="18"/>
  <c r="T91" i="18"/>
  <c r="I86" i="18"/>
  <c r="T95" i="18"/>
  <c r="S87" i="18"/>
  <c r="I93" i="18"/>
  <c r="G65" i="20"/>
  <c r="T86" i="18"/>
  <c r="S119" i="18"/>
  <c r="J91" i="18"/>
  <c r="S95" i="18"/>
  <c r="J93" i="18"/>
  <c r="G72" i="20"/>
  <c r="S88" i="18"/>
  <c r="J94" i="18"/>
  <c r="S120" i="18"/>
  <c r="T56" i="18"/>
  <c r="T93" i="18"/>
  <c r="Q72" i="20"/>
  <c r="J90" i="18"/>
  <c r="T57" i="18"/>
  <c r="T55" i="18"/>
  <c r="T87" i="18"/>
  <c r="T117" i="18"/>
  <c r="I123" i="18"/>
  <c r="T94" i="18"/>
  <c r="I94" i="18"/>
  <c r="T63" i="18"/>
  <c r="I95" i="18"/>
  <c r="T88" i="18"/>
  <c r="T92" i="18"/>
  <c r="S117" i="18"/>
  <c r="S86" i="18"/>
  <c r="S110" i="18"/>
  <c r="I103" i="18"/>
  <c r="S107" i="18"/>
  <c r="I105" i="18"/>
  <c r="J64" i="20"/>
  <c r="G57" i="20"/>
  <c r="H64" i="20"/>
  <c r="I64" i="20"/>
  <c r="J103" i="18"/>
  <c r="G63" i="18"/>
  <c r="H123" i="18"/>
  <c r="G62" i="18"/>
  <c r="Q61" i="18"/>
  <c r="P44" i="20"/>
  <c r="G57" i="18"/>
  <c r="S40" i="18"/>
  <c r="I109" i="18"/>
  <c r="G85" i="20"/>
  <c r="J107" i="18"/>
  <c r="I45" i="18"/>
  <c r="G43" i="20"/>
  <c r="I110" i="18"/>
  <c r="U10" i="18"/>
  <c r="V10" i="18"/>
  <c r="K10" i="18"/>
  <c r="I41" i="18"/>
  <c r="S38" i="18"/>
  <c r="J44" i="18"/>
  <c r="I111" i="18"/>
  <c r="J102" i="18"/>
  <c r="I34" i="27"/>
  <c r="I35" i="27"/>
  <c r="I33" i="27"/>
  <c r="F78" i="20"/>
  <c r="G56" i="18"/>
  <c r="H120" i="18"/>
  <c r="Q63" i="18"/>
  <c r="G117" i="18"/>
  <c r="P58" i="20"/>
  <c r="S103" i="18"/>
  <c r="I102" i="18"/>
  <c r="I44" i="18"/>
  <c r="J105" i="18"/>
  <c r="J43" i="18"/>
  <c r="Q57" i="20"/>
  <c r="T64" i="20"/>
  <c r="S64" i="20"/>
  <c r="R64" i="20"/>
  <c r="H62" i="18"/>
  <c r="Q58" i="18"/>
  <c r="Q125" i="18"/>
  <c r="R120" i="18"/>
  <c r="H117" i="18"/>
  <c r="Q57" i="18"/>
  <c r="J109" i="18"/>
  <c r="G92" i="20"/>
  <c r="T111" i="18"/>
  <c r="T45" i="18"/>
  <c r="Q50" i="20"/>
  <c r="S39" i="18"/>
  <c r="J39" i="18"/>
  <c r="J42" i="18"/>
  <c r="J110" i="18"/>
  <c r="J108" i="18"/>
  <c r="T109" i="18"/>
  <c r="Q92" i="20"/>
  <c r="F36" i="20"/>
  <c r="K12" i="18"/>
  <c r="U12" i="18"/>
  <c r="V12" i="18"/>
  <c r="H122" i="18"/>
  <c r="Q60" i="18"/>
  <c r="G61" i="18"/>
  <c r="F44" i="20"/>
  <c r="R123" i="18"/>
  <c r="H56" i="18"/>
  <c r="H58" i="18"/>
  <c r="J38" i="18"/>
  <c r="I42" i="18"/>
  <c r="I38" i="18"/>
  <c r="T104" i="18"/>
  <c r="S41" i="18"/>
  <c r="J40" i="18"/>
  <c r="Q127" i="18"/>
  <c r="T48" i="18"/>
  <c r="S112" i="18"/>
  <c r="S96" i="18"/>
  <c r="R127" i="18"/>
  <c r="G64" i="18"/>
  <c r="T112" i="18"/>
  <c r="T64" i="18"/>
  <c r="J96" i="18"/>
  <c r="J112" i="18"/>
  <c r="T96" i="18"/>
  <c r="H64" i="18"/>
  <c r="J48" i="18"/>
  <c r="H127" i="18"/>
  <c r="S48" i="18"/>
  <c r="G127" i="18"/>
  <c r="I96" i="18"/>
  <c r="I112" i="18"/>
  <c r="I48" i="18"/>
  <c r="Q64" i="18"/>
  <c r="J126" i="18"/>
  <c r="J119" i="18"/>
  <c r="F37" i="20"/>
  <c r="S126" i="18"/>
  <c r="I126" i="18"/>
  <c r="T121" i="18"/>
  <c r="J56" i="18"/>
  <c r="I55" i="18"/>
  <c r="T125" i="18"/>
  <c r="F80" i="20"/>
  <c r="I56" i="18"/>
  <c r="S57" i="18"/>
  <c r="I122" i="18"/>
  <c r="I58" i="18"/>
  <c r="F79" i="20"/>
  <c r="R66" i="20"/>
  <c r="T66" i="20"/>
  <c r="S66" i="20"/>
  <c r="H43" i="20"/>
  <c r="J43" i="20"/>
  <c r="G36" i="20"/>
  <c r="I43" i="20"/>
  <c r="S92" i="20"/>
  <c r="R92" i="20"/>
  <c r="T92" i="20"/>
  <c r="J125" i="18"/>
  <c r="I62" i="18"/>
  <c r="I121" i="18"/>
  <c r="I117" i="18"/>
  <c r="J59" i="18"/>
  <c r="T57" i="20"/>
  <c r="S57" i="20"/>
  <c r="R57" i="20"/>
  <c r="G98" i="20"/>
  <c r="G104" i="20"/>
  <c r="I59" i="18"/>
  <c r="S125" i="18"/>
  <c r="J57" i="20"/>
  <c r="I57" i="20"/>
  <c r="H57" i="20"/>
  <c r="S60" i="18"/>
  <c r="T120" i="18"/>
  <c r="S62" i="18"/>
  <c r="S61" i="18"/>
  <c r="Q44" i="20"/>
  <c r="Q45" i="20"/>
  <c r="S58" i="18"/>
  <c r="S55" i="18"/>
  <c r="J61" i="18"/>
  <c r="G51" i="20"/>
  <c r="I54" i="18"/>
  <c r="J60" i="18"/>
  <c r="T118" i="18"/>
  <c r="S124" i="18"/>
  <c r="Q86" i="20"/>
  <c r="J55" i="18"/>
  <c r="S122" i="18"/>
  <c r="J58" i="18"/>
  <c r="T119" i="18"/>
  <c r="G66" i="20"/>
  <c r="H65" i="20"/>
  <c r="J65" i="20"/>
  <c r="G58" i="20"/>
  <c r="I65" i="20"/>
  <c r="R51" i="20"/>
  <c r="T51" i="20"/>
  <c r="S51" i="20"/>
  <c r="R65" i="20"/>
  <c r="T65" i="20"/>
  <c r="S65" i="20"/>
  <c r="Q58" i="20"/>
  <c r="P87" i="20"/>
  <c r="P80" i="20"/>
  <c r="P79" i="20"/>
  <c r="H50" i="20"/>
  <c r="I50" i="20"/>
  <c r="J50" i="20"/>
  <c r="I61" i="18"/>
  <c r="G44" i="20"/>
  <c r="G45" i="20"/>
  <c r="T122" i="18"/>
  <c r="S118" i="18"/>
  <c r="S54" i="18"/>
  <c r="I118" i="18"/>
  <c r="I112" i="20"/>
  <c r="H112" i="20"/>
  <c r="J112" i="20"/>
  <c r="S85" i="20"/>
  <c r="T85" i="20"/>
  <c r="Q78" i="20"/>
  <c r="R85" i="20"/>
  <c r="S72" i="20"/>
  <c r="R72" i="20"/>
  <c r="T72" i="20"/>
  <c r="I110" i="20"/>
  <c r="H110" i="20"/>
  <c r="J110" i="20"/>
  <c r="I111" i="20"/>
  <c r="J111" i="20"/>
  <c r="H111" i="20"/>
  <c r="R43" i="20"/>
  <c r="Q36" i="20"/>
  <c r="S43" i="20"/>
  <c r="T43" i="20"/>
  <c r="I92" i="20"/>
  <c r="H92" i="20"/>
  <c r="J92" i="20"/>
  <c r="J57" i="18"/>
  <c r="Q73" i="20"/>
  <c r="I85" i="20"/>
  <c r="J85" i="20"/>
  <c r="G78" i="20"/>
  <c r="H85" i="20"/>
  <c r="J63" i="18"/>
  <c r="S56" i="18"/>
  <c r="J122" i="18"/>
  <c r="J62" i="18"/>
  <c r="I120" i="18"/>
  <c r="G99" i="20"/>
  <c r="G105" i="20"/>
  <c r="J120" i="18"/>
  <c r="R50" i="20"/>
  <c r="T50" i="20"/>
  <c r="S50" i="20"/>
  <c r="Q52" i="20"/>
  <c r="G100" i="20"/>
  <c r="G106" i="20"/>
  <c r="J124" i="18"/>
  <c r="G93" i="20"/>
  <c r="G94" i="20"/>
  <c r="S63" i="18"/>
  <c r="J118" i="18"/>
  <c r="S59" i="18"/>
  <c r="I60" i="18"/>
  <c r="T126" i="18"/>
  <c r="S121" i="18"/>
  <c r="I125" i="18"/>
  <c r="I63" i="18"/>
  <c r="G73" i="20"/>
  <c r="J72" i="20"/>
  <c r="H72" i="20"/>
  <c r="I72" i="20"/>
  <c r="J54" i="18"/>
  <c r="J123" i="18"/>
  <c r="F45" i="20"/>
  <c r="F38" i="20"/>
  <c r="P37" i="20"/>
  <c r="P45" i="20"/>
  <c r="P38" i="20"/>
  <c r="J117" i="18"/>
  <c r="J121" i="18"/>
  <c r="I57" i="18"/>
  <c r="I124" i="18"/>
  <c r="G86" i="20"/>
  <c r="T124" i="18"/>
  <c r="Q93" i="20"/>
  <c r="S127" i="18"/>
  <c r="T127" i="18"/>
  <c r="S64" i="18"/>
  <c r="J127" i="18"/>
  <c r="I127" i="18"/>
  <c r="J64" i="18"/>
  <c r="I64" i="18"/>
  <c r="J94" i="20"/>
  <c r="H94" i="20"/>
  <c r="I94" i="20"/>
  <c r="I45" i="20"/>
  <c r="H45" i="20"/>
  <c r="J45" i="20"/>
  <c r="I100" i="20"/>
  <c r="H100" i="20"/>
  <c r="J100" i="20"/>
  <c r="H78" i="20"/>
  <c r="J78" i="20"/>
  <c r="I78" i="20"/>
  <c r="R36" i="20"/>
  <c r="S36" i="20"/>
  <c r="T36" i="20"/>
  <c r="S78" i="20"/>
  <c r="R78" i="20"/>
  <c r="T78" i="20"/>
  <c r="I51" i="20"/>
  <c r="H51" i="20"/>
  <c r="J51" i="20"/>
  <c r="I104" i="20"/>
  <c r="H104" i="20"/>
  <c r="J104" i="20"/>
  <c r="I98" i="20"/>
  <c r="H98" i="20"/>
  <c r="J98" i="20"/>
  <c r="R73" i="20"/>
  <c r="S73" i="20"/>
  <c r="T73" i="20"/>
  <c r="I58" i="20"/>
  <c r="H58" i="20"/>
  <c r="J58" i="20"/>
  <c r="I105" i="20"/>
  <c r="J105" i="20"/>
  <c r="H105" i="20"/>
  <c r="I99" i="20"/>
  <c r="J99" i="20"/>
  <c r="H99" i="20"/>
  <c r="Q37" i="20"/>
  <c r="R44" i="20"/>
  <c r="S44" i="20"/>
  <c r="T44" i="20"/>
  <c r="H66" i="20"/>
  <c r="G59" i="20"/>
  <c r="I66" i="20"/>
  <c r="J66" i="20"/>
  <c r="S58" i="20"/>
  <c r="T58" i="20"/>
  <c r="R58" i="20"/>
  <c r="H36" i="20"/>
  <c r="J36" i="20"/>
  <c r="I36" i="20"/>
  <c r="I93" i="20"/>
  <c r="H93" i="20"/>
  <c r="J93" i="20"/>
  <c r="I106" i="20"/>
  <c r="J106" i="20"/>
  <c r="H106" i="20"/>
  <c r="Q87" i="20"/>
  <c r="Q79" i="20"/>
  <c r="R86" i="20"/>
  <c r="S86" i="20"/>
  <c r="T86" i="20"/>
  <c r="R45" i="20"/>
  <c r="S45" i="20"/>
  <c r="T45" i="20"/>
  <c r="Q38" i="20"/>
  <c r="I73" i="20"/>
  <c r="J73" i="20"/>
  <c r="H73" i="20"/>
  <c r="I44" i="20"/>
  <c r="H44" i="20"/>
  <c r="G37" i="20"/>
  <c r="J44" i="20"/>
  <c r="Q59" i="20"/>
  <c r="R93" i="20"/>
  <c r="S93" i="20"/>
  <c r="T93" i="20"/>
  <c r="I86" i="20"/>
  <c r="J86" i="20"/>
  <c r="H86" i="20"/>
  <c r="G79" i="20"/>
  <c r="R52" i="20"/>
  <c r="S52" i="20"/>
  <c r="T52" i="20"/>
  <c r="G87" i="20"/>
  <c r="G52" i="20"/>
  <c r="G38" i="20"/>
  <c r="Q94" i="20"/>
  <c r="S87" i="20"/>
  <c r="R87" i="20"/>
  <c r="T87" i="20"/>
  <c r="H59" i="20"/>
  <c r="J59" i="20"/>
  <c r="I59" i="20"/>
  <c r="S38" i="20"/>
  <c r="T38" i="20"/>
  <c r="R38" i="20"/>
  <c r="Q80" i="20"/>
  <c r="S94" i="20"/>
  <c r="R94" i="20"/>
  <c r="T94" i="20"/>
  <c r="J79" i="20"/>
  <c r="I79" i="20"/>
  <c r="H79" i="20"/>
  <c r="H38" i="20"/>
  <c r="I38" i="20"/>
  <c r="J38" i="20"/>
  <c r="I52" i="20"/>
  <c r="H52" i="20"/>
  <c r="J52" i="20"/>
  <c r="T59" i="20"/>
  <c r="S59" i="20"/>
  <c r="R59" i="20"/>
  <c r="J37" i="20"/>
  <c r="H37" i="20"/>
  <c r="I37" i="20"/>
  <c r="G80" i="20"/>
  <c r="I87" i="20"/>
  <c r="J87" i="20"/>
  <c r="H87" i="20"/>
  <c r="R37" i="20"/>
  <c r="T37" i="20"/>
  <c r="S37" i="20"/>
  <c r="R79" i="20"/>
  <c r="S79" i="20"/>
  <c r="T79" i="20"/>
  <c r="H80" i="20"/>
  <c r="I80" i="20"/>
  <c r="J80" i="20"/>
  <c r="R80" i="20"/>
  <c r="T80" i="20"/>
  <c r="S80" i="20"/>
</calcChain>
</file>

<file path=xl/sharedStrings.xml><?xml version="1.0" encoding="utf-8"?>
<sst xmlns="http://schemas.openxmlformats.org/spreadsheetml/2006/main" count="3561" uniqueCount="711">
  <si>
    <t>Filing Description</t>
  </si>
  <si>
    <t>Revenue Recovery Mechanism</t>
  </si>
  <si>
    <t>Safety Affordability Reliability Proceedings</t>
  </si>
  <si>
    <t>Generation</t>
  </si>
  <si>
    <t>Authority for Revenue Requirement</t>
  </si>
  <si>
    <t>Distribution</t>
  </si>
  <si>
    <t xml:space="preserve">   Subtotal Safety Affordability Reliability</t>
  </si>
  <si>
    <t>Public Policy Proceedings</t>
  </si>
  <si>
    <t xml:space="preserve">   Subtotal Public Policy </t>
  </si>
  <si>
    <t>Non-CPUC Jurisdictional Proceedings</t>
  </si>
  <si>
    <t>Transmission</t>
  </si>
  <si>
    <t xml:space="preserve">   Subtotal Non-CPUC Jurisidictional</t>
  </si>
  <si>
    <t>Pending Application(s), Not Yet Approved</t>
  </si>
  <si>
    <t>Revenue Change ($000)</t>
  </si>
  <si>
    <t>NSGC</t>
  </si>
  <si>
    <t>Public Purpose Program</t>
  </si>
  <si>
    <t>NDC</t>
  </si>
  <si>
    <t>Customer Group</t>
  </si>
  <si>
    <t>Residential</t>
  </si>
  <si>
    <t>Current</t>
  </si>
  <si>
    <t>Proposed</t>
  </si>
  <si>
    <t>Assumptions:</t>
  </si>
  <si>
    <t>Total System</t>
  </si>
  <si>
    <t>Bundled</t>
  </si>
  <si>
    <t>Rates</t>
  </si>
  <si>
    <t>System (Bundled and Unbundled)</t>
  </si>
  <si>
    <t>Tier 1</t>
  </si>
  <si>
    <t>Tier 2</t>
  </si>
  <si>
    <t>System</t>
  </si>
  <si>
    <t>kWh per month</t>
  </si>
  <si>
    <t>Climate Zone</t>
  </si>
  <si>
    <t>Average monthly usage is for all customers (Non-CARE and CARE) based on seasonal usage in</t>
  </si>
  <si>
    <t xml:space="preserve">Residential bill calculated using </t>
  </si>
  <si>
    <t>Summer season</t>
  </si>
  <si>
    <t>months</t>
  </si>
  <si>
    <t>Winter Season</t>
  </si>
  <si>
    <t>MONTHLY BASELINE QUANTITIES -BASIC (kWh)</t>
  </si>
  <si>
    <t>Total System (SAR)</t>
  </si>
  <si>
    <t>Total Residential (RAR)</t>
  </si>
  <si>
    <t>Sales Forecast</t>
  </si>
  <si>
    <t>Revenue</t>
  </si>
  <si>
    <t>Baseline - Summer</t>
  </si>
  <si>
    <t>- Winter</t>
  </si>
  <si>
    <t>101% - 400% of Baseline - Summer</t>
  </si>
  <si>
    <t>401% of Baseline - Summer</t>
  </si>
  <si>
    <t>Daily to Monthly Conversion Factor</t>
  </si>
  <si>
    <t xml:space="preserve">Bundled Residential Rev Req </t>
  </si>
  <si>
    <t>Non-CARE</t>
  </si>
  <si>
    <t>CARE</t>
  </si>
  <si>
    <t xml:space="preserve">Non-CARE bill impact calculated with average summer usage of </t>
  </si>
  <si>
    <t xml:space="preserve">Non-CARE bill impact calculated with average winter usage of </t>
  </si>
  <si>
    <t xml:space="preserve">CARE bill impact calculated with average summer usage of </t>
  </si>
  <si>
    <t xml:space="preserve">CARE bill impact calculated with average winter usage of </t>
  </si>
  <si>
    <t>Total Authorized Revenue</t>
  </si>
  <si>
    <t>Total Pending, Filed but not Approved</t>
  </si>
  <si>
    <t>Proposed Revenue Recovery Mechanism</t>
  </si>
  <si>
    <t>Approved Application(s), Implemented Since Jan 1 or To Be Implemented</t>
  </si>
  <si>
    <t>Total Approved, Implemented Since Jan 1 or To Be Implemented</t>
  </si>
  <si>
    <t>Current Revenue Requirement ($000):</t>
  </si>
  <si>
    <t>Existing or New Item (if existing, use delta from prior for rate impact)</t>
  </si>
  <si>
    <t>Change in Projected Authorized  Revenue Requirement ($000) for Rate Impact - Breakout by Year (if cell is shaded grey, rate impact is not presently determinable)</t>
  </si>
  <si>
    <t>Notes:</t>
  </si>
  <si>
    <t>Schedule E-1</t>
  </si>
  <si>
    <t>Schedule EL-1</t>
  </si>
  <si>
    <t>HUS</t>
  </si>
  <si>
    <t>Pension Contribution</t>
  </si>
  <si>
    <t>CTC</t>
  </si>
  <si>
    <t>Cost of Capital</t>
  </si>
  <si>
    <t>Diablo Canyon Retirement</t>
  </si>
  <si>
    <t>Nuclear Decommissioning (NDCTP)</t>
  </si>
  <si>
    <t>Department of Energy Litigation Proceeds</t>
  </si>
  <si>
    <t>SGIP</t>
  </si>
  <si>
    <t>AB 32: Cap &amp; Trade/GHG (Electric Procurement)</t>
  </si>
  <si>
    <t>Alternative Fuel Vehicle - SB 350 Application</t>
  </si>
  <si>
    <t>CARE Administration</t>
  </si>
  <si>
    <t>CPUC Fee</t>
  </si>
  <si>
    <t>EPIC (Electric Program Investment Charge)</t>
  </si>
  <si>
    <t>EV Pilot for Schools and Parks</t>
  </si>
  <si>
    <t xml:space="preserve">ESA (Energy Savings Assistance) </t>
  </si>
  <si>
    <t>Tree Mortality</t>
  </si>
  <si>
    <t>Residential Rate Reform Memorandum Account (RRRMA)</t>
  </si>
  <si>
    <t>Demand Response</t>
  </si>
  <si>
    <t>Demand Response Auction Mechanism</t>
  </si>
  <si>
    <t>Integrated Demand Side Management (IDSM)</t>
  </si>
  <si>
    <t>DWR Franchise Fees</t>
  </si>
  <si>
    <t>TACBAA</t>
  </si>
  <si>
    <t>TRBAA</t>
  </si>
  <si>
    <t>RSBA</t>
  </si>
  <si>
    <t>EUCRA</t>
  </si>
  <si>
    <t>Preliminary Statement ET</t>
  </si>
  <si>
    <t>Preliminary Statement S</t>
  </si>
  <si>
    <t>ERRA</t>
  </si>
  <si>
    <t>2018 CEMA</t>
  </si>
  <si>
    <t xml:space="preserve">Demand Response </t>
  </si>
  <si>
    <t>ESA (Energy Savings Assistance)</t>
  </si>
  <si>
    <t>Energy Efficiency/PEERAM</t>
  </si>
  <si>
    <t>Energy Efficiency/PPPRAM</t>
  </si>
  <si>
    <t>FERABA *</t>
  </si>
  <si>
    <t>DREBA (Incentives and Operations subaccounts) *</t>
  </si>
  <si>
    <t>MHPBA *</t>
  </si>
  <si>
    <t>MEBA *</t>
  </si>
  <si>
    <t>SGMA (Compressed Air Energy Storage) *</t>
  </si>
  <si>
    <t>PEERAM *</t>
  </si>
  <si>
    <t>PPPRAM *</t>
  </si>
  <si>
    <t>EV Infrastructure Program/TEBA *</t>
  </si>
  <si>
    <t>CTC/MTCBA *</t>
  </si>
  <si>
    <t>Cost Allocation Mechanism</t>
  </si>
  <si>
    <t>Cost Allocation Mechanism/NSGBA *</t>
  </si>
  <si>
    <t>ERBBA *</t>
  </si>
  <si>
    <t>Nuclear Decommissioning (NDCTP) *</t>
  </si>
  <si>
    <t>EPIC (Electric Program Investment Charge) *</t>
  </si>
  <si>
    <t>CARE Administration *</t>
  </si>
  <si>
    <t>Hazardous Substance Materials (HSM) *</t>
  </si>
  <si>
    <t>NTBA *</t>
  </si>
  <si>
    <t>Preliminary Statement  CZ</t>
  </si>
  <si>
    <t>Preliminary Statement  DT</t>
  </si>
  <si>
    <t>Preliminary Statement  DB</t>
  </si>
  <si>
    <t>Preliminary Statement  DX</t>
  </si>
  <si>
    <t>Preliminary Statement  EC</t>
  </si>
  <si>
    <t>Preliminary Statement  GH</t>
  </si>
  <si>
    <t>Preliminary Statement  GJ</t>
  </si>
  <si>
    <t>Preliminary Statement  DA</t>
  </si>
  <si>
    <t>Preliminary Statement  EF</t>
  </si>
  <si>
    <t>Preliminary Statement  M</t>
  </si>
  <si>
    <t xml:space="preserve">Balancing Account </t>
  </si>
  <si>
    <t>New</t>
  </si>
  <si>
    <t>Existing</t>
  </si>
  <si>
    <t>ECRA</t>
  </si>
  <si>
    <t>Transmission Balancing Accounts</t>
  </si>
  <si>
    <t>GHG Revenue</t>
  </si>
  <si>
    <t>System Sales</t>
  </si>
  <si>
    <t>Bundled Sales</t>
  </si>
  <si>
    <t>Total</t>
  </si>
  <si>
    <t>Authorized + Pending</t>
  </si>
  <si>
    <t>FERC BAs</t>
  </si>
  <si>
    <t>Inputs:</t>
  </si>
  <si>
    <t>Current Effective Rates</t>
  </si>
  <si>
    <t>Baseline Region - (Residential bill)</t>
  </si>
  <si>
    <t>Include in Impact (Y)</t>
  </si>
  <si>
    <t>Y</t>
  </si>
  <si>
    <t>Outputs:</t>
  </si>
  <si>
    <t>Bundled Average Rates - ¢/kWh</t>
  </si>
  <si>
    <t>Total System (Bundled and Unbundled) Average Rates - ¢/kWh</t>
  </si>
  <si>
    <t>Summer</t>
  </si>
  <si>
    <t>Winter</t>
  </si>
  <si>
    <t>SCHEDULE E-1 RATES ($/kWh)</t>
  </si>
  <si>
    <t>General Rate Case</t>
  </si>
  <si>
    <t>General Rate Case - DRAM*</t>
  </si>
  <si>
    <t>TO</t>
  </si>
  <si>
    <t>Current Revenue Requirement Effective:</t>
  </si>
  <si>
    <t>Applicable Year(s)</t>
  </si>
  <si>
    <t>TO - Formula Rate</t>
  </si>
  <si>
    <t>CPUC Code 6350-6354</t>
  </si>
  <si>
    <t>(A)</t>
  </si>
  <si>
    <t>(B)</t>
  </si>
  <si>
    <t>(C)</t>
  </si>
  <si>
    <t>(C)/(A)</t>
  </si>
  <si>
    <t>(C)/(B)</t>
  </si>
  <si>
    <t>(D)</t>
  </si>
  <si>
    <t>(D)/(A)</t>
  </si>
  <si>
    <t>(D)/(B)</t>
  </si>
  <si>
    <t>(D)/(C)</t>
  </si>
  <si>
    <t>Authorized Rates</t>
  </si>
  <si>
    <t>Authorized Revenue</t>
  </si>
  <si>
    <t>w/Pending Rates</t>
  </si>
  <si>
    <t>w/Pending Revenue</t>
  </si>
  <si>
    <t>Proposed (Authorized)</t>
  </si>
  <si>
    <t>Proposed (w/Pending)</t>
  </si>
  <si>
    <t>Sample Population Weight</t>
  </si>
  <si>
    <t>Authorized</t>
  </si>
  <si>
    <t>w/Pending</t>
  </si>
  <si>
    <t>w/ Pending</t>
  </si>
  <si>
    <t>Allocation</t>
  </si>
  <si>
    <t>PPPC</t>
  </si>
  <si>
    <t>GHG Rev</t>
  </si>
  <si>
    <t>Revenue Change ($000) - System</t>
  </si>
  <si>
    <t>Revenue Split - Bundled</t>
  </si>
  <si>
    <t>Bundled Revenue Change</t>
  </si>
  <si>
    <t>CARE Adj</t>
  </si>
  <si>
    <t>Res CARE Surcharge</t>
  </si>
  <si>
    <t>Proposed Avg Rates (Authorized)</t>
  </si>
  <si>
    <t>Proposed Avg Rates (w/Pending)</t>
  </si>
  <si>
    <t>% Change (Authorized)</t>
  </si>
  <si>
    <t>% Change (w/Pending)</t>
  </si>
  <si>
    <t>Pending Proceedings</t>
  </si>
  <si>
    <t>% Change over Authorized</t>
  </si>
  <si>
    <t>SCHEDULE EL-1 ($/kWh)</t>
  </si>
  <si>
    <t>Change</t>
  </si>
  <si>
    <t xml:space="preserve"> Rates</t>
  </si>
  <si>
    <t xml:space="preserve">Proposed Avg Rates </t>
  </si>
  <si>
    <t>% Change</t>
  </si>
  <si>
    <t>Revenue Change</t>
  </si>
  <si>
    <t>CARE Discount</t>
  </si>
  <si>
    <t>Basis of Revenue Requirement Forecast: Application Amended Application, Ammended Testimony, Proposed Settlement Agreement, Proposed Decision</t>
  </si>
  <si>
    <t>ALL</t>
  </si>
  <si>
    <t>P - Hot</t>
  </si>
  <si>
    <t>Q - Warm</t>
  </si>
  <si>
    <t>R - Hot</t>
  </si>
  <si>
    <t>S - Hot</t>
  </si>
  <si>
    <t>T - Cool</t>
  </si>
  <si>
    <t>V - Cool</t>
  </si>
  <si>
    <t>W - Hot</t>
  </si>
  <si>
    <t>X - Warm</t>
  </si>
  <si>
    <t>Y - Warm</t>
  </si>
  <si>
    <t>Z - Cool</t>
  </si>
  <si>
    <t>Residential Allocator</t>
  </si>
  <si>
    <t>Proceeding/Filing</t>
  </si>
  <si>
    <t>PCIA</t>
  </si>
  <si>
    <t>Section 851 Application to Sell The SF General Office Complex</t>
  </si>
  <si>
    <t>Non-CARE Tiered Sales</t>
  </si>
  <si>
    <t>CARE Tiered Sales</t>
  </si>
  <si>
    <t>Balancing Accounts</t>
  </si>
  <si>
    <t xml:space="preserve"> Revenue Change (000s)</t>
  </si>
  <si>
    <t>Tree Mortality*</t>
  </si>
  <si>
    <t>Risk Transfer Balancing Account*</t>
  </si>
  <si>
    <t>AB 841 School Energy Efficiency Stimulus Program</t>
  </si>
  <si>
    <t>MONTHLY BASELINE QUANTITIES -ALL-ELECTRIC (kWh)</t>
  </si>
  <si>
    <t>Basic Essential Usage NON-CARE</t>
  </si>
  <si>
    <t>Basic Essential Usage CARE</t>
  </si>
  <si>
    <t>All-Electric Essential Usage NON-CARE</t>
  </si>
  <si>
    <t>All-Electric Essential Usage CARE</t>
  </si>
  <si>
    <t>Basic Essential Use  - Non-CARE</t>
  </si>
  <si>
    <t>Basic Essential Use - CARE</t>
  </si>
  <si>
    <t>All-Electric Essential Use - Non-CARE</t>
  </si>
  <si>
    <t>All-Electric Essential Use - CARE</t>
  </si>
  <si>
    <t>Alternative Fuel Vehicle - SB 350 Application (aka Transportation Electrification)</t>
  </si>
  <si>
    <t>non-CARE Sales</t>
  </si>
  <si>
    <t>non-exempt Sales</t>
  </si>
  <si>
    <t>% of CARE Sales</t>
  </si>
  <si>
    <t>CARE Line Item Discount</t>
  </si>
  <si>
    <t>non-CARE Residential Sales</t>
  </si>
  <si>
    <t>Schedule E-1, Single Family</t>
  </si>
  <si>
    <t xml:space="preserve">Non-CARE bill impact calculated with average annual usage of </t>
  </si>
  <si>
    <t xml:space="preserve">CARE bill impact calculated with average annual usage of </t>
  </si>
  <si>
    <t>Basic</t>
  </si>
  <si>
    <t>All Electric</t>
  </si>
  <si>
    <t>Essential Use - Basic</t>
  </si>
  <si>
    <t>Essential Use - All Electric</t>
  </si>
  <si>
    <t>Basic NON-CARE</t>
  </si>
  <si>
    <t>Basic CARE</t>
  </si>
  <si>
    <t>Basic Typical Non-CARE</t>
  </si>
  <si>
    <t>Basic Typical CARE</t>
  </si>
  <si>
    <t>All Electric Typical Non-CARE</t>
  </si>
  <si>
    <t>All Electric Typical CARE</t>
  </si>
  <si>
    <t>All Electric NON-CARE</t>
  </si>
  <si>
    <t>All Electric CARE</t>
  </si>
  <si>
    <t>kWh per year</t>
  </si>
  <si>
    <t>All-Electric NON-CARE</t>
  </si>
  <si>
    <t>All-Electric CARE</t>
  </si>
  <si>
    <t>All-Electric Typical Non-CARE</t>
  </si>
  <si>
    <t>All-Electric Typical CARE</t>
  </si>
  <si>
    <t>Basic Bundled Residential Monthly Average Bills</t>
  </si>
  <si>
    <t>Basic Bundled Residential Monthly Average Bills - Summer</t>
  </si>
  <si>
    <t>Basic Bundled Residential Monthly Average Bills - Winter</t>
  </si>
  <si>
    <t>Essential Use Basic Bundled Residential Monthly Average Bills</t>
  </si>
  <si>
    <t>Essential Use Basic Bundled Residential Monthly Average Bills - Summer</t>
  </si>
  <si>
    <t>Essential Use Basic Bundled Residential Monthly Average Bills - Winter</t>
  </si>
  <si>
    <t>Typical Customer Basic Bundled Residential Monthly Average Bills</t>
  </si>
  <si>
    <t>Typical Customer Basic Bundled Residential Monthly Average Bills - Summer</t>
  </si>
  <si>
    <t>Typical Customer Basic Bundled Residential Monthly Average Bills - Winter</t>
  </si>
  <si>
    <t>All-Electric Bundled Residential Monthly Average Bills</t>
  </si>
  <si>
    <t>All-Electric Bundled Residential Monthly Average Bills - Summer</t>
  </si>
  <si>
    <t>All-Electric Bundled Residential Monthly Average Bills - Winter</t>
  </si>
  <si>
    <t>Essential Use All-Electric Bundled Residential Monthly Average Bills</t>
  </si>
  <si>
    <t>Essential Use All-Electric Bundled Residential Monthly Average Bills - Summer</t>
  </si>
  <si>
    <t>Essential Use All-Electric Bundled Residential Monthly Average Bills - Winter</t>
  </si>
  <si>
    <t>Typical Customer All-Electric Bundled Residential Monthly Average Bills</t>
  </si>
  <si>
    <t>Typical Customer All-Electric Bundled Residential Monthly Average Bills - Summer</t>
  </si>
  <si>
    <t>Typical Customer All-Electric Bundled Residential Monthly Average Bills - Winter</t>
  </si>
  <si>
    <t>Residential Bi-annual Climate Credit</t>
  </si>
  <si>
    <t>D.21-08-027</t>
  </si>
  <si>
    <t>2022 RF&amp;U</t>
  </si>
  <si>
    <t>IRPCMA*</t>
  </si>
  <si>
    <t>VMBA</t>
  </si>
  <si>
    <t>WMBA</t>
  </si>
  <si>
    <t>WHC</t>
  </si>
  <si>
    <t>Non-CARE Sales</t>
  </si>
  <si>
    <t>D.18-01-022</t>
  </si>
  <si>
    <t>Electric Preliminary Statement Part HJ</t>
  </si>
  <si>
    <t>D.21-06-015</t>
  </si>
  <si>
    <t>BioMat</t>
  </si>
  <si>
    <t>BioMat*</t>
  </si>
  <si>
    <t>Non-Vintaged PCIA</t>
  </si>
  <si>
    <t>DAC-GT</t>
  </si>
  <si>
    <t>DWR Refund</t>
  </si>
  <si>
    <t>Residential Uncollectibles Balancing Account (RUBA)*</t>
  </si>
  <si>
    <t>Summer Reliability OIR</t>
  </si>
  <si>
    <t>EPT</t>
  </si>
  <si>
    <t>Res</t>
  </si>
  <si>
    <t>Streetlights</t>
  </si>
  <si>
    <t>Standby</t>
  </si>
  <si>
    <t>AG</t>
  </si>
  <si>
    <t>Distribution (Wildfire)</t>
  </si>
  <si>
    <t>First 500M</t>
  </si>
  <si>
    <t>After 500M</t>
  </si>
  <si>
    <t>Distribution (Wildfire) Allocation</t>
  </si>
  <si>
    <t>`</t>
  </si>
  <si>
    <t>VMBA (Distribution - Wildfire)</t>
  </si>
  <si>
    <t>General Rate Case (Distribution - Wildfire)</t>
  </si>
  <si>
    <t>AB 1054 Securitization - FO 1</t>
  </si>
  <si>
    <t>AB 1054 Securitization - FO 2</t>
  </si>
  <si>
    <t>2022 WMCE</t>
  </si>
  <si>
    <t>Pension Contribution *</t>
  </si>
  <si>
    <t>2020 WMCE</t>
  </si>
  <si>
    <t>Non-Vintaged PCIA *</t>
  </si>
  <si>
    <t>WNDRR *</t>
  </si>
  <si>
    <t>MGBA *</t>
  </si>
  <si>
    <t>California Hub for Energy Efficiency Financing (CHEEF)</t>
  </si>
  <si>
    <t>Market Transformation Administrator</t>
  </si>
  <si>
    <t>2023 GRC Self-Insurance</t>
  </si>
  <si>
    <t>PABA/PUBA *</t>
  </si>
  <si>
    <t>VAMOMA *</t>
  </si>
  <si>
    <t>Preliminary Statement  IT</t>
  </si>
  <si>
    <t>Preliminary Statement  JH</t>
  </si>
  <si>
    <t>AL 6505-E</t>
  </si>
  <si>
    <t>D.23-02-017</t>
  </si>
  <si>
    <t>D.23-01-005</t>
  </si>
  <si>
    <t>2021 RF&amp;U</t>
  </si>
  <si>
    <t xml:space="preserve">Summary of Selected Data </t>
  </si>
  <si>
    <t xml:space="preserve"> Requirement</t>
  </si>
  <si>
    <t>$000</t>
  </si>
  <si>
    <t>Current total system-level revenue requirement that is used for defining the reporting threshold:</t>
  </si>
  <si>
    <t>A</t>
  </si>
  <si>
    <t>One-percent reporting threshold</t>
  </si>
  <si>
    <t>B</t>
  </si>
  <si>
    <t>C</t>
  </si>
  <si>
    <t>D</t>
  </si>
  <si>
    <t>Total system-level revenue requirement if all pending revenue were granted in full:
requests were granted in full</t>
  </si>
  <si>
    <t>Bundled residential average rate (RAR) if all pending revenue were granted in full (from Cost and Rate Tracker (CRT) as submitted by utility):</t>
  </si>
  <si>
    <t>cents/kWh</t>
  </si>
  <si>
    <t>Bundled residential average monthly bill corresponding to RAR above for typical customer in climate zone X using 500 kWh (from CRT as submitted by utility):</t>
  </si>
  <si>
    <t>YE 2026</t>
  </si>
  <si>
    <t>Excess Tax</t>
  </si>
  <si>
    <t>2022 WMCE IRR</t>
  </si>
  <si>
    <t>Wildfire Gas and Safety Costs</t>
  </si>
  <si>
    <t>D.23-08-027</t>
  </si>
  <si>
    <t>2021 WMCE</t>
  </si>
  <si>
    <t>2021 WMCE (VMBA)</t>
  </si>
  <si>
    <t>Off-Peak Winter</t>
  </si>
  <si>
    <t>Part-Peak Winter</t>
  </si>
  <si>
    <t>Off-Peak Summer</t>
  </si>
  <si>
    <t>Part-Peak Summer</t>
  </si>
  <si>
    <t>NAICS 722</t>
  </si>
  <si>
    <t>Peak Summer</t>
  </si>
  <si>
    <t>NAICS 621</t>
  </si>
  <si>
    <t>NAICS 531</t>
  </si>
  <si>
    <t>Off-Peak</t>
  </si>
  <si>
    <t>Part-Peak</t>
  </si>
  <si>
    <t>Peak</t>
  </si>
  <si>
    <t>kWh</t>
  </si>
  <si>
    <t>NAICS</t>
  </si>
  <si>
    <t xml:space="preserve">Essential Use - </t>
  </si>
  <si>
    <t>AB 1054 Securitization - FO 3</t>
  </si>
  <si>
    <t>Super Off-Peak Winter</t>
  </si>
  <si>
    <t>Super Off-Peak</t>
  </si>
  <si>
    <t>Customers (Single-phase)</t>
  </si>
  <si>
    <t>B-1 Sales</t>
  </si>
  <si>
    <t>B-1</t>
  </si>
  <si>
    <t>Schedule B-1</t>
  </si>
  <si>
    <t>SCHEDULE B-1 ($/kWh)</t>
  </si>
  <si>
    <t>Part Peak</t>
  </si>
  <si>
    <t>Off Peak</t>
  </si>
  <si>
    <t>Super Off Peak</t>
  </si>
  <si>
    <t>Super Off</t>
  </si>
  <si>
    <t>Single-Phase</t>
  </si>
  <si>
    <t>B-1 Allocator</t>
  </si>
  <si>
    <t>ERRA Forecast</t>
  </si>
  <si>
    <t>Competition Transition Charge</t>
  </si>
  <si>
    <t>Risk Transfer Balancing Account</t>
  </si>
  <si>
    <t>2023 General Rate Case Track 2</t>
  </si>
  <si>
    <t>D.23-11-069</t>
  </si>
  <si>
    <t>2023 General Rate Case Late Implementation</t>
  </si>
  <si>
    <t>Wildfire Fund Charge</t>
  </si>
  <si>
    <t>B-1 CARE Surcharge</t>
  </si>
  <si>
    <t>B-6/A-15</t>
  </si>
  <si>
    <t>Total Revenues</t>
  </si>
  <si>
    <t>Small Commercial (B-1)</t>
  </si>
  <si>
    <t>Small Commercial Monthly Average Bills</t>
  </si>
  <si>
    <t>Small Commercial Monthly Average Bills - Summer</t>
  </si>
  <si>
    <t>Small Commercial Monthly Average Bills - Winter</t>
  </si>
  <si>
    <t>Total B-1</t>
  </si>
  <si>
    <t>D.21-12-006, D.23-11-090</t>
  </si>
  <si>
    <t>AL 6505-E / AL 7066-E</t>
  </si>
  <si>
    <t>Bundled small commercial average rate (B-1) if all pending revenue were granted in full (from Cost and Rate Tracker (CRT) as submitted by utility):</t>
  </si>
  <si>
    <t>Bundled small commercial average monthly bill corresponding to B-1 rate above for typical customer by NAICS (from CRT as submitted by utility):</t>
  </si>
  <si>
    <t>2023 GRC Late Implementation</t>
  </si>
  <si>
    <t>Res. M-4870</t>
  </si>
  <si>
    <t>ESA Unspent Funds</t>
  </si>
  <si>
    <t>D.23-06-055/ AL 7047-E</t>
  </si>
  <si>
    <t>D.19-12-021, AL 4674-G/6747-E /AL RI-CalMTA-2</t>
  </si>
  <si>
    <t>ERRA Trigger Adjustment</t>
  </si>
  <si>
    <t>CSIBA*</t>
  </si>
  <si>
    <t>PIPP*</t>
  </si>
  <si>
    <t>2023 GRC Track II</t>
  </si>
  <si>
    <t>D.24-02-011, D.21-05-015</t>
  </si>
  <si>
    <t>D.23-12-005</t>
  </si>
  <si>
    <t>D.23-12-022</t>
  </si>
  <si>
    <t>AL 4568-G-B/6492-E-B</t>
  </si>
  <si>
    <t>D.21-06-030, AL 6390-E</t>
  </si>
  <si>
    <t>D.22-08-004, AL 6769-E</t>
  </si>
  <si>
    <t>Electric Preliminary Statement Part IJ</t>
  </si>
  <si>
    <t>Electric Preliminary Statement Part HM</t>
  </si>
  <si>
    <t>Electric Preliminary Statement Part JM</t>
  </si>
  <si>
    <t>Electric Preliminary Statement Part IM</t>
  </si>
  <si>
    <t>n/a</t>
  </si>
  <si>
    <t>D.18-05-040, D.19-11-017, D.19-09-006, D.20-12-029, D.22-08-024</t>
  </si>
  <si>
    <t>Electric Preliminary Statement Part HH</t>
  </si>
  <si>
    <t>Electric Preliminary Statement Part P</t>
  </si>
  <si>
    <t>ER24-599-000</t>
  </si>
  <si>
    <t>ER24-96-000</t>
  </si>
  <si>
    <t>ER23-2968-000</t>
  </si>
  <si>
    <t>D.21-06-030, AL 7106-E</t>
  </si>
  <si>
    <t>D.22-08-004, AL 7126-E</t>
  </si>
  <si>
    <t>CEEIA*</t>
  </si>
  <si>
    <t>Residential Uncollectibles Balancing Account (RUBA)</t>
  </si>
  <si>
    <t>Customer</t>
  </si>
  <si>
    <t>2024 RF&amp;U</t>
  </si>
  <si>
    <t>YE 2027</t>
  </si>
  <si>
    <t>E-1</t>
  </si>
  <si>
    <t>E-TOU-C</t>
  </si>
  <si>
    <t>EL-1</t>
  </si>
  <si>
    <t>EL-TOU-C</t>
  </si>
  <si>
    <t>Gas AMI</t>
  </si>
  <si>
    <t xml:space="preserve">Distribution </t>
  </si>
  <si>
    <t>Wildfire Gas Safety Costs IRR</t>
  </si>
  <si>
    <t>D.24-03-006</t>
  </si>
  <si>
    <t>A.23-06-008</t>
  </si>
  <si>
    <t>Application, Table 1 &amp; IRR PD for TY 2024</t>
  </si>
  <si>
    <t>Application, Table 1</t>
  </si>
  <si>
    <t>D.24-08-009</t>
  </si>
  <si>
    <t>Include CA Climate Credit in Rates</t>
  </si>
  <si>
    <t>Typical residential average usage kWh/month</t>
  </si>
  <si>
    <t>Res GHG</t>
  </si>
  <si>
    <t>NAICS  722</t>
  </si>
  <si>
    <t>2. The forecast assumes perfect ratemaking, and does not include balancing account balances beyond the current year.</t>
  </si>
  <si>
    <t>B-1 GHG</t>
  </si>
  <si>
    <t>OGO PFM</t>
  </si>
  <si>
    <t>3. Different rate components use simplified allocations that may not reflect actual revenue allocation and rate design.</t>
  </si>
  <si>
    <t>1. The Quarterly Tracker performs high-level rate and bill calculation estimates, which will not produce rate or bill impacts that match PG&amp;E’s filing-quality models.</t>
  </si>
  <si>
    <t>TRRRMA</t>
  </si>
  <si>
    <t>2023 WMCE IRR</t>
  </si>
  <si>
    <t>D.24-09-003</t>
  </si>
  <si>
    <t xml:space="preserve">  </t>
  </si>
  <si>
    <t>A.24-10-014</t>
  </si>
  <si>
    <t>2025 RF&amp;U</t>
  </si>
  <si>
    <t>Billing Modernization</t>
  </si>
  <si>
    <t>2024 WMCE</t>
  </si>
  <si>
    <t>A.24-11-009</t>
  </si>
  <si>
    <t>Application, Table 12-6</t>
  </si>
  <si>
    <t>AL 4813-G/7046-E, D.24-10-008</t>
  </si>
  <si>
    <t>H</t>
  </si>
  <si>
    <t xml:space="preserve">Application, WP 7-1 </t>
  </si>
  <si>
    <t>Application, WP 7-1</t>
  </si>
  <si>
    <t>January 1, 2025</t>
  </si>
  <si>
    <t>D.24-12-033</t>
  </si>
  <si>
    <t>January 1, 2025 Rate Change(AL 7469-E) trued up the balancing accounts in the AET and implemented various authorized RRQs.</t>
  </si>
  <si>
    <t>7469-E</t>
  </si>
  <si>
    <t>March 1, 2025</t>
  </si>
  <si>
    <t>D.24-10-008/ AL 7423-E</t>
  </si>
  <si>
    <t>Res. M-4874</t>
  </si>
  <si>
    <t>AL 7413-E</t>
  </si>
  <si>
    <t>D.21-11-028</t>
  </si>
  <si>
    <t>D.24-12-001</t>
  </si>
  <si>
    <t>Preliminary Statement FU</t>
  </si>
  <si>
    <t>Microgrids Memorandum Account - Microgrids Incentive Program</t>
  </si>
  <si>
    <t xml:space="preserve">Unspent funds and accrued interest for EPIC </t>
  </si>
  <si>
    <t>Unspent for EE</t>
  </si>
  <si>
    <t>Assembly Bill (AB) 1054 Financing Order (FO) #3 (2025)</t>
  </si>
  <si>
    <t xml:space="preserve">Oakland General Office (OGO) Purchase </t>
  </si>
  <si>
    <t>D.24-02-011</t>
  </si>
  <si>
    <t>D.24-02-011, AL 7336-E</t>
  </si>
  <si>
    <t>Electric Preliminary Statement Part JZ</t>
  </si>
  <si>
    <t>Electric Preliminary Statement Part KA</t>
  </si>
  <si>
    <t>Electric Preliminary Statement Part JD</t>
  </si>
  <si>
    <t xml:space="preserve">D.23-04-034/ AL 6962-E </t>
  </si>
  <si>
    <t>D.24-08-009/ AL 7371-E</t>
  </si>
  <si>
    <t>AL 7407-E</t>
  </si>
  <si>
    <t>D.18-01-008</t>
  </si>
  <si>
    <t>Electric Preliminary Statement Part JV</t>
  </si>
  <si>
    <t>AL 4880-G/7216-E</t>
  </si>
  <si>
    <t>Electric Preliminary Statement Part CQ</t>
  </si>
  <si>
    <t>Electric Preliminary Statement Part FS</t>
  </si>
  <si>
    <t>D.19-12-021 / Advice RI-CalMTA-3</t>
  </si>
  <si>
    <t>Electric Preliminary Statement Part EO</t>
  </si>
  <si>
    <t>D.24-12-075</t>
  </si>
  <si>
    <t>AL 4813-G/7046-E/ D.24-10-008/ AL 7423-E</t>
  </si>
  <si>
    <t>Assembly Bill (AB) 1054 Financing Order (FO) #3 2020 WMCE &amp; 2020 GRC Adjustment</t>
  </si>
  <si>
    <t>ER24-599-000 / ER23-2968-000, ER25-15-000/ AL 7426-E, AL 7151-E</t>
  </si>
  <si>
    <t>Assembly Bill (AB) 1054 Financing Order (FO) #3 Securitization*</t>
  </si>
  <si>
    <t>Overhead and Underground Maintenance Balancing Account*</t>
  </si>
  <si>
    <t>Critical Operating Equipment Cable Replacement BA*</t>
  </si>
  <si>
    <t>MSCSA*</t>
  </si>
  <si>
    <t>Concurrent Application System Balancing Account - PPCBA*</t>
  </si>
  <si>
    <t>Electric Preliminary HS</t>
  </si>
  <si>
    <t>D.24-12-038</t>
  </si>
  <si>
    <t>D.24-12- 033</t>
  </si>
  <si>
    <t>Assembly Bill (AB) 1054 Financing Order (FO) #3 Emergency Reliability OIR</t>
  </si>
  <si>
    <t>YE 2028</t>
  </si>
  <si>
    <t>7516-E</t>
  </si>
  <si>
    <t>March 1, 2025 Rate Change AL(7516-E) Implemented 2021 WMCE VMBA, Adjusted TACBAA , and Minimum Bill</t>
  </si>
  <si>
    <t>Non-Wildfire Liability Insurance</t>
  </si>
  <si>
    <t>2027 GRC Phase 1</t>
  </si>
  <si>
    <t>D.25-03-008 /AL 5057-G/7575-E</t>
  </si>
  <si>
    <t>DCPP Extended Operations 2026 Forecast</t>
  </si>
  <si>
    <t>GRC Capacity Phase (ECNBIMA)(SB410)</t>
  </si>
  <si>
    <t>A.25-05-009</t>
  </si>
  <si>
    <t>2028 Forecast: Set equal to the 2026</t>
  </si>
  <si>
    <t>E</t>
  </si>
  <si>
    <t>Cost and Rate Tracking Tool Notes</t>
  </si>
  <si>
    <t>A.25-06-024</t>
  </si>
  <si>
    <t>INSTRUCTIONS TO RUN "BASIC" MODEL</t>
  </si>
  <si>
    <t>The "non-hypothetical" portion of this model produces illustrative rates and illustrative residential bill calculations based on selected user inputs.</t>
  </si>
  <si>
    <t>PLEASE DO NOT INSERT ROWS OR COLUMNS INTO THE SUMMARY</t>
  </si>
  <si>
    <t>To run the "non-hypothetical" portion of the model:</t>
  </si>
  <si>
    <t>In cell D3 of the "Summary" tab, from the dropdown choices, select the year for which illustrative rate impacts are desired (ILLUSTRATION 1).</t>
  </si>
  <si>
    <t>1.</t>
  </si>
  <si>
    <t>2.</t>
  </si>
  <si>
    <t>3.</t>
  </si>
  <si>
    <t>4.</t>
  </si>
  <si>
    <t>5.</t>
  </si>
  <si>
    <t>6.</t>
  </si>
  <si>
    <t>User drop down selections are highlighted in yellow.</t>
  </si>
  <si>
    <t>Hypothetical  RRQ Modeling</t>
  </si>
  <si>
    <t>The updated Revenue Requirements will populate all of the "Hypothetical" tabs with new proposed rate and billing information.</t>
  </si>
  <si>
    <t>If your excel is not set for automatic calculations, make sure to hit F9 to refresh caluclations. This will give the updated outputs to the basic model using the assumptions selected in yellow on the "Summary" tab.</t>
  </si>
  <si>
    <t>The results of the RRQ impacts are summarized on the "Hypothetical Summary" tab and more detailed calculations can be found in the other hypothetical tabs.</t>
  </si>
  <si>
    <t>*Input revenue ammounts in the thousands</t>
  </si>
  <si>
    <t>VALIDATING THE RESULTS OF THE ILLUSTRATIVE "TYPICAL CUSTOMER" BILL AGAINST A BILL INSERT</t>
  </si>
  <si>
    <t xml:space="preserve">This hypothetical tab uses currently adopted sales forecasts. It does not forecast for other years. </t>
  </si>
  <si>
    <t>Hypothetical Summary</t>
  </si>
  <si>
    <t>SAR and RAR</t>
  </si>
  <si>
    <t>Authorized Rev Req</t>
  </si>
  <si>
    <t>Incremental Rev Req</t>
  </si>
  <si>
    <t>Res Bill Impact</t>
  </si>
  <si>
    <t>Summary</t>
  </si>
  <si>
    <t>Instructions</t>
  </si>
  <si>
    <t>N/A</t>
  </si>
  <si>
    <t>- Identifies where the model differs from PG&amp;E's filing quality rate models used for rate setting.</t>
  </si>
  <si>
    <t>Selected Data</t>
  </si>
  <si>
    <t>Where Used in Model</t>
  </si>
  <si>
    <t>Description/Purpose</t>
  </si>
  <si>
    <t>Tab Name</t>
  </si>
  <si>
    <t>September 1, 2025</t>
  </si>
  <si>
    <t>This tool is available for users to run high level illustritive rate and bill impacts. The user input sections are highlighted yellow.</t>
  </si>
  <si>
    <t xml:space="preserve">Ensure that only the revenue requirement being evaluated is included in the impact. </t>
  </si>
  <si>
    <t xml:space="preserve"> </t>
  </si>
  <si>
    <t>Notes</t>
  </si>
  <si>
    <t>Application, Table 14, Table 18, and Table 21</t>
  </si>
  <si>
    <t>ILLUSTRATION 3</t>
  </si>
  <si>
    <t>In cell D3 of the "Hypothetical Summary" tab, type in the "Typical" residential average usage kWh/month (Illustration 3).</t>
  </si>
  <si>
    <t>In cell D4 of the "Hypothetical Summary" tab, select, from the dropdown choices, the baseline territory for which illustrative bill impacts are desired (Illustration 3).</t>
  </si>
  <si>
    <t>In cell D5 of the "Hypothetical Summary" tab, select Y to include the California Climate Credit or N to exclude it (Illustration 3).</t>
  </si>
  <si>
    <t>In the "Hypothetical Summary" tab there are spaces in column D7:D19 for the user to enther their own RRQs into the desired recovery mechanism  (Illustration 3).</t>
  </si>
  <si>
    <t>The model is set up to accept separate "typical" residential kWh for Non-CARE and CARE customers. (Illustration 2)</t>
  </si>
  <si>
    <t>Illustration 2</t>
  </si>
  <si>
    <t>7684-E</t>
  </si>
  <si>
    <t>September 1, 2025 Rate Change AL(7684-E) Implemented the Pension contribution and the WHC True-up, and the end of WGSC IRR and 2021 WMCE non-IRR recovery</t>
  </si>
  <si>
    <t>4. For future years, the revenue requirements and rate impacts represent what would be in effect at the end of the year (e.g. December).</t>
  </si>
  <si>
    <t>7.</t>
  </si>
  <si>
    <t>8.</t>
  </si>
  <si>
    <t>In cell D4, select, from the dropdown choices, the baseline territory for which illustrative bill impacts are desired.</t>
  </si>
  <si>
    <t>In the "Pending Proceedings" section beginning on line 7, indicate whether the RRQ associated with the proceeding should be included in the illustrative bill impact analysis</t>
  </si>
  <si>
    <t>In cell I3, select Y to include the California Climate Credit in Rates or N to exclude it.</t>
  </si>
  <si>
    <t>In cell I4  type in the Typical residential average usage kWh/month</t>
  </si>
  <si>
    <t>The outputs will be in rows 30-116. Residential outputs are in rows 30-98 and Small Commercial outputs are in rows 102-116.</t>
  </si>
  <si>
    <t>9.</t>
  </si>
  <si>
    <t>ILLUSTRATION 1A:</t>
  </si>
  <si>
    <t>by selecting from the dropdown choices in column D, a "Y" or "N" where "Y" means to include the RRQ in the analysis and "N" means to not include the RRQ in the analysis (ILLUSTRATION 1A).</t>
  </si>
  <si>
    <t>Illustration 1B:</t>
  </si>
  <si>
    <t>An example of the outputs for Residential Average Bundled Rates and the Typical Customer Basic Bundled Residential Monthly Average Bills can be seen in ILLUSTRATION 1B.</t>
  </si>
  <si>
    <t>B-10</t>
  </si>
  <si>
    <t>B-19</t>
  </si>
  <si>
    <t>B-20P</t>
  </si>
  <si>
    <t>B-20S</t>
  </si>
  <si>
    <t>B-20T</t>
  </si>
  <si>
    <t>Bundled Total System GHG</t>
  </si>
  <si>
    <t xml:space="preserve">Summer </t>
  </si>
  <si>
    <t xml:space="preserve">Winter </t>
  </si>
  <si>
    <t>- Provides a snapshot of certain information (proceedings, revenue requirements (RRQs), rates and residential bills) developed or provided in the model.</t>
  </si>
  <si>
    <r>
      <t xml:space="preserve">- Provides illustrative bundled residential, small commercial, medium commercial, large commercial, other commercial and industrial, agriculture and system average rates, total illustrative system average rates, and illustrative bundled </t>
    </r>
    <r>
      <rPr>
        <vertAlign val="superscript"/>
        <sz val="11"/>
        <color theme="1"/>
        <rFont val="Aptos Narrow"/>
        <family val="2"/>
      </rPr>
      <t>(1)</t>
    </r>
    <r>
      <rPr>
        <sz val="11"/>
        <color theme="1"/>
        <rFont val="Calibri"/>
        <family val="2"/>
        <scheme val="minor"/>
      </rPr>
      <t xml:space="preserve">, essential usage </t>
    </r>
    <r>
      <rPr>
        <vertAlign val="superscript"/>
        <sz val="11"/>
        <color theme="1"/>
        <rFont val="Calibri"/>
        <family val="2"/>
        <scheme val="minor"/>
      </rPr>
      <t>(2)</t>
    </r>
    <r>
      <rPr>
        <sz val="11"/>
        <color theme="1"/>
        <rFont val="Calibri"/>
        <family val="2"/>
        <scheme val="minor"/>
      </rPr>
      <t xml:space="preserve"> and typical </t>
    </r>
    <r>
      <rPr>
        <vertAlign val="superscript"/>
        <sz val="11"/>
        <color theme="1"/>
        <rFont val="Calibri"/>
        <family val="2"/>
        <scheme val="minor"/>
      </rPr>
      <t>(3)</t>
    </r>
    <r>
      <rPr>
        <sz val="11"/>
        <color theme="1"/>
        <rFont val="Calibri"/>
        <family val="2"/>
        <scheme val="minor"/>
      </rPr>
      <t xml:space="preserve"> bundled residential/ small commercial customer average bills based on user input fields selected on this tab.
- User input fields allow users to select the year, baseline region, CA climate credit inclusion, "typical" residential average usage  and the pending proceedings to be included in the rates and bill calculations shown on this tab.
- Provides various assumptions utilized in the calculation of rates and bills on this tab.
</t>
    </r>
    <r>
      <rPr>
        <vertAlign val="superscript"/>
        <sz val="11"/>
        <color theme="1"/>
        <rFont val="Calibri"/>
        <family val="2"/>
        <scheme val="minor"/>
      </rPr>
      <t>(1)</t>
    </r>
    <r>
      <rPr>
        <sz val="11"/>
        <color theme="1"/>
        <rFont val="Calibri"/>
        <family val="2"/>
        <scheme val="minor"/>
      </rPr>
      <t xml:space="preserve"> Illustrative bills are based on the recorded average monthly usage for calendar year 2024.
</t>
    </r>
    <r>
      <rPr>
        <vertAlign val="superscript"/>
        <sz val="11"/>
        <color theme="1"/>
        <rFont val="Calibri"/>
        <family val="2"/>
        <scheme val="minor"/>
      </rPr>
      <t>(2)</t>
    </r>
    <r>
      <rPr>
        <sz val="11"/>
        <color theme="1"/>
        <rFont val="Calibri"/>
        <family val="2"/>
        <scheme val="minor"/>
      </rPr>
      <t xml:space="preserve"> Essential usage is defined in D.20-07-032, as using the baseline or Tier 1 rate and the baseline quantity to calculate the essential usage bill.
</t>
    </r>
    <r>
      <rPr>
        <vertAlign val="superscript"/>
        <sz val="11"/>
        <color theme="1"/>
        <rFont val="Calibri"/>
        <family val="2"/>
        <scheme val="minor"/>
      </rPr>
      <t>(3)</t>
    </r>
    <r>
      <rPr>
        <sz val="11"/>
        <color theme="1"/>
        <rFont val="Calibri"/>
        <family val="2"/>
        <scheme val="minor"/>
      </rPr>
      <t xml:space="preserve"> Typical usage is as used by PG&amp;E in its various applications considered to be 500 kWh. It can be changed by the user by entering different value into I4.</t>
    </r>
  </si>
  <si>
    <t xml:space="preserve">Selected Data
</t>
  </si>
  <si>
    <t xml:space="preserve">Lists all approved proceedings and the RRQs by revenue recovery mechanism currently in rates broken out by rate change. </t>
  </si>
  <si>
    <t>Lists all approved proceedings with their associated yearly RRQ as well as pending proceedings with their anticipated yearly RRQs. Existing proceedings that have pending RRQs lists the incremental change in columns L-O.</t>
  </si>
  <si>
    <t>Selected Data, Summary, Incremental Rev Req, SAR and RAR, SAR and RAR (B-1), SAR and RAR (Medium), SAR and RAR (Large), SAR and RAR (Other), SAR and RAR (AG)</t>
  </si>
  <si>
    <t>- Lists the various allocations by RRQ type.
- Identifies the RRQ type (i.e. Distribution, Transmission, Public Purpose Program, etc.). 
- Identifies the percentage of the total allocated RRQ that is allocated to the residential customer class.
- Identifies the percentage of the RRQ allocated to the residential customer class that is bundled. 
- Identifies the percentage of the total allocated RRQ that is bundled. 
- Provides forecasted yearly revenue for both residential and total system sales.
- Calculates bundled residential average rates, total residential average rates, bundled system average rates and total system average rates.</t>
  </si>
  <si>
    <t>Summary, Res Bill Impact, SAR RAR (B-1), SAR and RAR (Medium), SAR and RAR (Large), SAR and RAR (Other), SAR and RAR (AG)</t>
  </si>
  <si>
    <t xml:space="preserve">- Calculates the rates and bills shown in the Summary tab using the following information found on this tab:
     ~ present, illustrative proposed authorized and illustrative proposed with pending proceedings rates for non-CARE and CARE customers. 
     ~ current baseline quantities.
     ~ recorded average monthly usage by climate zone and season.
     ~ percent of non-CARE usage in each climate zone and percent of CARE usage in each climate zone (used to calculate "all climate zone" bills).
</t>
  </si>
  <si>
    <t xml:space="preserve"> Summary</t>
  </si>
  <si>
    <t>SAR and RAR (B-1)</t>
  </si>
  <si>
    <t>- Lists the various allocations by RRQ type.
- Identifies the RRQ type (i.e. Distribution, Transmission, Public Purpose Program, etc.). 
- Identifies the percentage of the total allocated RRQ that is allocated to the B-1 customer class.
- Identifies the percentage of the RRQ allocated to the B-1 customer class that is bundled. 
- Identifies the percentage of the total allocated RRQ that is bundled. 
- Provides forecasted yearly revenue for both B-1 and total system sales.
- Calculates bundled B-1 average rates, total B-1 average rates, bundled system average rates and total system average rates.</t>
  </si>
  <si>
    <t xml:space="preserve"> Summary, Bill Impact (B-1)</t>
  </si>
  <si>
    <t>Bill Impact (B-1)</t>
  </si>
  <si>
    <t xml:space="preserve">- Calculates the rates and bills shown in the Summary tab using the following information found on this tab:
     ~ present, illustrative proposed authorized and illustrative proposed with pending proceedings rates for select B-1 customers. 
     ~ recorded average monthly usage by season and time-of-use periods.
</t>
  </si>
  <si>
    <r>
      <t xml:space="preserve">- Provides hypothetical illustrative bundled residential, small commercial and system average rates, total illustrative system average rates, and illustrative bundled </t>
    </r>
    <r>
      <rPr>
        <vertAlign val="superscript"/>
        <sz val="11"/>
        <color theme="1"/>
        <rFont val="Aptos Narrow"/>
        <family val="2"/>
      </rPr>
      <t>(1)</t>
    </r>
    <r>
      <rPr>
        <sz val="11"/>
        <color theme="1"/>
        <rFont val="Calibri"/>
        <family val="2"/>
        <scheme val="minor"/>
      </rPr>
      <t xml:space="preserve">, essential usage </t>
    </r>
    <r>
      <rPr>
        <vertAlign val="superscript"/>
        <sz val="11"/>
        <color theme="1"/>
        <rFont val="Calibri"/>
        <family val="2"/>
        <scheme val="minor"/>
      </rPr>
      <t>(2)</t>
    </r>
    <r>
      <rPr>
        <sz val="11"/>
        <color theme="1"/>
        <rFont val="Calibri"/>
        <family val="2"/>
        <scheme val="minor"/>
      </rPr>
      <t xml:space="preserve"> and typical </t>
    </r>
    <r>
      <rPr>
        <vertAlign val="superscript"/>
        <sz val="11"/>
        <color theme="1"/>
        <rFont val="Calibri"/>
        <family val="2"/>
        <scheme val="minor"/>
      </rPr>
      <t>(3)</t>
    </r>
    <r>
      <rPr>
        <sz val="11"/>
        <color theme="1"/>
        <rFont val="Calibri"/>
        <family val="2"/>
        <scheme val="minor"/>
      </rPr>
      <t xml:space="preserve"> bundled residential/ small commercial customer average bills based on user input fields selected on this tab.
- User input fields allow users to select the year, baseline region, CA climate credit inclusion, "typical" residential average usage and hypothetical revenue requirements to be included in the rates and bill calculations shown on this tab.
- Provides various assumptions utilized in the calculation of rates and bills on this tab.
</t>
    </r>
    <r>
      <rPr>
        <vertAlign val="superscript"/>
        <sz val="11"/>
        <color theme="1"/>
        <rFont val="Calibri"/>
        <family val="2"/>
        <scheme val="minor"/>
      </rPr>
      <t>(1)</t>
    </r>
    <r>
      <rPr>
        <sz val="11"/>
        <color theme="1"/>
        <rFont val="Calibri"/>
        <family val="2"/>
        <scheme val="minor"/>
      </rPr>
      <t xml:space="preserve"> Illustrative bills are based on the recorded average monthly usage for calendar year 2024.
</t>
    </r>
    <r>
      <rPr>
        <vertAlign val="superscript"/>
        <sz val="11"/>
        <color theme="1"/>
        <rFont val="Calibri"/>
        <family val="2"/>
        <scheme val="minor"/>
      </rPr>
      <t>(2)</t>
    </r>
    <r>
      <rPr>
        <sz val="11"/>
        <color theme="1"/>
        <rFont val="Calibri"/>
        <family val="2"/>
        <scheme val="minor"/>
      </rPr>
      <t xml:space="preserve"> Essential usage is defined in D.20-07-032, as using the baseline or Tier 1 rate and the baseline quantity to calculate the essential usage bill.
</t>
    </r>
    <r>
      <rPr>
        <vertAlign val="superscript"/>
        <sz val="11"/>
        <color theme="1"/>
        <rFont val="Calibri"/>
        <family val="2"/>
        <scheme val="minor"/>
      </rPr>
      <t>(3)</t>
    </r>
    <r>
      <rPr>
        <sz val="11"/>
        <color theme="1"/>
        <rFont val="Calibri"/>
        <family val="2"/>
        <scheme val="minor"/>
      </rPr>
      <t xml:space="preserve"> Typical usage is as used by PG&amp;E in its various applications considered to be 500 kWh. It can be changed by the user by entering different value into D3.</t>
    </r>
  </si>
  <si>
    <t>- Provides user instructions for running the "basic" model, validating the results of the illustrative "typical customer" bill against a bill insert and Hypothetical RRQ modeling.</t>
  </si>
  <si>
    <t>2026 RF&amp;U</t>
  </si>
  <si>
    <t>Kincade and Dixie AB1054 Wildfire Cost Review and Recovery Proceeding</t>
  </si>
  <si>
    <t>A.25-11-001</t>
  </si>
  <si>
    <t>D.25-09-008</t>
  </si>
  <si>
    <t>D.24-07-008/D.25-08-036</t>
  </si>
  <si>
    <t>Testimony, Table 7-14</t>
  </si>
  <si>
    <t>Testimony, Table 7-6</t>
  </si>
  <si>
    <t>Annual Period 2026</t>
  </si>
  <si>
    <t>January 1, 2026</t>
  </si>
  <si>
    <t>March 1, 2026</t>
  </si>
  <si>
    <t>2026 Authorized Revenue Requirement ($000)</t>
  </si>
  <si>
    <t>2026 Proposed Revenue Requirement ($000)</t>
  </si>
  <si>
    <t>2022 WMCE Non IRR</t>
  </si>
  <si>
    <t>DCPP Extended Operations 2026 Forecast*</t>
  </si>
  <si>
    <t>Concurrent Application System Balancing Account - PPCBA</t>
  </si>
  <si>
    <t>PPCBA*</t>
  </si>
  <si>
    <t>D.25-03-08/ AL 7575-E</t>
  </si>
  <si>
    <t>D.25-12-029</t>
  </si>
  <si>
    <t xml:space="preserve">D.25-12-026 </t>
  </si>
  <si>
    <t>ECNBIMA (SB410)</t>
  </si>
  <si>
    <t>D.21-06-030, AL 7478-E</t>
  </si>
  <si>
    <t>D.22-08-004, AL 7479-E</t>
  </si>
  <si>
    <t>D.24-02-011, AL 7481-E</t>
  </si>
  <si>
    <t> ER24-96-000 </t>
  </si>
  <si>
    <t>ER25-3533-000</t>
  </si>
  <si>
    <t>D.23-05-006</t>
  </si>
  <si>
    <t>3/1/26 Bundled
w/out Credit</t>
  </si>
  <si>
    <t>3/1/26 System
w/Credit</t>
  </si>
  <si>
    <t>3/1/26 System
w/out Credit</t>
  </si>
  <si>
    <t>3/1/26 Bundled
w/Credit</t>
  </si>
  <si>
    <t>1/1/26  Bundled
w/Credit</t>
  </si>
  <si>
    <t>1/1/26  Bundled
w/out Credit</t>
  </si>
  <si>
    <t>1/1/26  System
w/Credit</t>
  </si>
  <si>
    <t>1/1/26  System
w/out Credit</t>
  </si>
  <si>
    <t>2029 Forecast: Set equal to the 2026</t>
  </si>
  <si>
    <t>7797-E</t>
  </si>
  <si>
    <t xml:space="preserve"> D.24-07-008 / D.25-08-036</t>
  </si>
  <si>
    <t>January 1, 2026 Rate Change (AL 7797-E) trued up the balancing accounts in the AET and implemented various authorized RRQs.</t>
  </si>
  <si>
    <t>Base Services Charge</t>
  </si>
  <si>
    <t>Bracket 2</t>
  </si>
  <si>
    <t>Bracket 3</t>
  </si>
  <si>
    <t>Bracket 1</t>
  </si>
  <si>
    <t>2026 Forecast adopted in D.25-12-027</t>
  </si>
  <si>
    <t xml:space="preserve">ER26-669-000 </t>
  </si>
  <si>
    <t xml:space="preserve">ER26-631-000 </t>
  </si>
  <si>
    <t>BSC E-1</t>
  </si>
  <si>
    <t>BSC EL-1</t>
  </si>
  <si>
    <t>7846-E</t>
  </si>
  <si>
    <t>Electric Preliminary Statement Part KC</t>
  </si>
  <si>
    <t>NTPSMA*</t>
  </si>
  <si>
    <t>2023 WMCE IRR Non IRR</t>
  </si>
  <si>
    <t>D.26-02-004</t>
  </si>
  <si>
    <t>March 1, 2026 Rate Change (AL 7846- E)  Implemented 2023 WMCE non IRR and BSC, Adjusted TACBAA, Minimum Bill, Recovery Bonds and WFHC</t>
  </si>
  <si>
    <t>2023 WMCE non-IRR</t>
  </si>
  <si>
    <t>Base Service Charge</t>
  </si>
  <si>
    <t>Wildfire Fund BC</t>
  </si>
  <si>
    <t>Wildfire Fund BC (formerly known as DWR Bond)</t>
  </si>
  <si>
    <t>2025 Recorded Data</t>
  </si>
  <si>
    <t>2025 Recorded Average Monthly Usage (kWh) - Bundled/Basic/non-medical/non-FERA</t>
  </si>
  <si>
    <r>
      <t>List of currently open proceedings for which affordability metrics have been filed</t>
    </r>
    <r>
      <rPr>
        <vertAlign val="superscript"/>
        <sz val="10.8"/>
        <color theme="1"/>
        <rFont val="Calibri"/>
        <family val="2"/>
      </rPr>
      <t>1</t>
    </r>
    <r>
      <rPr>
        <sz val="12"/>
        <color theme="1"/>
        <rFont val="Calibri"/>
        <family val="2"/>
        <scheme val="minor"/>
      </rPr>
      <t>:</t>
    </r>
  </si>
  <si>
    <r>
      <rPr>
        <vertAlign val="superscript"/>
        <sz val="9.9"/>
        <color theme="1"/>
        <rFont val="Calibri"/>
        <family val="2"/>
      </rPr>
      <t>1</t>
    </r>
    <r>
      <rPr>
        <sz val="11"/>
        <color theme="1"/>
        <rFont val="Calibri"/>
        <family val="2"/>
        <scheme val="minor"/>
      </rPr>
      <t>Per Decision 25-12-044, metrics are only required for &gt;1% increase requests in a General Rate Case filing. Therefore, PG&amp;E has removed items previously numbered 2 and 4 related to affordability proceedings filed that either exceeded or did not exceed the affordability threshold.</t>
    </r>
  </si>
  <si>
    <t>Wildfire Fund NBC</t>
  </si>
  <si>
    <t>N</t>
  </si>
  <si>
    <t>Income Qualified Program Bridge Funding ESA</t>
  </si>
  <si>
    <t>Income Qualified Program Bridge Funding CARE/ FERA</t>
  </si>
  <si>
    <t>Income Qualified Program CARE/FERA</t>
  </si>
  <si>
    <t>Income Qualified Program ESA</t>
  </si>
  <si>
    <t>2028-2033</t>
  </si>
  <si>
    <t>A.26-01-003</t>
  </si>
  <si>
    <t>Application, Table 6-9</t>
  </si>
  <si>
    <t>Application, Table 6-2 and  Table 6-6</t>
  </si>
  <si>
    <t>ERRA- PCIA Test Year</t>
  </si>
  <si>
    <t>ERRA- PCIA Balancing Account *</t>
  </si>
  <si>
    <t>Current 2026</t>
  </si>
  <si>
    <t>YE 2029</t>
  </si>
  <si>
    <t>Expected Ongoing Balance?</t>
  </si>
  <si>
    <t>2025 Recorded Average Monthly Usage (kWh) - Bundled/All Electric/non-medical/non-FERA</t>
  </si>
  <si>
    <t>B-19 Allocator</t>
  </si>
  <si>
    <t>Distribution (Wildfire) Revenues</t>
  </si>
  <si>
    <t>Bundled B-19 GHG</t>
  </si>
  <si>
    <t>B-19 CARE Surcharge</t>
  </si>
  <si>
    <t>B-19 Sales</t>
  </si>
  <si>
    <t>B-10 Allocator</t>
  </si>
  <si>
    <t>Bundled B-10 GHG</t>
  </si>
  <si>
    <t>B-10 CARE Surcharge</t>
  </si>
  <si>
    <t>B-10 Sales</t>
  </si>
  <si>
    <t>Bundled medium commercial average rate (B-10) if all pending revenue were granted in full (from Cost and Rate Tracker (CRT) as submitted by utility):</t>
  </si>
  <si>
    <t>Bundled large commercial average rate (B-20) if all pending revenue were granted in full (from Cost and Rate Tracker (CRT) as submitted by utility):</t>
  </si>
  <si>
    <t>Medium Commercial</t>
  </si>
  <si>
    <t>Large Commercial</t>
  </si>
  <si>
    <t>BSC EL-TOUC</t>
  </si>
  <si>
    <t>BSC E-TOUC</t>
  </si>
  <si>
    <t>D.26-02-037</t>
  </si>
  <si>
    <t>2027 ERRA Forecast</t>
  </si>
  <si>
    <t>AL 7856-E, AL 7535-E, D.23-11-069</t>
  </si>
  <si>
    <t>2027-2028</t>
  </si>
  <si>
    <t>2027-2029</t>
  </si>
  <si>
    <t>YE 2025</t>
  </si>
  <si>
    <r>
      <t>YE 2025</t>
    </r>
    <r>
      <rPr>
        <vertAlign val="superscript"/>
        <sz val="13.2"/>
        <color theme="1"/>
        <rFont val="Calibri"/>
        <family val="2"/>
      </rPr>
      <t>2</t>
    </r>
  </si>
  <si>
    <r>
      <t xml:space="preserve">2 </t>
    </r>
    <r>
      <rPr>
        <sz val="11"/>
        <color theme="1"/>
        <rFont val="Calibri"/>
        <family val="2"/>
      </rPr>
      <t xml:space="preserve">Updated </t>
    </r>
    <r>
      <rPr>
        <sz val="11"/>
        <color theme="1"/>
        <rFont val="Calibri"/>
        <family val="2"/>
        <scheme val="minor"/>
      </rPr>
      <t>usage data to match future years</t>
    </r>
  </si>
  <si>
    <t>Energy Efficiency</t>
  </si>
  <si>
    <t>A.26-03-017</t>
  </si>
  <si>
    <t>2028-2031</t>
  </si>
  <si>
    <t>DCPP Extended Operations 2027</t>
  </si>
  <si>
    <t>A.26-03-031</t>
  </si>
  <si>
    <t>Testimony, Table 10-1</t>
  </si>
  <si>
    <t>Testimony, Table 10-4</t>
  </si>
  <si>
    <t>A.26-05-007</t>
  </si>
  <si>
    <t>Testimony, Table 1-1</t>
  </si>
  <si>
    <t>Testimony, Page 1-3</t>
  </si>
  <si>
    <t>2027 Forecast proposed in A.26-05-007</t>
  </si>
  <si>
    <t>Reporting Date: June 1, 2026</t>
  </si>
  <si>
    <t>D.23-12-005/ D.26-03-016</t>
  </si>
  <si>
    <t>5. The forecast assumes perfect ratemaking, and does not include revenue-tracking balancing account balances beyond the current year.  Beyond the current year, cost-tracking balancing account balances are held flat or updated with more recent information when available.</t>
  </si>
  <si>
    <t xml:space="preserve">AB 32: Cap &amp; Trade/GHG </t>
  </si>
  <si>
    <r>
      <t>Tree Mortality</t>
    </r>
    <r>
      <rPr>
        <sz val="11"/>
        <color rgb="FF0070C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</si>
</sst>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dd/yy;@"/>
    <numFmt numFmtId="165" formatCode="0.0%"/>
    <numFmt numFmtId="166" formatCode="0.00000"/>
    <numFmt numFmtId="167" formatCode="#.00"/>
    <numFmt numFmtId="168" formatCode="#,##0."/>
    <numFmt numFmtId="169" formatCode="&quot;$&quot;#."/>
    <numFmt numFmtId="170" formatCode="0.00_)"/>
    <numFmt numFmtId="171" formatCode="#,##0.00&quot; $&quot;;\-#,##0.00&quot; $&quot;"/>
    <numFmt numFmtId="172" formatCode="m\-d\-yy"/>
    <numFmt numFmtId="173" formatCode="_(* #,##0_);_(* \(#,##0\);_(* &quot;-&quot;??_);_(@_)"/>
    <numFmt numFmtId="174" formatCode="#,##0.0"/>
    <numFmt numFmtId="175" formatCode="_(&quot;$&quot;* #,##0_);_(&quot;$&quot;* \(#,##0\);_(&quot;$&quot;* &quot;-&quot;??_);_(@_)"/>
    <numFmt numFmtId="176" formatCode="#,##0.00000_);[Red]\(#,##0.00000\)"/>
    <numFmt numFmtId="177" formatCode="0.0"/>
    <numFmt numFmtId="178" formatCode="_(* #,##0.000000_);_(* \(#,##0.000000\);_(* &quot;-&quot;??_);_(@_)"/>
    <numFmt numFmtId="179" formatCode="0.0000000000"/>
    <numFmt numFmtId="180" formatCode="_-* #,##0.0_-;\-* #,##0.0_-;_-* &quot;-&quot;??_-;_-@_-"/>
    <numFmt numFmtId="181" formatCode="0.0000"/>
    <numFmt numFmtId="182" formatCode="0.000000"/>
    <numFmt numFmtId="183" formatCode="&quot;$&quot;#,##0.00"/>
    <numFmt numFmtId="184" formatCode="0.000%"/>
    <numFmt numFmtId="185" formatCode="0.000"/>
    <numFmt numFmtId="186" formatCode="&quot;$&quot;#,##0"/>
    <numFmt numFmtId="187" formatCode="_(* #,##0.00_);_(* \(#,##0.00\);_(* &quot;-&quot;??????_);_(@_)"/>
    <numFmt numFmtId="188" formatCode="_(&quot;$&quot;* #,##0.00000_);_(&quot;$&quot;* \(#,##0.00000\);_(&quot;$&quot;* &quot;-&quot;??_);_(@_)"/>
  </numFmts>
  <fonts count="68">
    <font>
      <sz val="11"/>
      <color theme="1"/>
      <name val="Calibri"/>
      <family val="2"/>
      <scheme val="minor"/>
    </font>
    <font>
      <b/>
      <sz val="11"/>
      <color theme="1"/>
      <name val="Calibri"/>
      <family val="2"/>
      <scheme val="minor"/>
    </font>
    <font>
      <sz val="12"/>
      <color theme="1"/>
      <name val="Calibri"/>
      <family val="2"/>
      <scheme val="minor"/>
    </font>
    <font>
      <sz val="10"/>
      <name val="Arial"/>
      <family val="2"/>
    </font>
    <font>
      <b/>
      <sz val="10"/>
      <name val="Arial"/>
      <family val="2"/>
    </font>
    <font>
      <sz val="10"/>
      <name val="MS Sans Serif"/>
      <family val="2"/>
    </font>
    <font>
      <sz val="1"/>
      <color indexed="8"/>
      <name val="Courier"/>
      <family val="3"/>
    </font>
    <font>
      <sz val="8"/>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2"/>
      <name val="Garamond"/>
      <family val="1"/>
    </font>
    <font>
      <b/>
      <sz val="11"/>
      <name val="Garamond"/>
      <family val="1"/>
    </font>
    <font>
      <sz val="11"/>
      <name val="Garamond"/>
      <family val="1"/>
    </font>
    <font>
      <b/>
      <sz val="12"/>
      <name val="Garamond"/>
      <family val="1"/>
    </font>
    <font>
      <sz val="10"/>
      <name val="Garamond"/>
      <family val="1"/>
    </font>
    <font>
      <sz val="11"/>
      <color theme="1"/>
      <name val="Garamond"/>
      <family val="1"/>
    </font>
    <font>
      <b/>
      <sz val="11"/>
      <color theme="1"/>
      <name val="Garamond"/>
      <family val="1"/>
    </font>
    <font>
      <u/>
      <sz val="10"/>
      <name val="Garamond"/>
      <family val="1"/>
    </font>
    <font>
      <b/>
      <sz val="10"/>
      <name val="Garamond"/>
      <family val="1"/>
    </font>
    <font>
      <sz val="10"/>
      <color indexed="10"/>
      <name val="Garamond"/>
      <family val="1"/>
    </font>
    <font>
      <b/>
      <sz val="11"/>
      <color rgb="FFFF0000"/>
      <name val="Garamond"/>
      <family val="1"/>
    </font>
    <font>
      <sz val="11"/>
      <color theme="1"/>
      <name val="Calibri"/>
      <family val="2"/>
      <scheme val="minor"/>
    </font>
    <font>
      <sz val="11"/>
      <name val="Calibri"/>
      <family val="2"/>
      <scheme val="minor"/>
    </font>
    <font>
      <b/>
      <sz val="11"/>
      <name val="Calibri"/>
      <family val="2"/>
      <scheme val="minor"/>
    </font>
    <font>
      <b/>
      <sz val="11"/>
      <color rgb="FF3333FF"/>
      <name val="Calibri"/>
      <family val="2"/>
      <scheme val="minor"/>
    </font>
    <font>
      <sz val="11"/>
      <color rgb="FF3333FF"/>
      <name val="Garamond"/>
      <family val="1"/>
    </font>
    <font>
      <b/>
      <sz val="11"/>
      <color rgb="FF3333FF"/>
      <name val="Garamond"/>
      <family val="1"/>
    </font>
    <font>
      <sz val="12"/>
      <color rgb="FFFF0000"/>
      <name val="Garamond"/>
      <family val="1"/>
    </font>
    <font>
      <b/>
      <sz val="12"/>
      <color rgb="FFFF0000"/>
      <name val="Garamond"/>
      <family val="1"/>
    </font>
    <font>
      <b/>
      <sz val="12"/>
      <color rgb="FF3333FF"/>
      <name val="Garamond"/>
      <family val="1"/>
    </font>
    <font>
      <sz val="12"/>
      <color theme="1"/>
      <name val="Garamond"/>
      <family val="1"/>
    </font>
    <font>
      <sz val="8"/>
      <name val="Calibri"/>
      <family val="2"/>
      <scheme val="minor"/>
    </font>
    <font>
      <b/>
      <u/>
      <sz val="12"/>
      <name val="Garamond"/>
      <family val="1"/>
    </font>
    <font>
      <sz val="10"/>
      <name val="Arial"/>
      <family val="2"/>
    </font>
    <font>
      <sz val="10"/>
      <name val="Geneva"/>
    </font>
    <font>
      <sz val="11"/>
      <name val="??"/>
      <family val="3"/>
      <charset val="129"/>
    </font>
    <font>
      <sz val="11"/>
      <color rgb="FF0070C0"/>
      <name val="Calibri"/>
      <family val="2"/>
    </font>
    <font>
      <sz val="11"/>
      <color rgb="FFFF0000"/>
      <name val="Calibri"/>
      <family val="2"/>
      <scheme val="minor"/>
    </font>
    <font>
      <sz val="10"/>
      <color theme="1"/>
      <name val="Arial"/>
      <family val="2"/>
    </font>
    <font>
      <b/>
      <i/>
      <sz val="16"/>
      <name val="Helv"/>
      <family val="2"/>
    </font>
    <font>
      <sz val="10"/>
      <name val="Geneva"/>
      <family val="2"/>
    </font>
    <font>
      <sz val="11"/>
      <color rgb="FF000000"/>
      <name val="Calibri"/>
      <family val="2"/>
    </font>
    <font>
      <sz val="9"/>
      <name val="Arial"/>
      <family val="2"/>
    </font>
    <font>
      <sz val="12"/>
      <color theme="1"/>
      <name val="Century Schoolbook"/>
      <family val="1"/>
    </font>
    <font>
      <sz val="11"/>
      <color rgb="FF000000"/>
      <name val="Calibri"/>
      <family val="2"/>
      <scheme val="minor"/>
    </font>
    <font>
      <sz val="11"/>
      <color theme="1"/>
      <name val="Calibri"/>
      <family val="2"/>
    </font>
    <font>
      <u/>
      <sz val="11"/>
      <color theme="10"/>
      <name val="Calibri"/>
      <family val="2"/>
      <scheme val="minor"/>
    </font>
    <font>
      <sz val="11"/>
      <color rgb="FF242424"/>
      <name val="Calibri"/>
      <family val="2"/>
    </font>
    <font>
      <sz val="14"/>
      <color theme="1"/>
      <name val="Calibri"/>
      <family val="2"/>
      <scheme val="minor"/>
    </font>
    <font>
      <sz val="10"/>
      <color rgb="FF000000"/>
      <name val="Arial"/>
      <family val="2"/>
    </font>
    <font>
      <b/>
      <sz val="16"/>
      <color rgb="FF000000"/>
      <name val="Calibri"/>
      <family val="2"/>
      <scheme val="minor"/>
    </font>
    <font>
      <b/>
      <i/>
      <sz val="11"/>
      <color rgb="FFFF0000"/>
      <name val="Calibri"/>
      <family val="2"/>
      <scheme val="minor"/>
    </font>
    <font>
      <b/>
      <sz val="11"/>
      <color rgb="FF000000"/>
      <name val="Calibri"/>
      <family val="2"/>
      <scheme val="minor"/>
    </font>
    <font>
      <b/>
      <sz val="10"/>
      <color rgb="FFFF0000"/>
      <name val="Calibri"/>
      <family val="2"/>
      <scheme val="minor"/>
    </font>
    <font>
      <u/>
      <sz val="11"/>
      <color rgb="FF000000"/>
      <name val="Calibri"/>
      <family val="2"/>
      <scheme val="minor"/>
    </font>
    <font>
      <vertAlign val="superscript"/>
      <sz val="11"/>
      <color theme="1"/>
      <name val="Aptos Narrow"/>
      <family val="2"/>
    </font>
    <font>
      <vertAlign val="superscript"/>
      <sz val="11"/>
      <color theme="1"/>
      <name val="Calibri"/>
      <family val="2"/>
      <scheme val="minor"/>
    </font>
    <font>
      <vertAlign val="superscript"/>
      <sz val="11"/>
      <color rgb="FF000000"/>
      <name val="Calibri"/>
      <family val="2"/>
    </font>
    <font>
      <sz val="12"/>
      <name val="Calibri"/>
      <family val="2"/>
      <scheme val="minor"/>
    </font>
    <font>
      <sz val="12"/>
      <color rgb="FFFF0000"/>
      <name val="Calibri"/>
      <family val="2"/>
      <scheme val="minor"/>
    </font>
    <font>
      <u/>
      <sz val="12"/>
      <name val="Calibri"/>
      <family val="2"/>
      <scheme val="minor"/>
    </font>
    <font>
      <b/>
      <sz val="14"/>
      <color theme="1"/>
      <name val="Garamond"/>
      <family val="1"/>
    </font>
    <font>
      <vertAlign val="superscript"/>
      <sz val="10.8"/>
      <color theme="1"/>
      <name val="Calibri"/>
      <family val="2"/>
    </font>
    <font>
      <vertAlign val="superscript"/>
      <sz val="9.9"/>
      <color theme="1"/>
      <name val="Calibri"/>
      <family val="2"/>
    </font>
    <font>
      <vertAlign val="superscript"/>
      <sz val="13.2"/>
      <color theme="1"/>
      <name val="Calibri"/>
      <family val="2"/>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rgb="FFFFFF00"/>
        <bgColor indexed="64"/>
      </patternFill>
    </fill>
    <fill>
      <patternFill patternType="solid">
        <fgColor theme="8" tint="0.39997558519241921"/>
        <bgColor indexed="64"/>
      </patternFill>
    </fill>
    <fill>
      <patternFill patternType="solid">
        <fgColor theme="2" tint="-0.499984740745262"/>
        <bgColor indexed="64"/>
      </patternFill>
    </fill>
  </fills>
  <borders count="56">
    <border>
      <left/>
      <right/>
      <top/>
      <bottom/>
      <diagonal/>
    </border>
    <border>
      <left/>
      <right/>
      <top style="thin">
        <color auto="1"/>
      </top>
      <bottom style="thin">
        <color auto="1"/>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style="double">
        <color auto="1"/>
      </bottom>
      <diagonal/>
    </border>
    <border>
      <left/>
      <right style="thin">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72">
    <xf numFmtId="0" fontId="0" fillId="0" borderId="0"/>
    <xf numFmtId="0" fontId="3" fillId="0" borderId="0"/>
    <xf numFmtId="172" fontId="4" fillId="2" borderId="2">
      <alignment horizontal="center" vertical="center"/>
    </xf>
    <xf numFmtId="43" fontId="3" fillId="0" borderId="0" applyFont="0" applyFill="0" applyBorder="0" applyAlignment="0" applyProtection="0"/>
    <xf numFmtId="168" fontId="6" fillId="0" borderId="0">
      <protection locked="0"/>
    </xf>
    <xf numFmtId="44" fontId="3" fillId="0" borderId="0" applyFont="0" applyFill="0" applyBorder="0" applyAlignment="0" applyProtection="0"/>
    <xf numFmtId="44" fontId="3" fillId="0" borderId="0" applyFont="0" applyFill="0" applyBorder="0" applyAlignment="0" applyProtection="0"/>
    <xf numFmtId="169" fontId="6" fillId="0" borderId="0">
      <protection locked="0"/>
    </xf>
    <xf numFmtId="0" fontId="6" fillId="0" borderId="0">
      <protection locked="0"/>
    </xf>
    <xf numFmtId="167" fontId="6" fillId="0" borderId="0">
      <protection locked="0"/>
    </xf>
    <xf numFmtId="38" fontId="7" fillId="3" borderId="0" applyNumberFormat="0" applyBorder="0" applyAlignment="0" applyProtection="0"/>
    <xf numFmtId="0" fontId="8" fillId="0" borderId="0" applyNumberFormat="0" applyFill="0" applyBorder="0" applyAlignment="0" applyProtection="0"/>
    <xf numFmtId="0" fontId="6" fillId="0" borderId="0">
      <protection locked="0"/>
    </xf>
    <xf numFmtId="0" fontId="6" fillId="0" borderId="0">
      <protection locked="0"/>
    </xf>
    <xf numFmtId="171" fontId="3" fillId="0" borderId="0">
      <protection locked="0"/>
    </xf>
    <xf numFmtId="171" fontId="3" fillId="0" borderId="0">
      <protection locked="0"/>
    </xf>
    <xf numFmtId="0" fontId="9" fillId="0" borderId="3" applyNumberFormat="0" applyFill="0" applyAlignment="0" applyProtection="0"/>
    <xf numFmtId="10" fontId="7" fillId="4" borderId="4" applyNumberFormat="0" applyBorder="0" applyAlignment="0" applyProtection="0"/>
    <xf numFmtId="37" fontId="10" fillId="0" borderId="0"/>
    <xf numFmtId="170" fontId="11" fillId="0" borderId="0"/>
    <xf numFmtId="0" fontId="3" fillId="0" borderId="0"/>
    <xf numFmtId="0" fontId="3" fillId="0" borderId="0"/>
    <xf numFmtId="9"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6" fillId="0" borderId="5">
      <protection locked="0"/>
    </xf>
    <xf numFmtId="37" fontId="7" fillId="5" borderId="0" applyNumberFormat="0" applyBorder="0" applyAlignment="0" applyProtection="0"/>
    <xf numFmtId="37" fontId="7" fillId="0" borderId="0"/>
    <xf numFmtId="37" fontId="7" fillId="5" borderId="0" applyNumberFormat="0" applyBorder="0" applyAlignment="0" applyProtection="0"/>
    <xf numFmtId="3" fontId="12" fillId="0" borderId="3" applyProtection="0"/>
    <xf numFmtId="0" fontId="3" fillId="0" borderId="0"/>
    <xf numFmtId="0" fontId="5" fillId="0" borderId="0"/>
    <xf numFmtId="9" fontId="5" fillId="0" borderId="0" applyFont="0" applyFill="0" applyBorder="0" applyAlignment="0" applyProtection="0"/>
    <xf numFmtId="0" fontId="5" fillId="0" borderId="0"/>
    <xf numFmtId="0" fontId="3" fillId="0" borderId="0"/>
    <xf numFmtId="0" fontId="3" fillId="0" borderId="0"/>
    <xf numFmtId="43" fontId="24" fillId="0" borderId="0" applyFont="0" applyFill="0" applyBorder="0" applyAlignment="0" applyProtection="0"/>
    <xf numFmtId="44" fontId="24" fillId="0" borderId="0" applyFont="0" applyFill="0" applyBorder="0" applyAlignment="0" applyProtection="0"/>
    <xf numFmtId="43" fontId="3" fillId="0" borderId="0" applyFont="0" applyFill="0" applyBorder="0" applyAlignment="0" applyProtection="0"/>
    <xf numFmtId="0" fontId="3" fillId="0" borderId="0"/>
    <xf numFmtId="0" fontId="24" fillId="0" borderId="0"/>
    <xf numFmtId="9" fontId="24" fillId="0" borderId="0" applyFont="0" applyFill="0" applyBorder="0" applyAlignment="0" applyProtection="0"/>
    <xf numFmtId="0" fontId="3" fillId="0" borderId="0"/>
    <xf numFmtId="0" fontId="36" fillId="0" borderId="0"/>
    <xf numFmtId="0" fontId="3" fillId="0" borderId="0" applyNumberFormat="0" applyFill="0" applyBorder="0" applyAlignment="0" applyProtection="0"/>
    <xf numFmtId="179" fontId="37" fillId="2" borderId="2">
      <alignment horizontal="center" vertical="center"/>
    </xf>
    <xf numFmtId="6" fontId="38" fillId="0" borderId="0">
      <protection locked="0"/>
    </xf>
    <xf numFmtId="180" fontId="3" fillId="0" borderId="0">
      <protection locked="0"/>
    </xf>
    <xf numFmtId="0" fontId="36" fillId="0" borderId="0"/>
    <xf numFmtId="0" fontId="3" fillId="0" borderId="0"/>
    <xf numFmtId="9" fontId="41" fillId="0" borderId="0" applyFont="0" applyFill="0" applyBorder="0" applyAlignment="0" applyProtection="0"/>
    <xf numFmtId="44" fontId="24" fillId="0" borderId="0" applyFont="0" applyFill="0" applyBorder="0" applyAlignment="0" applyProtection="0"/>
    <xf numFmtId="42" fontId="41" fillId="0" borderId="0" applyFont="0" applyFill="0" applyBorder="0" applyAlignment="0" applyProtection="0"/>
    <xf numFmtId="43" fontId="24" fillId="0" borderId="0" applyFont="0" applyFill="0" applyBorder="0" applyAlignment="0" applyProtection="0"/>
    <xf numFmtId="41" fontId="41" fillId="0" borderId="0" applyFont="0" applyFill="0" applyBorder="0" applyAlignment="0" applyProtection="0"/>
    <xf numFmtId="0" fontId="7" fillId="3" borderId="0" applyNumberFormat="0" applyBorder="0" applyAlignment="0" applyProtection="0"/>
    <xf numFmtId="0" fontId="7" fillId="4" borderId="4" applyNumberFormat="0" applyBorder="0" applyAlignment="0" applyProtection="0"/>
    <xf numFmtId="170" fontId="42" fillId="0" borderId="0"/>
    <xf numFmtId="0" fontId="7" fillId="5" borderId="0" applyNumberFormat="0" applyBorder="0" applyAlignment="0" applyProtection="0"/>
    <xf numFmtId="0" fontId="3" fillId="0" borderId="0"/>
    <xf numFmtId="179" fontId="43" fillId="2" borderId="2">
      <alignment horizontal="center" vertical="center"/>
    </xf>
    <xf numFmtId="0" fontId="3" fillId="0" borderId="0"/>
    <xf numFmtId="0" fontId="45" fillId="0" borderId="0"/>
    <xf numFmtId="0" fontId="24" fillId="0" borderId="0"/>
    <xf numFmtId="0" fontId="49" fillId="0" borderId="0" applyNumberFormat="0" applyFill="0" applyBorder="0" applyAlignment="0" applyProtection="0"/>
    <xf numFmtId="0" fontId="24" fillId="0" borderId="0"/>
    <xf numFmtId="0" fontId="48" fillId="0" borderId="0"/>
    <xf numFmtId="43" fontId="3" fillId="0" borderId="0" applyFont="0" applyFill="0" applyBorder="0" applyAlignment="0" applyProtection="0"/>
    <xf numFmtId="0" fontId="49" fillId="0" borderId="0" applyNumberFormat="0" applyFill="0" applyBorder="0" applyAlignment="0" applyProtection="0"/>
    <xf numFmtId="0" fontId="24" fillId="0" borderId="0"/>
    <xf numFmtId="0" fontId="48" fillId="0" borderId="0"/>
  </cellStyleXfs>
  <cellXfs count="572">
    <xf numFmtId="0" fontId="0" fillId="0" borderId="0" xfId="0"/>
    <xf numFmtId="0" fontId="14" fillId="0" borderId="0" xfId="1" applyFont="1" applyAlignment="1">
      <alignment horizontal="right"/>
    </xf>
    <xf numFmtId="173" fontId="15" fillId="0" borderId="0" xfId="3" applyNumberFormat="1" applyFont="1" applyFill="1" applyBorder="1" applyAlignment="1">
      <alignment horizontal="center"/>
    </xf>
    <xf numFmtId="0" fontId="15" fillId="0" borderId="0" xfId="1" applyFont="1" applyAlignment="1">
      <alignment horizontal="center"/>
    </xf>
    <xf numFmtId="0" fontId="15" fillId="0" borderId="7" xfId="1" applyFont="1" applyBorder="1" applyAlignment="1">
      <alignment horizontal="center" wrapText="1"/>
    </xf>
    <xf numFmtId="0" fontId="13" fillId="0" borderId="0" xfId="0" applyFont="1"/>
    <xf numFmtId="0" fontId="13" fillId="0" borderId="0" xfId="0" applyFont="1" applyAlignment="1">
      <alignment horizontal="center" wrapText="1"/>
    </xf>
    <xf numFmtId="43" fontId="13" fillId="0" borderId="0" xfId="0" applyNumberFormat="1" applyFont="1"/>
    <xf numFmtId="3" fontId="13" fillId="0" borderId="0" xfId="0" applyNumberFormat="1" applyFont="1" applyAlignment="1">
      <alignment horizontal="center"/>
    </xf>
    <xf numFmtId="38" fontId="13" fillId="0" borderId="0" xfId="0" applyNumberFormat="1" applyFont="1" applyAlignment="1">
      <alignment horizontal="center"/>
    </xf>
    <xf numFmtId="10" fontId="13" fillId="0" borderId="0" xfId="25" applyNumberFormat="1" applyFont="1" applyAlignment="1">
      <alignment horizontal="center"/>
    </xf>
    <xf numFmtId="43" fontId="13" fillId="0" borderId="0" xfId="3" applyFont="1" applyFill="1"/>
    <xf numFmtId="0" fontId="1" fillId="0" borderId="0" xfId="0" applyFont="1"/>
    <xf numFmtId="0" fontId="0" fillId="0" borderId="6" xfId="0" applyBorder="1"/>
    <xf numFmtId="14" fontId="15" fillId="0" borderId="4" xfId="1" quotePrefix="1" applyNumberFormat="1" applyFont="1" applyBorder="1" applyAlignment="1">
      <alignment horizontal="center" wrapText="1"/>
    </xf>
    <xf numFmtId="0" fontId="14" fillId="0" borderId="0" xfId="1" applyFont="1"/>
    <xf numFmtId="0" fontId="15" fillId="0" borderId="0" xfId="1" applyFont="1"/>
    <xf numFmtId="0" fontId="15" fillId="0" borderId="4" xfId="1" applyFont="1" applyBorder="1" applyAlignment="1">
      <alignment horizontal="center" wrapText="1"/>
    </xf>
    <xf numFmtId="15" fontId="15" fillId="0" borderId="0" xfId="1" applyNumberFormat="1" applyFont="1"/>
    <xf numFmtId="0" fontId="15" fillId="0" borderId="0" xfId="0" applyFont="1"/>
    <xf numFmtId="0" fontId="18" fillId="0" borderId="0" xfId="0" applyFont="1"/>
    <xf numFmtId="0" fontId="18" fillId="0" borderId="0" xfId="0" applyFont="1" applyAlignment="1">
      <alignment horizontal="right"/>
    </xf>
    <xf numFmtId="0" fontId="15" fillId="6" borderId="4" xfId="1" applyFont="1" applyFill="1" applyBorder="1" applyAlignment="1">
      <alignment horizontal="center"/>
    </xf>
    <xf numFmtId="0" fontId="15" fillId="0" borderId="24" xfId="1" applyFont="1" applyBorder="1"/>
    <xf numFmtId="174" fontId="15" fillId="0" borderId="28" xfId="1" applyNumberFormat="1" applyFont="1" applyBorder="1" applyAlignment="1">
      <alignment horizontal="center"/>
    </xf>
    <xf numFmtId="165" fontId="15" fillId="0" borderId="30" xfId="25" applyNumberFormat="1" applyFont="1" applyFill="1" applyBorder="1" applyAlignment="1">
      <alignment horizontal="center"/>
    </xf>
    <xf numFmtId="165" fontId="15" fillId="0" borderId="8" xfId="25" applyNumberFormat="1" applyFont="1" applyFill="1" applyBorder="1" applyAlignment="1">
      <alignment horizontal="center"/>
    </xf>
    <xf numFmtId="174" fontId="15" fillId="0" borderId="29" xfId="1" applyNumberFormat="1" applyFont="1" applyBorder="1" applyAlignment="1">
      <alignment horizontal="center"/>
    </xf>
    <xf numFmtId="165" fontId="15" fillId="0" borderId="29" xfId="25" applyNumberFormat="1" applyFont="1" applyFill="1" applyBorder="1" applyAlignment="1">
      <alignment horizontal="center"/>
    </xf>
    <xf numFmtId="165" fontId="15" fillId="0" borderId="11" xfId="25" applyNumberFormat="1" applyFont="1" applyFill="1" applyBorder="1" applyAlignment="1">
      <alignment horizontal="center"/>
    </xf>
    <xf numFmtId="0" fontId="15" fillId="0" borderId="35" xfId="1" applyFont="1" applyBorder="1" applyAlignment="1">
      <alignment horizontal="center"/>
    </xf>
    <xf numFmtId="0" fontId="15" fillId="0" borderId="1" xfId="1" applyFont="1" applyBorder="1" applyAlignment="1">
      <alignment horizontal="center"/>
    </xf>
    <xf numFmtId="44" fontId="15" fillId="0" borderId="30" xfId="1" applyNumberFormat="1" applyFont="1" applyBorder="1" applyAlignment="1">
      <alignment horizontal="center"/>
    </xf>
    <xf numFmtId="165" fontId="15" fillId="0" borderId="30" xfId="22" applyNumberFormat="1" applyFont="1" applyFill="1" applyBorder="1" applyAlignment="1">
      <alignment horizontal="center"/>
    </xf>
    <xf numFmtId="165" fontId="15" fillId="0" borderId="8" xfId="22" applyNumberFormat="1" applyFont="1" applyFill="1" applyBorder="1" applyAlignment="1">
      <alignment horizontal="center"/>
    </xf>
    <xf numFmtId="44" fontId="15" fillId="0" borderId="29" xfId="1" applyNumberFormat="1" applyFont="1" applyBorder="1" applyAlignment="1">
      <alignment horizontal="center"/>
    </xf>
    <xf numFmtId="165" fontId="15" fillId="0" borderId="29" xfId="22" applyNumberFormat="1" applyFont="1" applyFill="1" applyBorder="1" applyAlignment="1">
      <alignment horizontal="center"/>
    </xf>
    <xf numFmtId="165" fontId="15" fillId="0" borderId="11" xfId="22" applyNumberFormat="1" applyFont="1" applyFill="1" applyBorder="1" applyAlignment="1">
      <alignment horizontal="center"/>
    </xf>
    <xf numFmtId="0" fontId="15" fillId="0" borderId="0" xfId="1" applyFont="1" applyAlignment="1">
      <alignment horizontal="right"/>
    </xf>
    <xf numFmtId="0" fontId="15" fillId="0" borderId="0" xfId="0" applyFont="1" applyAlignment="1">
      <alignment horizontal="right"/>
    </xf>
    <xf numFmtId="0" fontId="18" fillId="0" borderId="0" xfId="0" applyFont="1" applyAlignment="1">
      <alignment horizontal="center"/>
    </xf>
    <xf numFmtId="9" fontId="18" fillId="0" borderId="0" xfId="42" applyFont="1" applyFill="1" applyBorder="1" applyAlignment="1">
      <alignment horizontal="center"/>
    </xf>
    <xf numFmtId="0" fontId="0" fillId="0" borderId="0" xfId="0" applyAlignment="1">
      <alignment horizontal="left"/>
    </xf>
    <xf numFmtId="0" fontId="13" fillId="0" borderId="0" xfId="0" applyFont="1" applyAlignment="1">
      <alignment horizontal="center"/>
    </xf>
    <xf numFmtId="0" fontId="14" fillId="0" borderId="6" xfId="1" applyFont="1" applyBorder="1" applyAlignment="1">
      <alignment horizontal="center"/>
    </xf>
    <xf numFmtId="0" fontId="19" fillId="0" borderId="0" xfId="0" applyFont="1"/>
    <xf numFmtId="0" fontId="19" fillId="0" borderId="0" xfId="0" applyFont="1" applyAlignment="1">
      <alignment horizontal="center"/>
    </xf>
    <xf numFmtId="3" fontId="18" fillId="0" borderId="0" xfId="0" applyNumberFormat="1" applyFont="1" applyAlignment="1">
      <alignment horizontal="center"/>
    </xf>
    <xf numFmtId="0" fontId="28" fillId="0" borderId="0" xfId="0" applyFont="1" applyAlignment="1">
      <alignment horizontal="center"/>
    </xf>
    <xf numFmtId="165" fontId="15" fillId="0" borderId="37" xfId="25" applyNumberFormat="1" applyFont="1" applyFill="1" applyBorder="1" applyAlignment="1">
      <alignment horizontal="center"/>
    </xf>
    <xf numFmtId="165" fontId="15" fillId="0" borderId="38" xfId="25" applyNumberFormat="1" applyFont="1" applyFill="1" applyBorder="1" applyAlignment="1">
      <alignment horizontal="center"/>
    </xf>
    <xf numFmtId="165" fontId="15" fillId="0" borderId="39" xfId="22" applyNumberFormat="1" applyFont="1" applyFill="1" applyBorder="1" applyAlignment="1">
      <alignment horizontal="center"/>
    </xf>
    <xf numFmtId="165" fontId="15" fillId="0" borderId="37" xfId="22" applyNumberFormat="1" applyFont="1" applyFill="1" applyBorder="1" applyAlignment="1">
      <alignment horizontal="center"/>
    </xf>
    <xf numFmtId="165" fontId="15" fillId="0" borderId="38" xfId="22" applyNumberFormat="1" applyFont="1" applyFill="1" applyBorder="1" applyAlignment="1">
      <alignment horizontal="center"/>
    </xf>
    <xf numFmtId="166" fontId="18" fillId="0" borderId="0" xfId="6" applyNumberFormat="1" applyFont="1" applyFill="1"/>
    <xf numFmtId="0" fontId="18" fillId="0" borderId="31" xfId="0" applyFont="1" applyBorder="1"/>
    <xf numFmtId="44" fontId="18" fillId="0" borderId="0" xfId="6" applyFont="1" applyFill="1" applyBorder="1"/>
    <xf numFmtId="0" fontId="31" fillId="0" borderId="0" xfId="0" applyFont="1" applyAlignment="1">
      <alignment horizontal="center" wrapText="1"/>
    </xf>
    <xf numFmtId="0" fontId="13" fillId="0" borderId="13" xfId="0" applyFont="1" applyBorder="1" applyAlignment="1">
      <alignment horizontal="center" wrapText="1"/>
    </xf>
    <xf numFmtId="0" fontId="32" fillId="0" borderId="0" xfId="0" applyFont="1"/>
    <xf numFmtId="173" fontId="13" fillId="0" borderId="0" xfId="0" applyNumberFormat="1" applyFont="1" applyAlignment="1">
      <alignment horizontal="center"/>
    </xf>
    <xf numFmtId="173" fontId="13" fillId="0" borderId="0" xfId="3" applyNumberFormat="1" applyFont="1" applyFill="1"/>
    <xf numFmtId="0" fontId="32" fillId="0" borderId="0" xfId="0" applyFont="1" applyAlignment="1">
      <alignment horizontal="center"/>
    </xf>
    <xf numFmtId="173" fontId="13" fillId="0" borderId="0" xfId="3" applyNumberFormat="1" applyFont="1" applyFill="1" applyBorder="1"/>
    <xf numFmtId="43" fontId="13" fillId="0" borderId="0" xfId="0" applyNumberFormat="1" applyFont="1" applyAlignment="1">
      <alignment horizontal="center"/>
    </xf>
    <xf numFmtId="0" fontId="15" fillId="0" borderId="40" xfId="1" applyFont="1" applyBorder="1" applyAlignment="1">
      <alignment horizontal="center" wrapText="1"/>
    </xf>
    <xf numFmtId="165" fontId="15" fillId="0" borderId="28" xfId="22" applyNumberFormat="1" applyFont="1" applyFill="1" applyBorder="1" applyAlignment="1">
      <alignment horizontal="center"/>
    </xf>
    <xf numFmtId="173" fontId="18" fillId="0" borderId="0" xfId="42" applyNumberFormat="1" applyFont="1" applyFill="1" applyBorder="1" applyAlignment="1">
      <alignment horizontal="center"/>
    </xf>
    <xf numFmtId="175" fontId="0" fillId="0" borderId="0" xfId="38" applyNumberFormat="1" applyFont="1" applyFill="1"/>
    <xf numFmtId="14" fontId="15" fillId="0" borderId="4" xfId="1" applyNumberFormat="1" applyFont="1" applyBorder="1" applyAlignment="1">
      <alignment horizontal="center" wrapText="1"/>
    </xf>
    <xf numFmtId="173" fontId="13" fillId="0" borderId="0" xfId="0" applyNumberFormat="1" applyFont="1"/>
    <xf numFmtId="10" fontId="13" fillId="0" borderId="0" xfId="24" applyNumberFormat="1" applyFont="1" applyFill="1" applyAlignment="1">
      <alignment horizontal="center"/>
    </xf>
    <xf numFmtId="43" fontId="0" fillId="0" borderId="0" xfId="37" applyFont="1" applyFill="1"/>
    <xf numFmtId="41" fontId="0" fillId="0" borderId="0" xfId="37" applyNumberFormat="1" applyFont="1" applyFill="1" applyBorder="1"/>
    <xf numFmtId="173" fontId="0" fillId="0" borderId="0" xfId="37" applyNumberFormat="1" applyFont="1" applyFill="1" applyBorder="1"/>
    <xf numFmtId="173" fontId="13" fillId="0" borderId="0" xfId="37" applyNumberFormat="1" applyFont="1" applyFill="1"/>
    <xf numFmtId="173" fontId="0" fillId="0" borderId="0" xfId="37" applyNumberFormat="1" applyFont="1" applyFill="1"/>
    <xf numFmtId="9" fontId="33" fillId="0" borderId="0" xfId="42" applyFont="1" applyAlignment="1">
      <alignment horizontal="right"/>
    </xf>
    <xf numFmtId="44" fontId="19" fillId="0" borderId="0" xfId="6" applyFont="1" applyFill="1" applyBorder="1"/>
    <xf numFmtId="165" fontId="18" fillId="0" borderId="0" xfId="24" applyNumberFormat="1" applyFont="1" applyFill="1" applyBorder="1"/>
    <xf numFmtId="165" fontId="13" fillId="0" borderId="0" xfId="24" applyNumberFormat="1" applyFont="1" applyFill="1" applyAlignment="1">
      <alignment horizontal="center"/>
    </xf>
    <xf numFmtId="10" fontId="13" fillId="0" borderId="33" xfId="24" applyNumberFormat="1" applyFont="1" applyFill="1" applyBorder="1" applyAlignment="1">
      <alignment horizontal="center"/>
    </xf>
    <xf numFmtId="9" fontId="33" fillId="0" borderId="0" xfId="42" applyFont="1" applyFill="1" applyAlignment="1">
      <alignment horizontal="right"/>
    </xf>
    <xf numFmtId="9" fontId="33" fillId="0" borderId="0" xfId="42" applyFont="1" applyFill="1"/>
    <xf numFmtId="173" fontId="13" fillId="0" borderId="19" xfId="3" applyNumberFormat="1" applyFont="1" applyFill="1" applyBorder="1"/>
    <xf numFmtId="173" fontId="13" fillId="0" borderId="33" xfId="3" applyNumberFormat="1" applyFont="1" applyFill="1" applyBorder="1"/>
    <xf numFmtId="173" fontId="33" fillId="0" borderId="0" xfId="37" applyNumberFormat="1" applyFont="1" applyFill="1"/>
    <xf numFmtId="44" fontId="15" fillId="0" borderId="0" xfId="1" applyNumberFormat="1" applyFont="1" applyAlignment="1">
      <alignment horizontal="center"/>
    </xf>
    <xf numFmtId="165" fontId="15" fillId="0" borderId="0" xfId="22" applyNumberFormat="1" applyFont="1" applyFill="1" applyBorder="1" applyAlignment="1">
      <alignment horizontal="center"/>
    </xf>
    <xf numFmtId="175" fontId="0" fillId="0" borderId="0" xfId="38" applyNumberFormat="1" applyFont="1" applyFill="1" applyAlignment="1">
      <alignment horizontal="center"/>
    </xf>
    <xf numFmtId="0" fontId="18" fillId="0" borderId="0" xfId="0" applyFont="1" applyAlignment="1">
      <alignment wrapText="1"/>
    </xf>
    <xf numFmtId="1" fontId="18" fillId="0" borderId="4" xfId="0" applyNumberFormat="1" applyFont="1" applyBorder="1"/>
    <xf numFmtId="165" fontId="15" fillId="0" borderId="33" xfId="42" applyNumberFormat="1" applyFont="1" applyFill="1" applyBorder="1" applyAlignment="1">
      <alignment horizontal="center"/>
    </xf>
    <xf numFmtId="44" fontId="15" fillId="0" borderId="18" xfId="1" applyNumberFormat="1" applyFont="1" applyBorder="1" applyAlignment="1">
      <alignment horizontal="center"/>
    </xf>
    <xf numFmtId="165" fontId="15" fillId="0" borderId="18" xfId="42" applyNumberFormat="1" applyFont="1" applyFill="1" applyBorder="1" applyAlignment="1">
      <alignment horizontal="center"/>
    </xf>
    <xf numFmtId="44" fontId="15" fillId="0" borderId="33" xfId="1" applyNumberFormat="1" applyFont="1" applyBorder="1" applyAlignment="1">
      <alignment horizontal="center"/>
    </xf>
    <xf numFmtId="10" fontId="17" fillId="0" borderId="0" xfId="42" applyNumberFormat="1" applyFont="1" applyFill="1" applyBorder="1"/>
    <xf numFmtId="44" fontId="18" fillId="0" borderId="0" xfId="0" applyNumberFormat="1" applyFont="1"/>
    <xf numFmtId="17" fontId="18" fillId="0" borderId="0" xfId="6" quotePrefix="1" applyNumberFormat="1" applyFont="1" applyFill="1" applyBorder="1" applyAlignment="1"/>
    <xf numFmtId="37" fontId="0" fillId="0" borderId="0" xfId="38" applyNumberFormat="1" applyFont="1" applyFill="1"/>
    <xf numFmtId="0" fontId="32" fillId="0" borderId="19" xfId="0" applyFont="1" applyBorder="1" applyAlignment="1">
      <alignment horizontal="center"/>
    </xf>
    <xf numFmtId="0" fontId="32" fillId="0" borderId="33" xfId="0" applyFont="1" applyBorder="1" applyAlignment="1">
      <alignment horizontal="center"/>
    </xf>
    <xf numFmtId="2" fontId="18" fillId="0" borderId="0" xfId="42" applyNumberFormat="1" applyFont="1" applyFill="1" applyBorder="1" applyAlignment="1">
      <alignment horizontal="center"/>
    </xf>
    <xf numFmtId="41" fontId="25" fillId="0" borderId="0" xfId="37" applyNumberFormat="1" applyFont="1" applyFill="1"/>
    <xf numFmtId="173" fontId="25" fillId="0" borderId="0" xfId="37" applyNumberFormat="1" applyFont="1" applyFill="1"/>
    <xf numFmtId="175" fontId="25" fillId="0" borderId="0" xfId="38" applyNumberFormat="1" applyFont="1" applyFill="1"/>
    <xf numFmtId="10" fontId="13" fillId="0" borderId="0" xfId="24" applyNumberFormat="1" applyFont="1" applyFill="1" applyBorder="1" applyAlignment="1">
      <alignment horizontal="center"/>
    </xf>
    <xf numFmtId="0" fontId="18" fillId="0" borderId="8" xfId="0" applyFont="1" applyBorder="1"/>
    <xf numFmtId="0" fontId="18" fillId="0" borderId="34" xfId="0" applyFont="1" applyBorder="1"/>
    <xf numFmtId="0" fontId="0" fillId="0" borderId="0" xfId="0" applyAlignment="1">
      <alignment vertical="center"/>
    </xf>
    <xf numFmtId="165" fontId="0" fillId="0" borderId="0" xfId="42" applyNumberFormat="1" applyFont="1" applyFill="1" applyBorder="1"/>
    <xf numFmtId="173" fontId="13" fillId="0" borderId="0" xfId="37" applyNumberFormat="1" applyFont="1" applyFill="1" applyAlignment="1">
      <alignment horizontal="center"/>
    </xf>
    <xf numFmtId="165" fontId="0" fillId="0" borderId="13" xfId="42" applyNumberFormat="1" applyFont="1" applyFill="1" applyBorder="1"/>
    <xf numFmtId="175" fontId="13" fillId="0" borderId="0" xfId="38" applyNumberFormat="1" applyFont="1" applyFill="1" applyBorder="1"/>
    <xf numFmtId="173" fontId="13" fillId="0" borderId="0" xfId="37" applyNumberFormat="1" applyFont="1" applyFill="1" applyBorder="1"/>
    <xf numFmtId="14" fontId="18" fillId="0" borderId="0" xfId="6" quotePrefix="1" applyNumberFormat="1" applyFont="1" applyFill="1" applyBorder="1" applyAlignment="1"/>
    <xf numFmtId="14" fontId="18" fillId="0" borderId="0" xfId="6" applyNumberFormat="1" applyFont="1" applyFill="1" applyBorder="1" applyAlignment="1"/>
    <xf numFmtId="17" fontId="18" fillId="0" borderId="0" xfId="6" applyNumberFormat="1" applyFont="1" applyFill="1" applyBorder="1" applyAlignment="1"/>
    <xf numFmtId="0" fontId="15" fillId="0" borderId="34" xfId="1" applyFont="1" applyBorder="1" applyAlignment="1">
      <alignment horizontal="right"/>
    </xf>
    <xf numFmtId="0" fontId="15" fillId="0" borderId="33" xfId="1" applyFont="1" applyBorder="1" applyAlignment="1">
      <alignment horizontal="right"/>
    </xf>
    <xf numFmtId="174" fontId="15" fillId="0" borderId="30" xfId="1" applyNumberFormat="1" applyFont="1" applyBorder="1" applyAlignment="1">
      <alignment horizontal="center"/>
    </xf>
    <xf numFmtId="44" fontId="15" fillId="0" borderId="28" xfId="1" applyNumberFormat="1" applyFont="1" applyBorder="1" applyAlignment="1">
      <alignment horizontal="center"/>
    </xf>
    <xf numFmtId="0" fontId="0" fillId="0" borderId="0" xfId="0" applyAlignment="1">
      <alignment wrapText="1"/>
    </xf>
    <xf numFmtId="0" fontId="18" fillId="6" borderId="0" xfId="0" applyFont="1" applyFill="1" applyAlignment="1">
      <alignment horizontal="center"/>
    </xf>
    <xf numFmtId="165" fontId="18" fillId="0" borderId="0" xfId="42" applyNumberFormat="1" applyFont="1" applyFill="1" applyBorder="1"/>
    <xf numFmtId="10" fontId="13" fillId="0" borderId="0" xfId="24" applyNumberFormat="1" applyFont="1" applyFill="1"/>
    <xf numFmtId="10" fontId="13" fillId="0" borderId="0" xfId="25" applyNumberFormat="1" applyFont="1" applyFill="1" applyAlignment="1">
      <alignment horizontal="center"/>
    </xf>
    <xf numFmtId="10" fontId="13" fillId="0" borderId="0" xfId="42" applyNumberFormat="1" applyFont="1" applyFill="1"/>
    <xf numFmtId="9" fontId="13" fillId="0" borderId="0" xfId="42" applyFont="1" applyFill="1"/>
    <xf numFmtId="175" fontId="13" fillId="0" borderId="0" xfId="38" applyNumberFormat="1" applyFont="1" applyFill="1"/>
    <xf numFmtId="1" fontId="18" fillId="0" borderId="30" xfId="6" applyNumberFormat="1" applyFont="1" applyFill="1" applyBorder="1"/>
    <xf numFmtId="0" fontId="32" fillId="0" borderId="19" xfId="0" applyFont="1" applyBorder="1"/>
    <xf numFmtId="0" fontId="13" fillId="0" borderId="19" xfId="0" applyFont="1" applyBorder="1" applyAlignment="1">
      <alignment horizontal="center"/>
    </xf>
    <xf numFmtId="0" fontId="18" fillId="0" borderId="13" xfId="0" applyFont="1" applyBorder="1" applyAlignment="1">
      <alignment horizontal="right"/>
    </xf>
    <xf numFmtId="0" fontId="18" fillId="0" borderId="15" xfId="0" applyFont="1" applyBorder="1" applyAlignment="1">
      <alignment horizontal="right"/>
    </xf>
    <xf numFmtId="0" fontId="18" fillId="0" borderId="17" xfId="0" applyFont="1" applyBorder="1" applyAlignment="1">
      <alignment horizontal="right"/>
    </xf>
    <xf numFmtId="0" fontId="18" fillId="0" borderId="14" xfId="0" applyFont="1" applyBorder="1" applyAlignment="1">
      <alignment horizontal="right"/>
    </xf>
    <xf numFmtId="0" fontId="18" fillId="0" borderId="33" xfId="0" applyFont="1" applyBorder="1" applyAlignment="1">
      <alignment horizontal="right"/>
    </xf>
    <xf numFmtId="0" fontId="18" fillId="0" borderId="18" xfId="0" applyFont="1" applyBorder="1" applyAlignment="1">
      <alignment horizontal="right"/>
    </xf>
    <xf numFmtId="0" fontId="33" fillId="0" borderId="0" xfId="0" applyFont="1"/>
    <xf numFmtId="0" fontId="33" fillId="0" borderId="0" xfId="0" applyFont="1" applyAlignment="1">
      <alignment wrapText="1"/>
    </xf>
    <xf numFmtId="0" fontId="33" fillId="0" borderId="0" xfId="0" applyFont="1" applyAlignment="1">
      <alignment horizontal="left"/>
    </xf>
    <xf numFmtId="177" fontId="33" fillId="0" borderId="0" xfId="0" applyNumberFormat="1" applyFont="1"/>
    <xf numFmtId="177" fontId="13" fillId="0" borderId="0" xfId="0" applyNumberFormat="1" applyFont="1" applyAlignment="1">
      <alignment horizontal="right"/>
    </xf>
    <xf numFmtId="185" fontId="33" fillId="0" borderId="0" xfId="0" applyNumberFormat="1" applyFont="1"/>
    <xf numFmtId="177" fontId="33" fillId="0" borderId="0" xfId="0" applyNumberFormat="1" applyFont="1" applyAlignment="1">
      <alignment wrapText="1"/>
    </xf>
    <xf numFmtId="185" fontId="33" fillId="0" borderId="0" xfId="0" applyNumberFormat="1" applyFont="1" applyAlignment="1">
      <alignment horizontal="right"/>
    </xf>
    <xf numFmtId="174" fontId="15" fillId="0" borderId="0" xfId="1" applyNumberFormat="1" applyFont="1" applyAlignment="1">
      <alignment horizontal="center"/>
    </xf>
    <xf numFmtId="0" fontId="51" fillId="7" borderId="0" xfId="0" applyFont="1" applyFill="1" applyAlignment="1">
      <alignment horizontal="center"/>
    </xf>
    <xf numFmtId="0" fontId="50" fillId="0" borderId="0" xfId="0" applyFont="1" applyAlignment="1">
      <alignment horizontal="left" vertical="center" wrapText="1"/>
    </xf>
    <xf numFmtId="10" fontId="15" fillId="6" borderId="4" xfId="1" applyNumberFormat="1" applyFont="1" applyFill="1" applyBorder="1" applyAlignment="1">
      <alignment horizontal="center"/>
    </xf>
    <xf numFmtId="41" fontId="26" fillId="0" borderId="0" xfId="37" applyNumberFormat="1" applyFont="1" applyFill="1"/>
    <xf numFmtId="43" fontId="13" fillId="0" borderId="0" xfId="37" applyFont="1" applyFill="1" applyAlignment="1">
      <alignment horizontal="center"/>
    </xf>
    <xf numFmtId="37" fontId="0" fillId="0" borderId="0" xfId="38" applyNumberFormat="1" applyFont="1" applyFill="1" applyBorder="1"/>
    <xf numFmtId="0" fontId="33" fillId="0" borderId="4" xfId="0" applyFont="1" applyBorder="1"/>
    <xf numFmtId="0" fontId="33" fillId="0" borderId="4" xfId="0" applyFont="1" applyBorder="1" applyAlignment="1">
      <alignment horizontal="left"/>
    </xf>
    <xf numFmtId="0" fontId="33" fillId="0" borderId="23" xfId="0" applyFont="1" applyBorder="1"/>
    <xf numFmtId="6" fontId="25" fillId="0" borderId="0" xfId="37" applyNumberFormat="1" applyFont="1" applyFill="1"/>
    <xf numFmtId="165" fontId="18" fillId="0" borderId="0" xfId="42" applyNumberFormat="1" applyFont="1" applyFill="1"/>
    <xf numFmtId="165" fontId="13" fillId="0" borderId="0" xfId="42" applyNumberFormat="1" applyFont="1" applyFill="1"/>
    <xf numFmtId="43" fontId="13" fillId="0" borderId="0" xfId="37" applyFont="1" applyFill="1"/>
    <xf numFmtId="174" fontId="15" fillId="0" borderId="15" xfId="1" applyNumberFormat="1" applyFont="1" applyBorder="1" applyAlignment="1">
      <alignment horizontal="center"/>
    </xf>
    <xf numFmtId="10" fontId="13" fillId="0" borderId="0" xfId="24" quotePrefix="1" applyNumberFormat="1" applyFont="1" applyFill="1" applyAlignment="1">
      <alignment horizontal="center"/>
    </xf>
    <xf numFmtId="9" fontId="18" fillId="0" borderId="0" xfId="42" applyFont="1" applyFill="1" applyBorder="1" applyAlignment="1">
      <alignment horizontal="center" wrapText="1"/>
    </xf>
    <xf numFmtId="177" fontId="33" fillId="0" borderId="4" xfId="0" applyNumberFormat="1" applyFont="1" applyBorder="1"/>
    <xf numFmtId="177" fontId="13" fillId="0" borderId="4" xfId="0" applyNumberFormat="1" applyFont="1" applyBorder="1" applyAlignment="1">
      <alignment horizontal="right"/>
    </xf>
    <xf numFmtId="177" fontId="33" fillId="0" borderId="1" xfId="0" applyNumberFormat="1" applyFont="1" applyBorder="1"/>
    <xf numFmtId="177" fontId="33" fillId="0" borderId="24" xfId="0" applyNumberFormat="1" applyFont="1" applyBorder="1"/>
    <xf numFmtId="165" fontId="0" fillId="0" borderId="33" xfId="42" applyNumberFormat="1" applyFont="1" applyFill="1" applyBorder="1"/>
    <xf numFmtId="165" fontId="0" fillId="0" borderId="36" xfId="42" applyNumberFormat="1" applyFont="1" applyFill="1" applyBorder="1"/>
    <xf numFmtId="1" fontId="18" fillId="0" borderId="31" xfId="6" applyNumberFormat="1" applyFont="1" applyFill="1" applyBorder="1"/>
    <xf numFmtId="0" fontId="53" fillId="0" borderId="0" xfId="0" applyFont="1"/>
    <xf numFmtId="0" fontId="47" fillId="0" borderId="0" xfId="0" applyFont="1"/>
    <xf numFmtId="0" fontId="54" fillId="0" borderId="0" xfId="0" applyFont="1"/>
    <xf numFmtId="0" fontId="47" fillId="0" borderId="0" xfId="0" applyFont="1" applyAlignment="1">
      <alignment horizontal="left" indent="1"/>
    </xf>
    <xf numFmtId="0" fontId="47" fillId="0" borderId="0" xfId="0" applyFont="1" applyAlignment="1">
      <alignment horizontal="right" indent="1"/>
    </xf>
    <xf numFmtId="0" fontId="47" fillId="0" borderId="0" xfId="0" applyFont="1" applyAlignment="1">
      <alignment horizontal="fill"/>
    </xf>
    <xf numFmtId="0" fontId="47" fillId="0" borderId="0" xfId="0" applyFont="1" applyAlignment="1">
      <alignment horizontal="left"/>
    </xf>
    <xf numFmtId="0" fontId="55" fillId="0" borderId="0" xfId="0" applyFont="1"/>
    <xf numFmtId="0" fontId="56" fillId="0" borderId="0" xfId="0" applyFont="1" applyAlignment="1">
      <alignment horizontal="left" indent="5"/>
    </xf>
    <xf numFmtId="0" fontId="57" fillId="0" borderId="0" xfId="0" applyFont="1"/>
    <xf numFmtId="0" fontId="56" fillId="0" borderId="0" xfId="0" applyFont="1" applyAlignment="1">
      <alignment horizontal="center"/>
    </xf>
    <xf numFmtId="0" fontId="47" fillId="0" borderId="0" xfId="0" applyFont="1" applyAlignment="1">
      <alignment horizontal="right"/>
    </xf>
    <xf numFmtId="49" fontId="47" fillId="0" borderId="0" xfId="0" applyNumberFormat="1" applyFont="1" applyAlignment="1">
      <alignment horizontal="right"/>
    </xf>
    <xf numFmtId="173" fontId="15" fillId="6" borderId="0" xfId="3" applyNumberFormat="1" applyFont="1" applyFill="1" applyBorder="1" applyAlignment="1">
      <alignment horizontal="center"/>
    </xf>
    <xf numFmtId="0" fontId="0" fillId="0" borderId="0" xfId="0" applyAlignment="1">
      <alignment vertical="top" wrapText="1"/>
    </xf>
    <xf numFmtId="0" fontId="0" fillId="0" borderId="0" xfId="0" quotePrefix="1" applyAlignment="1">
      <alignment vertical="top" wrapText="1"/>
    </xf>
    <xf numFmtId="0" fontId="0" fillId="0" borderId="0" xfId="0" applyAlignment="1">
      <alignment vertical="top"/>
    </xf>
    <xf numFmtId="0" fontId="44" fillId="0" borderId="0" xfId="0" applyFont="1" applyAlignment="1">
      <alignment vertical="center"/>
    </xf>
    <xf numFmtId="0" fontId="60" fillId="0" borderId="0" xfId="0" applyFont="1" applyAlignment="1">
      <alignment vertical="center"/>
    </xf>
    <xf numFmtId="0" fontId="40" fillId="0" borderId="0" xfId="0" applyFont="1" applyAlignment="1">
      <alignment horizontal="left"/>
    </xf>
    <xf numFmtId="0" fontId="47" fillId="8" borderId="0" xfId="0" applyFont="1" applyFill="1"/>
    <xf numFmtId="0" fontId="47" fillId="8" borderId="0" xfId="0" applyFont="1" applyFill="1" applyAlignment="1">
      <alignment horizontal="right"/>
    </xf>
    <xf numFmtId="0" fontId="0" fillId="8" borderId="0" xfId="0" applyFill="1"/>
    <xf numFmtId="0" fontId="0" fillId="0" borderId="0" xfId="0" quotePrefix="1" applyAlignment="1">
      <alignment horizontal="left" vertical="top" wrapText="1"/>
    </xf>
    <xf numFmtId="0" fontId="0" fillId="0" borderId="0" xfId="0" applyAlignment="1">
      <alignment horizontal="left" vertical="top"/>
    </xf>
    <xf numFmtId="0" fontId="44" fillId="0" borderId="0" xfId="0" applyFont="1" applyAlignment="1">
      <alignment horizontal="left" vertical="top"/>
    </xf>
    <xf numFmtId="0" fontId="44" fillId="0" borderId="0" xfId="0" applyFont="1" applyAlignment="1">
      <alignment horizontal="left" vertical="top" wrapText="1"/>
    </xf>
    <xf numFmtId="0" fontId="18" fillId="0" borderId="8" xfId="0" applyFont="1" applyBorder="1" applyAlignment="1">
      <alignment horizontal="center"/>
    </xf>
    <xf numFmtId="0" fontId="55" fillId="0" borderId="0" xfId="0" applyFont="1" applyAlignment="1">
      <alignment horizontal="right"/>
    </xf>
    <xf numFmtId="165" fontId="33" fillId="0" borderId="0" xfId="42" applyNumberFormat="1" applyFont="1" applyFill="1" applyBorder="1"/>
    <xf numFmtId="165" fontId="33" fillId="0" borderId="8" xfId="42" applyNumberFormat="1" applyFont="1" applyFill="1" applyBorder="1"/>
    <xf numFmtId="165" fontId="33" fillId="0" borderId="15" xfId="42" applyNumberFormat="1" applyFont="1" applyFill="1" applyBorder="1"/>
    <xf numFmtId="165" fontId="33" fillId="0" borderId="11" xfId="42" applyNumberFormat="1" applyFont="1" applyFill="1" applyBorder="1"/>
    <xf numFmtId="0" fontId="16" fillId="0" borderId="0" xfId="1" applyFont="1" applyAlignment="1">
      <alignment horizontal="center"/>
    </xf>
    <xf numFmtId="43" fontId="33" fillId="0" borderId="0" xfId="0" applyNumberFormat="1" applyFont="1"/>
    <xf numFmtId="0" fontId="16" fillId="0" borderId="0" xfId="1" applyFont="1" applyAlignment="1">
      <alignment horizontal="right"/>
    </xf>
    <xf numFmtId="0" fontId="16" fillId="0" borderId="6" xfId="1" applyFont="1" applyBorder="1" applyAlignment="1">
      <alignment horizontal="center"/>
    </xf>
    <xf numFmtId="0" fontId="33" fillId="0" borderId="0" xfId="0" applyFont="1" applyAlignment="1">
      <alignment vertical="top" wrapText="1"/>
    </xf>
    <xf numFmtId="0" fontId="13" fillId="0" borderId="0" xfId="1" applyFont="1" applyAlignment="1">
      <alignment horizontal="right"/>
    </xf>
    <xf numFmtId="173" fontId="13" fillId="0" borderId="0" xfId="3" applyNumberFormat="1" applyFont="1" applyFill="1" applyBorder="1" applyAlignment="1">
      <alignment horizontal="center"/>
    </xf>
    <xf numFmtId="0" fontId="13" fillId="0" borderId="0" xfId="1" applyFont="1"/>
    <xf numFmtId="173" fontId="33" fillId="0" borderId="0" xfId="0" applyNumberFormat="1" applyFont="1"/>
    <xf numFmtId="0" fontId="13" fillId="0" borderId="0" xfId="1" applyFont="1" applyAlignment="1">
      <alignment horizontal="center"/>
    </xf>
    <xf numFmtId="173" fontId="16" fillId="0" borderId="13" xfId="3" applyNumberFormat="1" applyFont="1" applyFill="1" applyBorder="1" applyAlignment="1">
      <alignment horizontal="center"/>
    </xf>
    <xf numFmtId="0" fontId="13" fillId="0" borderId="0" xfId="0" applyFont="1" applyAlignment="1">
      <alignment horizontal="center" vertical="center"/>
    </xf>
    <xf numFmtId="0" fontId="13" fillId="0" borderId="0" xfId="0" applyFont="1" applyAlignment="1">
      <alignment vertical="center"/>
    </xf>
    <xf numFmtId="4" fontId="13" fillId="0" borderId="0" xfId="0" applyNumberFormat="1" applyFont="1" applyAlignment="1">
      <alignment horizontal="right" vertical="center"/>
    </xf>
    <xf numFmtId="173" fontId="33" fillId="0" borderId="0" xfId="37" applyNumberFormat="1" applyFont="1" applyFill="1" applyBorder="1"/>
    <xf numFmtId="173" fontId="33" fillId="0" borderId="10" xfId="37" applyNumberFormat="1" applyFont="1" applyFill="1" applyBorder="1"/>
    <xf numFmtId="0" fontId="13" fillId="0" borderId="0" xfId="0" applyFont="1" applyAlignment="1">
      <alignment horizontal="right" vertical="center"/>
    </xf>
    <xf numFmtId="173" fontId="13" fillId="0" borderId="0" xfId="42" applyNumberFormat="1" applyFont="1" applyFill="1"/>
    <xf numFmtId="44" fontId="13" fillId="0" borderId="0" xfId="38" applyFont="1" applyFill="1"/>
    <xf numFmtId="0" fontId="2" fillId="0" borderId="0" xfId="0" applyFont="1"/>
    <xf numFmtId="165" fontId="30" fillId="0" borderId="0" xfId="42" applyNumberFormat="1" applyFont="1" applyFill="1" applyAlignment="1">
      <alignment vertical="center"/>
    </xf>
    <xf numFmtId="0" fontId="33" fillId="0" borderId="0" xfId="0" applyFont="1" applyAlignment="1">
      <alignment horizontal="right"/>
    </xf>
    <xf numFmtId="0" fontId="13" fillId="0" borderId="6" xfId="1" applyFont="1" applyBorder="1"/>
    <xf numFmtId="0" fontId="33" fillId="0" borderId="14" xfId="0" applyFont="1" applyBorder="1"/>
    <xf numFmtId="173" fontId="13" fillId="0" borderId="0" xfId="3" applyNumberFormat="1" applyFont="1" applyFill="1" applyBorder="1" applyAlignment="1">
      <alignment horizontal="center" wrapText="1"/>
    </xf>
    <xf numFmtId="173" fontId="13" fillId="0" borderId="6" xfId="3" applyNumberFormat="1" applyFont="1" applyFill="1" applyBorder="1" applyAlignment="1">
      <alignment horizontal="center"/>
    </xf>
    <xf numFmtId="173" fontId="33" fillId="0" borderId="0" xfId="42" applyNumberFormat="1" applyFont="1" applyFill="1" applyBorder="1" applyAlignment="1">
      <alignment horizontal="center"/>
    </xf>
    <xf numFmtId="1" fontId="18" fillId="0" borderId="28" xfId="6" applyNumberFormat="1" applyFont="1" applyFill="1" applyBorder="1"/>
    <xf numFmtId="0" fontId="44" fillId="0" borderId="0" xfId="0" quotePrefix="1" applyFont="1" applyAlignment="1">
      <alignment horizontal="left" vertical="top" wrapText="1"/>
    </xf>
    <xf numFmtId="0" fontId="2" fillId="0" borderId="0" xfId="0" applyFont="1" applyAlignment="1">
      <alignment horizontal="center"/>
    </xf>
    <xf numFmtId="6" fontId="2" fillId="0" borderId="6" xfId="0" quotePrefix="1" applyNumberFormat="1" applyFont="1" applyBorder="1" applyAlignment="1">
      <alignment horizontal="center"/>
    </xf>
    <xf numFmtId="6" fontId="2" fillId="0" borderId="0" xfId="0" applyNumberFormat="1" applyFont="1"/>
    <xf numFmtId="0" fontId="2" fillId="0" borderId="0" xfId="0" applyFont="1" applyAlignment="1">
      <alignment vertical="center"/>
    </xf>
    <xf numFmtId="173" fontId="2" fillId="0" borderId="0" xfId="37" quotePrefix="1" applyNumberFormat="1" applyFont="1" applyFill="1" applyBorder="1" applyAlignment="1">
      <alignment horizontal="right"/>
    </xf>
    <xf numFmtId="3" fontId="2" fillId="0" borderId="0" xfId="0" applyNumberFormat="1" applyFont="1"/>
    <xf numFmtId="0" fontId="2" fillId="0" borderId="0" xfId="0" applyFont="1" applyAlignment="1">
      <alignment horizontal="right" vertical="center"/>
    </xf>
    <xf numFmtId="173" fontId="2" fillId="0" borderId="0" xfId="37" applyNumberFormat="1" applyFont="1" applyFill="1"/>
    <xf numFmtId="5" fontId="61" fillId="0" borderId="0" xfId="0" applyNumberFormat="1" applyFont="1"/>
    <xf numFmtId="0" fontId="2" fillId="0" borderId="0" xfId="0" applyFont="1" applyAlignment="1">
      <alignment horizontal="left" vertical="center"/>
    </xf>
    <xf numFmtId="0" fontId="2" fillId="0" borderId="0" xfId="0" applyFont="1" applyAlignment="1">
      <alignment horizontal="right"/>
    </xf>
    <xf numFmtId="0" fontId="2" fillId="0" borderId="0" xfId="0" applyFont="1" applyAlignment="1">
      <alignment wrapText="1"/>
    </xf>
    <xf numFmtId="8" fontId="2" fillId="0" borderId="0" xfId="0" applyNumberFormat="1" applyFont="1"/>
    <xf numFmtId="177" fontId="33" fillId="0" borderId="4" xfId="0" applyNumberFormat="1" applyFont="1" applyBorder="1" applyAlignment="1">
      <alignment wrapText="1"/>
    </xf>
    <xf numFmtId="10" fontId="30" fillId="0" borderId="0" xfId="42" applyNumberFormat="1" applyFont="1" applyFill="1" applyAlignment="1">
      <alignment vertical="center"/>
    </xf>
    <xf numFmtId="186" fontId="2" fillId="0" borderId="0" xfId="38" applyNumberFormat="1" applyFont="1" applyFill="1"/>
    <xf numFmtId="186" fontId="2" fillId="0" borderId="0" xfId="37" applyNumberFormat="1" applyFont="1" applyFill="1"/>
    <xf numFmtId="0" fontId="33" fillId="0" borderId="4" xfId="0" applyFont="1" applyBorder="1" applyAlignment="1">
      <alignment wrapText="1"/>
    </xf>
    <xf numFmtId="44" fontId="18" fillId="0" borderId="46" xfId="6" applyFont="1" applyFill="1" applyBorder="1"/>
    <xf numFmtId="166" fontId="18" fillId="0" borderId="46" xfId="6" applyNumberFormat="1" applyFont="1" applyFill="1" applyBorder="1"/>
    <xf numFmtId="165" fontId="18" fillId="0" borderId="46" xfId="24" applyNumberFormat="1" applyFont="1" applyFill="1" applyBorder="1"/>
    <xf numFmtId="185" fontId="33" fillId="0" borderId="4" xfId="0" applyNumberFormat="1" applyFont="1" applyBorder="1"/>
    <xf numFmtId="185" fontId="33" fillId="0" borderId="4" xfId="0" applyNumberFormat="1" applyFont="1" applyBorder="1" applyAlignment="1">
      <alignment horizontal="right"/>
    </xf>
    <xf numFmtId="165" fontId="0" fillId="0" borderId="28" xfId="42" applyNumberFormat="1" applyFont="1" applyFill="1" applyBorder="1"/>
    <xf numFmtId="165" fontId="0" fillId="0" borderId="30" xfId="42" applyNumberFormat="1" applyFont="1" applyFill="1" applyBorder="1"/>
    <xf numFmtId="165" fontId="0" fillId="0" borderId="31" xfId="42" applyNumberFormat="1" applyFont="1" applyFill="1" applyBorder="1"/>
    <xf numFmtId="0" fontId="33" fillId="0" borderId="6" xfId="0" applyFont="1" applyBorder="1"/>
    <xf numFmtId="5" fontId="2" fillId="0" borderId="0" xfId="0" applyNumberFormat="1" applyFont="1"/>
    <xf numFmtId="173" fontId="30" fillId="0" borderId="0" xfId="42" applyNumberFormat="1" applyFont="1" applyFill="1"/>
    <xf numFmtId="10" fontId="30" fillId="0" borderId="0" xfId="24" applyNumberFormat="1" applyFont="1" applyFill="1"/>
    <xf numFmtId="0" fontId="18" fillId="0" borderId="17" xfId="0" applyFont="1" applyBorder="1"/>
    <xf numFmtId="0" fontId="18" fillId="0" borderId="15" xfId="0" applyFont="1" applyBorder="1"/>
    <xf numFmtId="0" fontId="18" fillId="0" borderId="11" xfId="0" applyFont="1" applyBorder="1"/>
    <xf numFmtId="0" fontId="18" fillId="0" borderId="0" xfId="0" applyFont="1" applyAlignment="1">
      <alignment horizontal="center" wrapText="1"/>
    </xf>
    <xf numFmtId="0" fontId="62" fillId="0" borderId="0" xfId="0" applyFont="1"/>
    <xf numFmtId="0" fontId="2" fillId="0" borderId="0" xfId="0" applyFont="1" applyAlignment="1">
      <alignment horizontal="left"/>
    </xf>
    <xf numFmtId="0" fontId="2" fillId="0" borderId="6" xfId="0" applyFont="1" applyBorder="1" applyAlignment="1">
      <alignment horizontal="center"/>
    </xf>
    <xf numFmtId="177" fontId="2" fillId="0" borderId="0" xfId="0" applyNumberFormat="1" applyFont="1"/>
    <xf numFmtId="183" fontId="2" fillId="0" borderId="0" xfId="0" applyNumberFormat="1" applyFont="1"/>
    <xf numFmtId="44" fontId="2" fillId="0" borderId="0" xfId="0" applyNumberFormat="1" applyFont="1"/>
    <xf numFmtId="0" fontId="63" fillId="0" borderId="0" xfId="1" applyFont="1" applyAlignment="1">
      <alignment horizontal="right"/>
    </xf>
    <xf numFmtId="0" fontId="59" fillId="0" borderId="0" xfId="0" applyFont="1"/>
    <xf numFmtId="0" fontId="19" fillId="0" borderId="9" xfId="0" applyFont="1" applyBorder="1"/>
    <xf numFmtId="0" fontId="19" fillId="0" borderId="10" xfId="0" applyFont="1" applyBorder="1"/>
    <xf numFmtId="0" fontId="19" fillId="0" borderId="10" xfId="0" applyFont="1" applyBorder="1" applyAlignment="1">
      <alignment horizontal="center"/>
    </xf>
    <xf numFmtId="0" fontId="19" fillId="0" borderId="20" xfId="0" applyFont="1" applyBorder="1" applyAlignment="1">
      <alignment horizontal="center"/>
    </xf>
    <xf numFmtId="0" fontId="18" fillId="0" borderId="9" xfId="0" applyFont="1" applyBorder="1"/>
    <xf numFmtId="0" fontId="18" fillId="0" borderId="10" xfId="0" applyFont="1" applyBorder="1"/>
    <xf numFmtId="0" fontId="18" fillId="0" borderId="10" xfId="0" applyFont="1" applyBorder="1" applyAlignment="1">
      <alignment horizontal="center"/>
    </xf>
    <xf numFmtId="0" fontId="18" fillId="0" borderId="20" xfId="0" applyFont="1" applyBorder="1" applyAlignment="1">
      <alignment horizontal="center"/>
    </xf>
    <xf numFmtId="0" fontId="47" fillId="0" borderId="34" xfId="0" applyFont="1" applyBorder="1" applyAlignment="1">
      <alignment vertical="center" wrapText="1"/>
    </xf>
    <xf numFmtId="0" fontId="0" fillId="0" borderId="34" xfId="0" applyBorder="1"/>
    <xf numFmtId="174" fontId="15" fillId="0" borderId="4" xfId="1" applyNumberFormat="1" applyFont="1" applyBorder="1" applyAlignment="1">
      <alignment horizontal="center"/>
    </xf>
    <xf numFmtId="165" fontId="15" fillId="0" borderId="4" xfId="25" applyNumberFormat="1" applyFont="1" applyFill="1" applyBorder="1" applyAlignment="1">
      <alignment horizontal="center"/>
    </xf>
    <xf numFmtId="2" fontId="18" fillId="0" borderId="0" xfId="0" applyNumberFormat="1" applyFont="1" applyAlignment="1">
      <alignment horizontal="center"/>
    </xf>
    <xf numFmtId="14" fontId="15" fillId="0" borderId="4" xfId="1" applyNumberFormat="1" applyFont="1" applyBorder="1" applyAlignment="1">
      <alignment horizontal="center"/>
    </xf>
    <xf numFmtId="1" fontId="15" fillId="0" borderId="4" xfId="1" applyNumberFormat="1" applyFont="1" applyBorder="1" applyAlignment="1">
      <alignment horizontal="center"/>
    </xf>
    <xf numFmtId="0" fontId="18" fillId="0" borderId="4" xfId="0" applyFont="1" applyBorder="1"/>
    <xf numFmtId="0" fontId="18" fillId="0" borderId="28" xfId="0" applyFont="1" applyBorder="1"/>
    <xf numFmtId="0" fontId="15" fillId="0" borderId="23" xfId="1" applyFont="1" applyBorder="1"/>
    <xf numFmtId="44" fontId="18" fillId="0" borderId="4" xfId="38" applyFont="1" applyFill="1" applyBorder="1"/>
    <xf numFmtId="0" fontId="0" fillId="0" borderId="4" xfId="0" applyBorder="1" applyAlignment="1">
      <alignment vertical="center"/>
    </xf>
    <xf numFmtId="49" fontId="0" fillId="0" borderId="0" xfId="0" applyNumberFormat="1"/>
    <xf numFmtId="0" fontId="52" fillId="0" borderId="0" xfId="0" applyFont="1"/>
    <xf numFmtId="0" fontId="0" fillId="0" borderId="24" xfId="0" applyBorder="1" applyAlignment="1">
      <alignment horizontal="center" vertical="center" wrapText="1"/>
    </xf>
    <xf numFmtId="0" fontId="0" fillId="0" borderId="4" xfId="0" applyBorder="1" applyAlignment="1">
      <alignment horizontal="center" vertical="center" wrapText="1"/>
    </xf>
    <xf numFmtId="5" fontId="0" fillId="0" borderId="0" xfId="0" applyNumberFormat="1"/>
    <xf numFmtId="37" fontId="0" fillId="0" borderId="0" xfId="0" applyNumberFormat="1"/>
    <xf numFmtId="5" fontId="25" fillId="0" borderId="0" xfId="0" applyNumberFormat="1" applyFont="1"/>
    <xf numFmtId="15" fontId="0" fillId="0" borderId="0" xfId="0" applyNumberFormat="1"/>
    <xf numFmtId="0" fontId="25" fillId="0" borderId="0" xfId="0" applyFont="1"/>
    <xf numFmtId="8" fontId="0" fillId="0" borderId="0" xfId="0" applyNumberFormat="1"/>
    <xf numFmtId="0" fontId="0" fillId="0" borderId="1" xfId="0" applyBorder="1" applyAlignment="1">
      <alignment horizontal="center" vertical="center" wrapText="1"/>
    </xf>
    <xf numFmtId="173" fontId="0" fillId="0" borderId="0" xfId="0" applyNumberFormat="1"/>
    <xf numFmtId="41" fontId="26" fillId="0" borderId="0" xfId="0" applyNumberFormat="1" applyFont="1"/>
    <xf numFmtId="41" fontId="26" fillId="0" borderId="32" xfId="0" applyNumberFormat="1" applyFont="1" applyBorder="1"/>
    <xf numFmtId="43" fontId="0" fillId="0" borderId="0" xfId="0" applyNumberFormat="1"/>
    <xf numFmtId="0" fontId="25" fillId="0" borderId="0" xfId="1" applyFont="1" applyAlignment="1">
      <alignment horizontal="left"/>
    </xf>
    <xf numFmtId="41" fontId="0" fillId="0" borderId="0" xfId="0" applyNumberFormat="1"/>
    <xf numFmtId="41" fontId="25" fillId="0" borderId="0" xfId="0" applyNumberFormat="1" applyFont="1"/>
    <xf numFmtId="8" fontId="25" fillId="0" borderId="0" xfId="0" applyNumberFormat="1" applyFont="1"/>
    <xf numFmtId="6" fontId="25" fillId="0" borderId="0" xfId="0" applyNumberFormat="1" applyFont="1"/>
    <xf numFmtId="175" fontId="0" fillId="0" borderId="0" xfId="0" applyNumberFormat="1"/>
    <xf numFmtId="5" fontId="3" fillId="0" borderId="44" xfId="43" applyNumberFormat="1" applyBorder="1" applyAlignment="1">
      <alignment horizontal="left" vertical="center"/>
    </xf>
    <xf numFmtId="173" fontId="0" fillId="0" borderId="0" xfId="0" applyNumberFormat="1" applyAlignment="1">
      <alignment wrapText="1"/>
    </xf>
    <xf numFmtId="173" fontId="25" fillId="0" borderId="0" xfId="0" applyNumberFormat="1" applyFont="1"/>
    <xf numFmtId="5" fontId="0" fillId="0" borderId="0" xfId="0" applyNumberFormat="1" applyAlignment="1">
      <alignment wrapText="1"/>
    </xf>
    <xf numFmtId="164" fontId="0" fillId="0" borderId="0" xfId="0" applyNumberFormat="1"/>
    <xf numFmtId="3" fontId="1" fillId="0" borderId="0" xfId="0" applyNumberFormat="1" applyFont="1" applyAlignment="1">
      <alignment horizontal="left"/>
    </xf>
    <xf numFmtId="0" fontId="0" fillId="0" borderId="1" xfId="0" applyBorder="1"/>
    <xf numFmtId="0" fontId="0" fillId="0" borderId="1" xfId="0" applyBorder="1" applyAlignment="1">
      <alignment wrapText="1"/>
    </xf>
    <xf numFmtId="0" fontId="25" fillId="0" borderId="1" xfId="0" applyFont="1" applyBorder="1" applyAlignment="1">
      <alignment wrapText="1"/>
    </xf>
    <xf numFmtId="0" fontId="27" fillId="0" borderId="0" xfId="0" applyFont="1"/>
    <xf numFmtId="0" fontId="0" fillId="0" borderId="0" xfId="0" applyAlignment="1">
      <alignment horizontal="right"/>
    </xf>
    <xf numFmtId="41" fontId="0" fillId="0" borderId="13" xfId="0" applyNumberFormat="1" applyBorder="1"/>
    <xf numFmtId="3" fontId="0" fillId="0" borderId="0" xfId="0" applyNumberFormat="1"/>
    <xf numFmtId="41" fontId="0" fillId="0" borderId="0" xfId="0" applyNumberFormat="1" applyAlignment="1">
      <alignment horizontal="center"/>
    </xf>
    <xf numFmtId="173" fontId="0" fillId="0" borderId="0" xfId="0" applyNumberFormat="1" applyAlignment="1">
      <alignment horizontal="left"/>
    </xf>
    <xf numFmtId="41" fontId="0" fillId="0" borderId="0" xfId="0" applyNumberFormat="1" applyAlignment="1">
      <alignment horizontal="left"/>
    </xf>
    <xf numFmtId="0" fontId="47" fillId="0" borderId="0" xfId="0" applyFont="1" applyAlignment="1">
      <alignment vertical="center" wrapText="1"/>
    </xf>
    <xf numFmtId="5" fontId="26" fillId="0" borderId="0" xfId="0" applyNumberFormat="1" applyFont="1"/>
    <xf numFmtId="3" fontId="26" fillId="0" borderId="32" xfId="0" applyNumberFormat="1" applyFont="1" applyBorder="1"/>
    <xf numFmtId="3" fontId="1" fillId="0" borderId="32" xfId="0" applyNumberFormat="1" applyFont="1" applyBorder="1"/>
    <xf numFmtId="3" fontId="25" fillId="0" borderId="0" xfId="0" applyNumberFormat="1" applyFont="1"/>
    <xf numFmtId="0" fontId="0" fillId="0" borderId="0" xfId="0" applyAlignment="1">
      <alignment horizontal="center" vertical="center"/>
    </xf>
    <xf numFmtId="0" fontId="0" fillId="0" borderId="6" xfId="0" applyBorder="1" applyAlignment="1">
      <alignment wrapText="1"/>
    </xf>
    <xf numFmtId="0" fontId="0" fillId="0" borderId="6" xfId="0" applyBorder="1" applyAlignment="1">
      <alignment horizontal="left" wrapText="1"/>
    </xf>
    <xf numFmtId="6" fontId="0" fillId="0" borderId="0" xfId="0" applyNumberFormat="1"/>
    <xf numFmtId="3" fontId="1" fillId="0" borderId="0" xfId="0" applyNumberFormat="1" applyFont="1"/>
    <xf numFmtId="182" fontId="25" fillId="0" borderId="0" xfId="43" applyNumberFormat="1" applyFont="1"/>
    <xf numFmtId="0" fontId="25" fillId="0" borderId="0" xfId="50" applyFont="1"/>
    <xf numFmtId="182" fontId="25" fillId="0" borderId="0" xfId="50" applyNumberFormat="1" applyFont="1"/>
    <xf numFmtId="182" fontId="0" fillId="0" borderId="0" xfId="0" applyNumberFormat="1"/>
    <xf numFmtId="187" fontId="0" fillId="0" borderId="0" xfId="0" applyNumberFormat="1"/>
    <xf numFmtId="3" fontId="0" fillId="0" borderId="0" xfId="0" applyNumberFormat="1" applyAlignment="1">
      <alignment horizontal="center"/>
    </xf>
    <xf numFmtId="0" fontId="31" fillId="0" borderId="0" xfId="0" applyFont="1" applyAlignment="1">
      <alignment wrapText="1"/>
    </xf>
    <xf numFmtId="0" fontId="13" fillId="0" borderId="14" xfId="0" applyFont="1" applyBorder="1" applyAlignment="1">
      <alignment horizontal="center" vertical="center" wrapText="1"/>
    </xf>
    <xf numFmtId="3" fontId="33" fillId="0" borderId="0" xfId="0" applyNumberFormat="1" applyFont="1"/>
    <xf numFmtId="0" fontId="33" fillId="0" borderId="19" xfId="0" applyFont="1" applyBorder="1"/>
    <xf numFmtId="173" fontId="13" fillId="0" borderId="19" xfId="0" applyNumberFormat="1" applyFont="1" applyBorder="1" applyAlignment="1">
      <alignment horizontal="center"/>
    </xf>
    <xf numFmtId="0" fontId="33" fillId="0" borderId="14" xfId="0" applyFont="1" applyBorder="1" applyAlignment="1">
      <alignment horizontal="center" vertical="center" wrapText="1"/>
    </xf>
    <xf numFmtId="0" fontId="13" fillId="0" borderId="12" xfId="0" applyFont="1" applyBorder="1" applyAlignment="1">
      <alignment horizontal="center"/>
    </xf>
    <xf numFmtId="0" fontId="13" fillId="0" borderId="14" xfId="0" applyFont="1" applyBorder="1" applyAlignment="1">
      <alignment horizontal="center"/>
    </xf>
    <xf numFmtId="178" fontId="33" fillId="0" borderId="0" xfId="0" applyNumberFormat="1" applyFont="1"/>
    <xf numFmtId="44" fontId="13" fillId="0" borderId="0" xfId="0" applyNumberFormat="1" applyFont="1"/>
    <xf numFmtId="0" fontId="13" fillId="0" borderId="34" xfId="0" applyFont="1" applyBorder="1"/>
    <xf numFmtId="0" fontId="33" fillId="0" borderId="8" xfId="0" applyFont="1" applyBorder="1"/>
    <xf numFmtId="0" fontId="13" fillId="0" borderId="9" xfId="0" applyFont="1" applyBorder="1"/>
    <xf numFmtId="0" fontId="33" fillId="0" borderId="20" xfId="0" applyFont="1" applyBorder="1"/>
    <xf numFmtId="0" fontId="13" fillId="0" borderId="34" xfId="0" applyFont="1" applyBorder="1" applyAlignment="1">
      <alignment horizontal="center" vertical="center" wrapText="1"/>
    </xf>
    <xf numFmtId="0" fontId="13" fillId="0" borderId="0" xfId="0" applyFont="1" applyAlignment="1">
      <alignment horizontal="right"/>
    </xf>
    <xf numFmtId="0" fontId="33" fillId="0" borderId="17" xfId="0" applyFont="1" applyBorder="1"/>
    <xf numFmtId="0" fontId="33" fillId="0" borderId="15" xfId="0" applyFont="1" applyBorder="1"/>
    <xf numFmtId="0" fontId="33" fillId="0" borderId="11" xfId="0" applyFont="1" applyBorder="1"/>
    <xf numFmtId="0" fontId="33" fillId="0" borderId="45" xfId="0" applyFont="1" applyBorder="1"/>
    <xf numFmtId="0" fontId="33" fillId="0" borderId="9" xfId="0" applyFont="1" applyBorder="1"/>
    <xf numFmtId="0" fontId="33" fillId="0" borderId="10" xfId="0" applyFont="1" applyBorder="1"/>
    <xf numFmtId="4" fontId="13" fillId="0" borderId="0" xfId="0" applyNumberFormat="1" applyFont="1" applyAlignment="1">
      <alignment horizontal="center" vertical="center"/>
    </xf>
    <xf numFmtId="0" fontId="33" fillId="0" borderId="8" xfId="0" applyFont="1" applyBorder="1" applyAlignment="1">
      <alignment horizontal="center" vertical="center"/>
    </xf>
    <xf numFmtId="0" fontId="33" fillId="0" borderId="34" xfId="0" applyFont="1" applyBorder="1"/>
    <xf numFmtId="10" fontId="13" fillId="0" borderId="0" xfId="42" applyNumberFormat="1" applyFont="1" applyFill="1" applyAlignment="1">
      <alignment horizontal="right" vertical="center"/>
    </xf>
    <xf numFmtId="10" fontId="33" fillId="0" borderId="8" xfId="42" applyNumberFormat="1" applyFont="1" applyFill="1" applyBorder="1"/>
    <xf numFmtId="0" fontId="16" fillId="0" borderId="0" xfId="0" applyFont="1"/>
    <xf numFmtId="0" fontId="13" fillId="0" borderId="0" xfId="1" applyFont="1" applyAlignment="1">
      <alignment horizontal="right" indent="1"/>
    </xf>
    <xf numFmtId="10" fontId="13" fillId="0" borderId="0" xfId="42" applyNumberFormat="1" applyFont="1" applyFill="1" applyAlignment="1">
      <alignment horizontal="center" vertical="center"/>
    </xf>
    <xf numFmtId="165" fontId="33" fillId="0" borderId="0" xfId="0" applyNumberFormat="1" applyFont="1"/>
    <xf numFmtId="184" fontId="33" fillId="0" borderId="0" xfId="0" applyNumberFormat="1" applyFont="1"/>
    <xf numFmtId="14" fontId="33" fillId="0" borderId="0" xfId="0" applyNumberFormat="1" applyFont="1"/>
    <xf numFmtId="9" fontId="13" fillId="0" borderId="0" xfId="42" applyFont="1" applyFill="1" applyAlignment="1">
      <alignment vertical="center"/>
    </xf>
    <xf numFmtId="0" fontId="35" fillId="0" borderId="0" xfId="0" applyFont="1"/>
    <xf numFmtId="0" fontId="23" fillId="0" borderId="0" xfId="0" applyFont="1"/>
    <xf numFmtId="43" fontId="23" fillId="0" borderId="0" xfId="0" applyNumberFormat="1" applyFont="1"/>
    <xf numFmtId="0" fontId="17" fillId="0" borderId="0" xfId="1" applyFont="1"/>
    <xf numFmtId="1" fontId="14" fillId="0" borderId="0" xfId="0" applyNumberFormat="1" applyFont="1" applyAlignment="1">
      <alignment horizontal="center" wrapText="1"/>
    </xf>
    <xf numFmtId="14" fontId="14" fillId="0" borderId="0" xfId="0" applyNumberFormat="1" applyFont="1" applyAlignment="1">
      <alignment horizontal="center" wrapText="1"/>
    </xf>
    <xf numFmtId="14" fontId="14" fillId="0" borderId="0" xfId="0" applyNumberFormat="1" applyFont="1" applyAlignment="1">
      <alignment horizontal="center" vertical="center"/>
    </xf>
    <xf numFmtId="0" fontId="14" fillId="0" borderId="0" xfId="0" applyFont="1" applyAlignment="1">
      <alignment horizontal="center" wrapText="1"/>
    </xf>
    <xf numFmtId="176" fontId="15" fillId="0" borderId="0" xfId="34" applyNumberFormat="1" applyFont="1" applyAlignment="1" applyProtection="1">
      <alignment horizontal="left"/>
      <protection locked="0"/>
    </xf>
    <xf numFmtId="176" fontId="14" fillId="0" borderId="0" xfId="35" applyNumberFormat="1" applyFont="1" applyAlignment="1">
      <alignment horizontal="right"/>
    </xf>
    <xf numFmtId="166" fontId="13" fillId="0" borderId="0" xfId="0" applyNumberFormat="1" applyFont="1"/>
    <xf numFmtId="166" fontId="13" fillId="0" borderId="0" xfId="0" applyNumberFormat="1" applyFont="1" applyAlignment="1">
      <alignment horizontal="right"/>
    </xf>
    <xf numFmtId="177" fontId="13" fillId="0" borderId="0" xfId="0" applyNumberFormat="1" applyFont="1" applyAlignment="1">
      <alignment horizontal="center"/>
    </xf>
    <xf numFmtId="176" fontId="15" fillId="0" borderId="0" xfId="35" quotePrefix="1" applyNumberFormat="1" applyFont="1" applyAlignment="1">
      <alignment horizontal="right"/>
    </xf>
    <xf numFmtId="3" fontId="18" fillId="0" borderId="0" xfId="0" applyNumberFormat="1" applyFont="1"/>
    <xf numFmtId="173" fontId="18" fillId="0" borderId="0" xfId="0" applyNumberFormat="1" applyFont="1"/>
    <xf numFmtId="166" fontId="13" fillId="0" borderId="0" xfId="0" applyNumberFormat="1" applyFont="1" applyAlignment="1">
      <alignment horizontal="center"/>
    </xf>
    <xf numFmtId="177" fontId="13" fillId="0" borderId="0" xfId="0" applyNumberFormat="1" applyFont="1"/>
    <xf numFmtId="176" fontId="14" fillId="0" borderId="0" xfId="35" quotePrefix="1" applyNumberFormat="1" applyFont="1" applyAlignment="1">
      <alignment horizontal="right"/>
    </xf>
    <xf numFmtId="177" fontId="30" fillId="0" borderId="0" xfId="0" applyNumberFormat="1" applyFont="1"/>
    <xf numFmtId="188" fontId="13" fillId="0" borderId="0" xfId="38" applyNumberFormat="1" applyFont="1" applyFill="1"/>
    <xf numFmtId="166" fontId="18" fillId="0" borderId="0" xfId="0" applyNumberFormat="1" applyFont="1"/>
    <xf numFmtId="177" fontId="18" fillId="0" borderId="0" xfId="0" applyNumberFormat="1" applyFont="1"/>
    <xf numFmtId="181" fontId="13" fillId="0" borderId="0" xfId="0" applyNumberFormat="1" applyFont="1"/>
    <xf numFmtId="0" fontId="17" fillId="0" borderId="0" xfId="20" applyFont="1"/>
    <xf numFmtId="0" fontId="20" fillId="0" borderId="0" xfId="20" applyFont="1"/>
    <xf numFmtId="17" fontId="21" fillId="0" borderId="0" xfId="20" applyNumberFormat="1" applyFont="1" applyAlignment="1">
      <alignment horizontal="center" wrapText="1"/>
    </xf>
    <xf numFmtId="0" fontId="18" fillId="0" borderId="4" xfId="0" applyFont="1" applyBorder="1" applyAlignment="1">
      <alignment wrapText="1"/>
    </xf>
    <xf numFmtId="0" fontId="18" fillId="0" borderId="4" xfId="0" applyFont="1" applyBorder="1" applyAlignment="1">
      <alignment horizontal="center" vertical="top" wrapText="1"/>
    </xf>
    <xf numFmtId="0" fontId="18" fillId="0" borderId="23" xfId="0" applyFont="1" applyBorder="1" applyAlignment="1">
      <alignment horizontal="center"/>
    </xf>
    <xf numFmtId="0" fontId="18" fillId="0" borderId="24" xfId="0" applyFont="1" applyBorder="1" applyAlignment="1">
      <alignment horizontal="center"/>
    </xf>
    <xf numFmtId="0" fontId="17" fillId="0" borderId="6" xfId="20" applyFont="1" applyBorder="1" applyAlignment="1">
      <alignment horizontal="right"/>
    </xf>
    <xf numFmtId="14" fontId="21" fillId="0" borderId="6" xfId="20" quotePrefix="1" applyNumberFormat="1" applyFont="1" applyBorder="1" applyAlignment="1">
      <alignment horizontal="right"/>
    </xf>
    <xf numFmtId="17" fontId="21" fillId="0" borderId="6" xfId="20" applyNumberFormat="1" applyFont="1" applyBorder="1" applyAlignment="1">
      <alignment horizontal="center" wrapText="1"/>
    </xf>
    <xf numFmtId="0" fontId="18" fillId="0" borderId="6" xfId="0" applyFont="1" applyBorder="1"/>
    <xf numFmtId="0" fontId="18" fillId="0" borderId="14" xfId="0" applyFont="1" applyBorder="1" applyAlignment="1">
      <alignment horizontal="center"/>
    </xf>
    <xf numFmtId="0" fontId="18" fillId="0" borderId="19" xfId="0" applyFont="1" applyBorder="1" applyAlignment="1">
      <alignment horizontal="center"/>
    </xf>
    <xf numFmtId="0" fontId="18" fillId="0" borderId="33" xfId="0" applyFont="1" applyBorder="1" applyAlignment="1">
      <alignment horizontal="center"/>
    </xf>
    <xf numFmtId="0" fontId="17" fillId="0" borderId="0" xfId="20" applyFont="1" applyAlignment="1">
      <alignment horizontal="right"/>
    </xf>
    <xf numFmtId="1" fontId="18" fillId="0" borderId="28" xfId="0" applyNumberFormat="1" applyFont="1" applyBorder="1"/>
    <xf numFmtId="1" fontId="18" fillId="0" borderId="12" xfId="0" applyNumberFormat="1" applyFont="1" applyBorder="1"/>
    <xf numFmtId="165" fontId="0" fillId="0" borderId="19" xfId="42" applyNumberFormat="1" applyFont="1" applyFill="1" applyBorder="1"/>
    <xf numFmtId="0" fontId="18" fillId="0" borderId="30" xfId="0" applyFont="1" applyBorder="1"/>
    <xf numFmtId="1" fontId="18" fillId="0" borderId="30" xfId="0" applyNumberFormat="1" applyFont="1" applyBorder="1"/>
    <xf numFmtId="1" fontId="18" fillId="0" borderId="19" xfId="0" applyNumberFormat="1" applyFont="1" applyBorder="1"/>
    <xf numFmtId="1" fontId="18" fillId="0" borderId="31" xfId="0" applyNumberFormat="1" applyFont="1" applyBorder="1"/>
    <xf numFmtId="1" fontId="18" fillId="0" borderId="16" xfId="0" applyNumberFormat="1" applyFont="1" applyBorder="1"/>
    <xf numFmtId="165" fontId="0" fillId="0" borderId="6" xfId="42" applyNumberFormat="1" applyFont="1" applyFill="1" applyBorder="1"/>
    <xf numFmtId="165" fontId="0" fillId="0" borderId="16" xfId="42" applyNumberFormat="1" applyFont="1" applyFill="1" applyBorder="1"/>
    <xf numFmtId="10" fontId="18" fillId="0" borderId="0" xfId="42" applyNumberFormat="1" applyFont="1" applyFill="1"/>
    <xf numFmtId="0" fontId="15" fillId="0" borderId="0" xfId="1" applyFont="1" applyAlignment="1">
      <alignment horizontal="right" indent="1"/>
    </xf>
    <xf numFmtId="0" fontId="15" fillId="0" borderId="17" xfId="1" applyFont="1" applyBorder="1" applyAlignment="1">
      <alignment horizontal="right" indent="1"/>
    </xf>
    <xf numFmtId="0" fontId="15" fillId="0" borderId="15" xfId="1" applyFont="1" applyBorder="1" applyAlignment="1">
      <alignment horizontal="right" indent="1"/>
    </xf>
    <xf numFmtId="0" fontId="15" fillId="0" borderId="11" xfId="1" applyFont="1" applyBorder="1" applyAlignment="1">
      <alignment horizontal="right" indent="1"/>
    </xf>
    <xf numFmtId="173" fontId="13" fillId="0" borderId="34" xfId="37" applyNumberFormat="1" applyFont="1" applyFill="1" applyBorder="1"/>
    <xf numFmtId="173" fontId="13" fillId="0" borderId="8" xfId="37" applyNumberFormat="1" applyFont="1" applyFill="1" applyBorder="1"/>
    <xf numFmtId="173" fontId="13" fillId="0" borderId="17" xfId="37" applyNumberFormat="1" applyFont="1" applyFill="1" applyBorder="1"/>
    <xf numFmtId="173" fontId="13" fillId="0" borderId="11" xfId="37" applyNumberFormat="1" applyFont="1" applyFill="1" applyBorder="1"/>
    <xf numFmtId="0" fontId="18" fillId="0" borderId="0" xfId="0" applyFont="1" applyAlignment="1">
      <alignment horizontal="left" vertical="top"/>
    </xf>
    <xf numFmtId="1" fontId="22" fillId="0" borderId="0" xfId="20" applyNumberFormat="1" applyFont="1"/>
    <xf numFmtId="2" fontId="17" fillId="0" borderId="0" xfId="20" applyNumberFormat="1" applyFont="1"/>
    <xf numFmtId="1" fontId="17" fillId="0" borderId="0" xfId="20" applyNumberFormat="1" applyFont="1"/>
    <xf numFmtId="0" fontId="15" fillId="0" borderId="50" xfId="1" applyFont="1" applyBorder="1" applyAlignment="1">
      <alignment horizontal="right" indent="1"/>
    </xf>
    <xf numFmtId="0" fontId="15" fillId="0" borderId="31" xfId="1" applyFont="1" applyBorder="1" applyAlignment="1">
      <alignment horizontal="right" indent="1"/>
    </xf>
    <xf numFmtId="0" fontId="15" fillId="0" borderId="51" xfId="1" applyFont="1" applyBorder="1" applyAlignment="1">
      <alignment horizontal="right" indent="1"/>
    </xf>
    <xf numFmtId="173" fontId="13" fillId="0" borderId="4" xfId="37" applyNumberFormat="1" applyFont="1" applyFill="1" applyBorder="1"/>
    <xf numFmtId="173" fontId="18" fillId="0" borderId="29" xfId="37" applyNumberFormat="1" applyFont="1" applyFill="1" applyBorder="1"/>
    <xf numFmtId="173" fontId="18" fillId="0" borderId="38" xfId="37" applyNumberFormat="1" applyFont="1" applyFill="1" applyBorder="1"/>
    <xf numFmtId="173" fontId="13" fillId="0" borderId="55" xfId="37" applyNumberFormat="1" applyFont="1" applyFill="1" applyBorder="1"/>
    <xf numFmtId="173" fontId="18" fillId="0" borderId="52" xfId="37" applyNumberFormat="1" applyFont="1" applyFill="1" applyBorder="1"/>
    <xf numFmtId="173" fontId="18" fillId="0" borderId="53" xfId="37" applyNumberFormat="1" applyFont="1" applyFill="1" applyBorder="1"/>
    <xf numFmtId="2" fontId="18" fillId="0" borderId="0" xfId="0" applyNumberFormat="1" applyFont="1" applyAlignment="1">
      <alignment horizontal="right"/>
    </xf>
    <xf numFmtId="2" fontId="18" fillId="0" borderId="0" xfId="0" applyNumberFormat="1" applyFont="1"/>
    <xf numFmtId="173" fontId="18" fillId="0" borderId="35" xfId="37" applyNumberFormat="1" applyFont="1" applyFill="1" applyBorder="1"/>
    <xf numFmtId="173" fontId="18" fillId="0" borderId="4" xfId="37" applyNumberFormat="1" applyFont="1" applyFill="1" applyBorder="1"/>
    <xf numFmtId="173" fontId="18" fillId="0" borderId="7" xfId="37" applyNumberFormat="1" applyFont="1" applyFill="1" applyBorder="1"/>
    <xf numFmtId="173" fontId="18" fillId="0" borderId="55" xfId="37" applyNumberFormat="1" applyFont="1" applyFill="1" applyBorder="1"/>
    <xf numFmtId="2" fontId="18" fillId="0" borderId="0" xfId="0" applyNumberFormat="1" applyFont="1" applyAlignment="1">
      <alignment horizontal="right" vertical="top"/>
    </xf>
    <xf numFmtId="173" fontId="15" fillId="0" borderId="45" xfId="1" applyNumberFormat="1" applyFont="1" applyBorder="1" applyAlignment="1">
      <alignment horizontal="right" indent="1"/>
    </xf>
    <xf numFmtId="173" fontId="15" fillId="0" borderId="4" xfId="1" applyNumberFormat="1" applyFont="1" applyBorder="1" applyAlignment="1">
      <alignment horizontal="right" indent="1"/>
    </xf>
    <xf numFmtId="173" fontId="15" fillId="0" borderId="31" xfId="1" applyNumberFormat="1" applyFont="1" applyBorder="1" applyAlignment="1">
      <alignment horizontal="right" indent="1"/>
    </xf>
    <xf numFmtId="173" fontId="15" fillId="0" borderId="51" xfId="1" applyNumberFormat="1" applyFont="1" applyBorder="1" applyAlignment="1">
      <alignment horizontal="right" indent="1"/>
    </xf>
    <xf numFmtId="173" fontId="18" fillId="0" borderId="4" xfId="0" applyNumberFormat="1" applyFont="1" applyBorder="1"/>
    <xf numFmtId="173" fontId="18" fillId="0" borderId="7" xfId="0" applyNumberFormat="1" applyFont="1" applyBorder="1"/>
    <xf numFmtId="173" fontId="18" fillId="0" borderId="53" xfId="0" applyNumberFormat="1" applyFont="1" applyBorder="1"/>
    <xf numFmtId="0" fontId="17" fillId="0" borderId="4" xfId="20" applyFont="1" applyBorder="1" applyAlignment="1">
      <alignment horizontal="center"/>
    </xf>
    <xf numFmtId="165" fontId="13" fillId="0" borderId="0" xfId="42" applyNumberFormat="1" applyFont="1" applyFill="1" applyAlignment="1">
      <alignment horizontal="right" vertical="center"/>
    </xf>
    <xf numFmtId="0" fontId="33" fillId="0" borderId="0" xfId="0" applyFont="1" applyAlignment="1">
      <alignment horizontal="center"/>
    </xf>
    <xf numFmtId="43" fontId="13" fillId="0" borderId="0" xfId="0" applyNumberFormat="1" applyFont="1" applyAlignment="1">
      <alignment horizontal="center" vertical="center"/>
    </xf>
    <xf numFmtId="0" fontId="29" fillId="0" borderId="0" xfId="0" applyFont="1" applyAlignment="1">
      <alignment horizontal="center"/>
    </xf>
    <xf numFmtId="176" fontId="15" fillId="0" borderId="0" xfId="35" applyNumberFormat="1" applyFont="1" applyAlignment="1">
      <alignment horizontal="right"/>
    </xf>
    <xf numFmtId="181" fontId="13" fillId="0" borderId="0" xfId="0" applyNumberFormat="1" applyFont="1" applyAlignment="1">
      <alignment horizontal="center"/>
    </xf>
    <xf numFmtId="176" fontId="15" fillId="0" borderId="0" xfId="34" applyNumberFormat="1" applyFont="1" applyAlignment="1" applyProtection="1">
      <alignment horizontal="right"/>
      <protection locked="0"/>
    </xf>
    <xf numFmtId="0" fontId="18" fillId="0" borderId="0" xfId="0" applyFont="1" applyAlignment="1">
      <alignment horizontal="center" vertical="top" wrapText="1"/>
    </xf>
    <xf numFmtId="0" fontId="18" fillId="0" borderId="23" xfId="0" applyFont="1" applyBorder="1"/>
    <xf numFmtId="0" fontId="18" fillId="0" borderId="4" xfId="0" applyFont="1" applyBorder="1" applyAlignment="1">
      <alignment horizontal="center"/>
    </xf>
    <xf numFmtId="0" fontId="18" fillId="0" borderId="1" xfId="0" applyFont="1" applyBorder="1" applyAlignment="1">
      <alignment horizontal="center"/>
    </xf>
    <xf numFmtId="0" fontId="18" fillId="0" borderId="19" xfId="0" applyFont="1" applyBorder="1"/>
    <xf numFmtId="173" fontId="0" fillId="0" borderId="4" xfId="37" applyNumberFormat="1" applyFont="1" applyFill="1" applyBorder="1" applyAlignment="1">
      <alignment vertical="center" wrapText="1"/>
    </xf>
    <xf numFmtId="1" fontId="0" fillId="0" borderId="4" xfId="0" applyNumberFormat="1" applyBorder="1"/>
    <xf numFmtId="1" fontId="18" fillId="0" borderId="0" xfId="0" applyNumberFormat="1" applyFont="1"/>
    <xf numFmtId="0" fontId="46" fillId="0" borderId="0" xfId="0" applyFont="1" applyAlignment="1">
      <alignment vertical="center"/>
    </xf>
    <xf numFmtId="0" fontId="18" fillId="0" borderId="16" xfId="0" applyFont="1" applyBorder="1"/>
    <xf numFmtId="0" fontId="18" fillId="0" borderId="13" xfId="0" applyFont="1" applyBorder="1"/>
    <xf numFmtId="1" fontId="18" fillId="0" borderId="13" xfId="0" applyNumberFormat="1" applyFont="1" applyBorder="1"/>
    <xf numFmtId="0" fontId="18" fillId="0" borderId="46" xfId="0" applyFont="1" applyBorder="1"/>
    <xf numFmtId="43" fontId="13" fillId="0" borderId="0" xfId="0" applyNumberFormat="1" applyFont="1" applyAlignment="1">
      <alignment horizontal="center" wrapText="1"/>
    </xf>
    <xf numFmtId="0" fontId="33" fillId="0" borderId="54" xfId="0" applyFont="1" applyBorder="1"/>
    <xf numFmtId="2" fontId="30" fillId="0" borderId="0" xfId="0" applyNumberFormat="1" applyFont="1"/>
    <xf numFmtId="2" fontId="30" fillId="0" borderId="0" xfId="0" applyNumberFormat="1" applyFont="1" applyAlignment="1">
      <alignment vertical="center"/>
    </xf>
    <xf numFmtId="165" fontId="33" fillId="0" borderId="10" xfId="42" applyNumberFormat="1" applyFont="1" applyFill="1" applyBorder="1"/>
    <xf numFmtId="165" fontId="33" fillId="0" borderId="20" xfId="42" applyNumberFormat="1" applyFont="1" applyFill="1" applyBorder="1"/>
    <xf numFmtId="165" fontId="13" fillId="0" borderId="0" xfId="0" applyNumberFormat="1" applyFont="1" applyAlignment="1">
      <alignment horizontal="right" vertical="center"/>
    </xf>
    <xf numFmtId="4" fontId="13" fillId="0" borderId="15" xfId="0" applyNumberFormat="1" applyFont="1" applyBorder="1" applyAlignment="1">
      <alignment horizontal="right" vertical="center"/>
    </xf>
    <xf numFmtId="0" fontId="30" fillId="0" borderId="0" xfId="0" applyFont="1" applyAlignment="1">
      <alignment horizontal="center"/>
    </xf>
    <xf numFmtId="0" fontId="13" fillId="0" borderId="6" xfId="0" applyFont="1" applyBorder="1" applyAlignment="1">
      <alignment wrapText="1"/>
    </xf>
    <xf numFmtId="0" fontId="32" fillId="0" borderId="0" xfId="0" applyFont="1" applyAlignment="1">
      <alignment horizontal="right"/>
    </xf>
    <xf numFmtId="165" fontId="13" fillId="0" borderId="0" xfId="0" applyNumberFormat="1" applyFont="1" applyAlignment="1">
      <alignment horizontal="right"/>
    </xf>
    <xf numFmtId="2" fontId="13" fillId="0" borderId="0" xfId="0" applyNumberFormat="1" applyFont="1" applyAlignment="1">
      <alignment horizontal="right"/>
    </xf>
    <xf numFmtId="0" fontId="14" fillId="0" borderId="0" xfId="0" applyFont="1" applyAlignment="1">
      <alignment horizontal="center"/>
    </xf>
    <xf numFmtId="0" fontId="18" fillId="0" borderId="16" xfId="0" applyFont="1" applyBorder="1" applyAlignment="1">
      <alignment horizontal="center"/>
    </xf>
    <xf numFmtId="0" fontId="18" fillId="0" borderId="36" xfId="0" applyFont="1" applyBorder="1" applyAlignment="1">
      <alignment horizontal="center"/>
    </xf>
    <xf numFmtId="0" fontId="64" fillId="0" borderId="0" xfId="0" applyFont="1"/>
    <xf numFmtId="0" fontId="2" fillId="0" borderId="0" xfId="0" applyFont="1" applyAlignment="1">
      <alignment wrapText="1"/>
    </xf>
    <xf numFmtId="0" fontId="2" fillId="0" borderId="0" xfId="0" applyFont="1" applyAlignment="1">
      <alignment horizontal="left"/>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25" xfId="0" applyFont="1" applyBorder="1" applyAlignment="1">
      <alignment horizontal="center"/>
    </xf>
    <xf numFmtId="0" fontId="19" fillId="0" borderId="26" xfId="0" applyFont="1" applyBorder="1" applyAlignment="1">
      <alignment horizontal="center"/>
    </xf>
    <xf numFmtId="0" fontId="19" fillId="0" borderId="27" xfId="0" applyFont="1" applyBorder="1" applyAlignment="1">
      <alignment horizontal="center"/>
    </xf>
    <xf numFmtId="0" fontId="15" fillId="0" borderId="34" xfId="1" applyFont="1" applyBorder="1" applyAlignment="1">
      <alignment horizontal="right"/>
    </xf>
    <xf numFmtId="0" fontId="15" fillId="0" borderId="33" xfId="1" applyFont="1" applyBorder="1" applyAlignment="1">
      <alignment horizontal="right"/>
    </xf>
    <xf numFmtId="0" fontId="15" fillId="0" borderId="17" xfId="1" applyFont="1" applyBorder="1" applyAlignment="1">
      <alignment horizontal="right"/>
    </xf>
    <xf numFmtId="0" fontId="15" fillId="0" borderId="18" xfId="1" applyFont="1" applyBorder="1" applyAlignment="1">
      <alignment horizontal="right"/>
    </xf>
    <xf numFmtId="0" fontId="14" fillId="0" borderId="25" xfId="1" applyFont="1" applyBorder="1" applyAlignment="1">
      <alignment horizontal="center"/>
    </xf>
    <xf numFmtId="0" fontId="14" fillId="0" borderId="26" xfId="1" applyFont="1" applyBorder="1" applyAlignment="1">
      <alignment horizontal="center"/>
    </xf>
    <xf numFmtId="0" fontId="14" fillId="0" borderId="27" xfId="1" applyFont="1" applyBorder="1" applyAlignment="1">
      <alignment horizontal="center"/>
    </xf>
    <xf numFmtId="0" fontId="14" fillId="0" borderId="9" xfId="1" applyFont="1" applyBorder="1" applyAlignment="1">
      <alignment horizontal="center"/>
    </xf>
    <xf numFmtId="0" fontId="14" fillId="0" borderId="10" xfId="1" applyFont="1" applyBorder="1" applyAlignment="1">
      <alignment horizontal="center"/>
    </xf>
    <xf numFmtId="0" fontId="14" fillId="0" borderId="20" xfId="1" applyFont="1" applyBorder="1" applyAlignment="1">
      <alignment horizontal="center"/>
    </xf>
    <xf numFmtId="0" fontId="15" fillId="0" borderId="22" xfId="1" applyFont="1" applyBorder="1" applyAlignment="1">
      <alignment horizontal="right"/>
    </xf>
    <xf numFmtId="0" fontId="15" fillId="0" borderId="4" xfId="1" applyFont="1" applyBorder="1" applyAlignment="1">
      <alignment horizontal="right"/>
    </xf>
    <xf numFmtId="0" fontId="15" fillId="0" borderId="35" xfId="1" applyFont="1" applyBorder="1" applyAlignment="1">
      <alignment horizontal="center"/>
    </xf>
    <xf numFmtId="0" fontId="15" fillId="0" borderId="24" xfId="1" applyFont="1" applyBorder="1" applyAlignment="1">
      <alignment horizontal="center"/>
    </xf>
    <xf numFmtId="0" fontId="15" fillId="0" borderId="21" xfId="1" applyFont="1" applyBorder="1" applyAlignment="1">
      <alignment horizontal="right"/>
    </xf>
    <xf numFmtId="0" fontId="15" fillId="0" borderId="14" xfId="1" applyFont="1" applyBorder="1" applyAlignment="1">
      <alignment horizontal="right"/>
    </xf>
    <xf numFmtId="0" fontId="15" fillId="0" borderId="23" xfId="1" applyFont="1" applyBorder="1" applyAlignment="1">
      <alignment horizontal="right"/>
    </xf>
    <xf numFmtId="0" fontId="15" fillId="0" borderId="24" xfId="1" applyFont="1" applyBorder="1" applyAlignment="1">
      <alignment horizontal="right"/>
    </xf>
    <xf numFmtId="0" fontId="0" fillId="0" borderId="1" xfId="0" applyBorder="1" applyAlignment="1">
      <alignment horizontal="center" vertical="center"/>
    </xf>
    <xf numFmtId="0" fontId="0" fillId="0" borderId="1" xfId="0" applyBorder="1" applyAlignment="1">
      <alignment horizontal="center" wrapText="1"/>
    </xf>
    <xf numFmtId="0" fontId="33" fillId="0" borderId="41" xfId="0" applyFont="1" applyBorder="1" applyAlignment="1">
      <alignment horizontal="center"/>
    </xf>
    <xf numFmtId="0" fontId="33" fillId="0" borderId="42" xfId="0" applyFont="1" applyBorder="1" applyAlignment="1">
      <alignment horizontal="center"/>
    </xf>
    <xf numFmtId="0" fontId="33" fillId="0" borderId="43" xfId="0" applyFont="1" applyBorder="1" applyAlignment="1">
      <alignment horizontal="center"/>
    </xf>
    <xf numFmtId="0" fontId="13" fillId="0" borderId="0" xfId="0" applyFont="1" applyAlignment="1">
      <alignment vertical="center"/>
    </xf>
    <xf numFmtId="0" fontId="13" fillId="0" borderId="23" xfId="0" applyFont="1" applyBorder="1" applyAlignment="1">
      <alignment horizontal="center"/>
    </xf>
    <xf numFmtId="0" fontId="13" fillId="0" borderId="1" xfId="0" applyFont="1" applyBorder="1" applyAlignment="1">
      <alignment horizontal="center"/>
    </xf>
    <xf numFmtId="0" fontId="13" fillId="0" borderId="24" xfId="0" applyFont="1" applyBorder="1" applyAlignment="1">
      <alignment horizontal="center"/>
    </xf>
    <xf numFmtId="0" fontId="32" fillId="0" borderId="19" xfId="0" applyFont="1" applyBorder="1" applyAlignment="1">
      <alignment horizontal="center"/>
    </xf>
    <xf numFmtId="0" fontId="32" fillId="0" borderId="33" xfId="0" applyFont="1" applyBorder="1" applyAlignment="1">
      <alignment horizontal="center"/>
    </xf>
    <xf numFmtId="0" fontId="16" fillId="0" borderId="0" xfId="1" applyFont="1" applyAlignment="1">
      <alignment horizontal="center"/>
    </xf>
    <xf numFmtId="0" fontId="13" fillId="0" borderId="16" xfId="0" applyFont="1" applyBorder="1" applyAlignment="1">
      <alignment horizontal="center"/>
    </xf>
    <xf numFmtId="0" fontId="13" fillId="0" borderId="36" xfId="0" applyFont="1" applyBorder="1" applyAlignment="1">
      <alignment horizontal="center"/>
    </xf>
    <xf numFmtId="0" fontId="13" fillId="0" borderId="6" xfId="0" applyFont="1" applyBorder="1" applyAlignment="1">
      <alignment horizontal="center" wrapText="1"/>
    </xf>
    <xf numFmtId="0" fontId="13" fillId="0" borderId="6" xfId="0" applyFont="1" applyBorder="1" applyAlignment="1">
      <alignment horizontal="center"/>
    </xf>
    <xf numFmtId="0" fontId="18" fillId="0" borderId="23" xfId="0" applyFont="1" applyBorder="1" applyAlignment="1">
      <alignment horizontal="center"/>
    </xf>
    <xf numFmtId="0" fontId="18" fillId="0" borderId="24" xfId="0" applyFont="1" applyBorder="1" applyAlignment="1">
      <alignment horizontal="center"/>
    </xf>
    <xf numFmtId="0" fontId="18" fillId="0" borderId="0" xfId="0" applyFont="1" applyAlignment="1">
      <alignment horizontal="center"/>
    </xf>
    <xf numFmtId="14" fontId="18" fillId="0" borderId="0" xfId="6" quotePrefix="1" applyNumberFormat="1" applyFont="1" applyFill="1" applyBorder="1" applyAlignment="1">
      <alignment horizontal="center"/>
    </xf>
    <xf numFmtId="14" fontId="18" fillId="0" borderId="0" xfId="6" applyNumberFormat="1" applyFont="1" applyFill="1" applyBorder="1" applyAlignment="1">
      <alignment horizontal="center"/>
    </xf>
    <xf numFmtId="17" fontId="18" fillId="0" borderId="0" xfId="6" applyNumberFormat="1" applyFont="1" applyFill="1" applyBorder="1" applyAlignment="1">
      <alignment horizontal="center"/>
    </xf>
    <xf numFmtId="17" fontId="18" fillId="0" borderId="0" xfId="6" quotePrefix="1" applyNumberFormat="1" applyFont="1" applyFill="1" applyBorder="1" applyAlignment="1">
      <alignment horizontal="center"/>
    </xf>
    <xf numFmtId="0" fontId="18" fillId="0" borderId="47" xfId="0" applyFont="1" applyBorder="1" applyAlignment="1">
      <alignment horizontal="center"/>
    </xf>
    <xf numFmtId="0" fontId="18" fillId="0" borderId="48" xfId="0" applyFont="1" applyBorder="1" applyAlignment="1">
      <alignment horizontal="center"/>
    </xf>
    <xf numFmtId="0" fontId="18" fillId="0" borderId="49" xfId="0" applyFont="1" applyBorder="1" applyAlignment="1">
      <alignment horizontal="center"/>
    </xf>
    <xf numFmtId="0" fontId="14" fillId="0" borderId="0" xfId="1" applyFont="1" applyAlignment="1">
      <alignment horizontal="right"/>
    </xf>
    <xf numFmtId="0" fontId="29" fillId="0" borderId="6" xfId="0" applyFont="1" applyBorder="1" applyAlignment="1">
      <alignment horizontal="center"/>
    </xf>
    <xf numFmtId="173" fontId="18" fillId="0" borderId="47" xfId="0" applyNumberFormat="1" applyFont="1" applyBorder="1" applyAlignment="1">
      <alignment horizontal="center"/>
    </xf>
    <xf numFmtId="173" fontId="18" fillId="0" borderId="10" xfId="0" applyNumberFormat="1" applyFont="1" applyBorder="1" applyAlignment="1">
      <alignment horizontal="center"/>
    </xf>
    <xf numFmtId="173" fontId="18" fillId="0" borderId="48" xfId="0" applyNumberFormat="1" applyFont="1" applyBorder="1" applyAlignment="1">
      <alignment horizontal="center"/>
    </xf>
    <xf numFmtId="173" fontId="18" fillId="0" borderId="49" xfId="0" applyNumberFormat="1" applyFont="1" applyBorder="1" applyAlignment="1">
      <alignment horizontal="center"/>
    </xf>
    <xf numFmtId="0" fontId="18" fillId="0" borderId="23" xfId="0" applyFont="1" applyBorder="1" applyAlignment="1">
      <alignment horizontal="center" vertical="top" wrapText="1"/>
    </xf>
    <xf numFmtId="0" fontId="18" fillId="0" borderId="1" xfId="0" applyFont="1" applyBorder="1" applyAlignment="1">
      <alignment horizontal="center" vertical="top" wrapText="1"/>
    </xf>
    <xf numFmtId="0" fontId="18" fillId="0" borderId="24" xfId="0" applyFont="1" applyBorder="1" applyAlignment="1">
      <alignment horizontal="center" vertical="top" wrapText="1"/>
    </xf>
    <xf numFmtId="0" fontId="18" fillId="0" borderId="15" xfId="0" applyFont="1" applyBorder="1" applyAlignment="1">
      <alignment horizontal="center"/>
    </xf>
    <xf numFmtId="0" fontId="18" fillId="0" borderId="0" xfId="0" applyFont="1" applyAlignment="1">
      <alignment horizontal="center" wrapText="1"/>
    </xf>
    <xf numFmtId="0" fontId="18" fillId="0" borderId="6" xfId="0" applyFont="1" applyBorder="1" applyAlignment="1">
      <alignment horizontal="center" wrapText="1"/>
    </xf>
    <xf numFmtId="0" fontId="31" fillId="0" borderId="0" xfId="0" applyFont="1" applyAlignment="1">
      <alignment horizontal="center" wrapText="1"/>
    </xf>
    <xf numFmtId="0" fontId="16" fillId="0" borderId="0" xfId="0" applyFont="1" applyAlignment="1">
      <alignment horizontal="center"/>
    </xf>
    <xf numFmtId="0" fontId="18" fillId="0" borderId="19" xfId="0" applyFont="1" applyBorder="1" applyAlignment="1">
      <alignment horizontal="center"/>
    </xf>
  </cellXfs>
  <cellStyles count="72">
    <cellStyle name="_x0010_“+ˆÉ•?pý¤" xfId="45" xr:uid="{3CA24BFE-8744-44B4-B3AB-9914BE27DBE7}"/>
    <cellStyle name="Actual Date" xfId="2" xr:uid="{90A20703-E73F-4FFB-9D41-11B9B8598C31}"/>
    <cellStyle name="Actual Date 2" xfId="46" xr:uid="{8B54FD47-1587-4DF3-8EC0-225DFC898EBB}"/>
    <cellStyle name="Actual Date 2 2" xfId="61" xr:uid="{9100D181-04F7-4941-A53D-EC8C1FE94461}"/>
    <cellStyle name="Comma" xfId="37" builtinId="3"/>
    <cellStyle name="Comma [0] 2" xfId="55" xr:uid="{14BD00BB-66FD-4A67-B3E1-4CDB04DACA75}"/>
    <cellStyle name="Comma 2" xfId="3" xr:uid="{A463B59C-A829-4CA9-983F-290777244053}"/>
    <cellStyle name="Comma 3" xfId="54" xr:uid="{BFE2B9D9-3F56-4C52-9C36-6EAB17513E10}"/>
    <cellStyle name="Comma 31 2" xfId="39" xr:uid="{6112A572-923D-4AF2-B44E-C0DB9129578D}"/>
    <cellStyle name="Comma 4" xfId="68" xr:uid="{9DBA38FC-6A3F-4633-8763-D8B065E46EA1}"/>
    <cellStyle name="Comma0" xfId="4" xr:uid="{BFA70494-24E7-4EB4-8245-3E92DE30AB79}"/>
    <cellStyle name="Currency" xfId="38" builtinId="4"/>
    <cellStyle name="Currency [0] 2" xfId="53" xr:uid="{75531AD8-D9C9-4CB3-B082-07DF819F296C}"/>
    <cellStyle name="Currency 2" xfId="6" xr:uid="{C853109E-BA78-4949-AE6E-97FBB2C947A2}"/>
    <cellStyle name="Currency 3" xfId="5" xr:uid="{71193358-ACE2-4128-B76E-A894406DE180}"/>
    <cellStyle name="Currency 4" xfId="52" xr:uid="{CA888CE8-D8D4-4285-88EB-D159A8E34AD8}"/>
    <cellStyle name="Currency0" xfId="7" xr:uid="{11C847DE-D199-4798-B8A6-6DF371C1596F}"/>
    <cellStyle name="Date" xfId="8" xr:uid="{55B42165-9C35-400C-8039-99C32BF8F8D1}"/>
    <cellStyle name="Date 2" xfId="47" xr:uid="{705DB756-1DE4-495A-A47C-D772E3890C88}"/>
    <cellStyle name="Fixed" xfId="9" xr:uid="{73C8C8B8-EF3A-48A3-A48A-A4A6A3CEB441}"/>
    <cellStyle name="Fixed 2" xfId="48" xr:uid="{118364D4-5E2D-4D5D-B1A1-DEAB425B5C4B}"/>
    <cellStyle name="Grey" xfId="10" xr:uid="{B049FF98-EED1-44B0-B326-4132EA93C5E2}"/>
    <cellStyle name="Grey 2" xfId="56" xr:uid="{B3F6CBA1-3199-4D6A-9F83-3DA73A6AD9D5}"/>
    <cellStyle name="HEADER" xfId="11" xr:uid="{EADF02B1-8108-4E0E-9DB6-F65EA011F410}"/>
    <cellStyle name="Heading 1 2" xfId="12" xr:uid="{C958FC72-ADC5-4A1B-8837-26CC92340585}"/>
    <cellStyle name="Heading 2 2" xfId="13" xr:uid="{6C11C16C-14DA-433C-B90A-019D9D58FAA5}"/>
    <cellStyle name="Heading1" xfId="14" xr:uid="{D5CB65F7-622F-48D9-BDFE-EA5710CB06E5}"/>
    <cellStyle name="Heading2" xfId="15" xr:uid="{B6C120CA-23B0-46B6-A206-F21EFD627A0E}"/>
    <cellStyle name="HIGHLIGHT" xfId="16" xr:uid="{0FA977AC-6A13-4F7D-B4C6-304F02BAB7E6}"/>
    <cellStyle name="Hyperlink 3" xfId="65" xr:uid="{7334888F-32E8-4EC7-9870-5C6D3E5E2931}"/>
    <cellStyle name="Hyperlink 3 2" xfId="69" xr:uid="{EAADDAAA-06D4-4459-A79F-5CD06524D90C}"/>
    <cellStyle name="Input [yellow]" xfId="17" xr:uid="{483402D1-6D66-4584-B91A-9EFB4E29CD72}"/>
    <cellStyle name="Input [yellow] 2" xfId="57" xr:uid="{F6391689-45AD-4603-B4A2-BE04D24BFF33}"/>
    <cellStyle name="no dec" xfId="18" xr:uid="{1FFD3759-CFEB-431B-95E2-F9D56114D76C}"/>
    <cellStyle name="Normal" xfId="0" builtinId="0"/>
    <cellStyle name="Normal - Style1" xfId="19" xr:uid="{09AAD6A7-C83A-4809-BC97-D6D075635A0F}"/>
    <cellStyle name="Normal - Style1 2" xfId="58" xr:uid="{64A8C5CE-422C-4E11-B581-47D0D9CBD826}"/>
    <cellStyle name="Normal 10" xfId="36" xr:uid="{11F0179F-876F-4C81-8782-FEAE6EA9A44F}"/>
    <cellStyle name="Normal 19" xfId="40" xr:uid="{2E801201-3018-4BBB-869B-19B0A8909CC2}"/>
    <cellStyle name="Normal 2" xfId="1" xr:uid="{FCF77B81-9A51-4CFC-8630-2394A24C8B4C}"/>
    <cellStyle name="Normal 2 10 10" xfId="50" xr:uid="{D8DFC543-B40C-47A0-8B13-A1C50AA28EB7}"/>
    <cellStyle name="Normal 2 2" xfId="20" xr:uid="{768976F9-6BF3-4C64-A7A2-0699BE302438}"/>
    <cellStyle name="Normal 2 2 2" xfId="64" xr:uid="{6AF58E63-A491-46BE-8739-ACB57E62413E}"/>
    <cellStyle name="Normal 2 2 3" xfId="43" xr:uid="{3CB2400E-38D8-4483-A909-E1123E13C796}"/>
    <cellStyle name="Normal 2 3" xfId="41" xr:uid="{2753EB9B-3133-43A7-96E7-092AD5ED8E76}"/>
    <cellStyle name="Normal 2 4" xfId="63" xr:uid="{65AF1E43-D5BA-47A0-BE92-C6A1BD01AB8A}"/>
    <cellStyle name="Normal 2 98" xfId="71" xr:uid="{C6C74EA9-BCE8-40FE-AD6C-B61AA0A7E65A}"/>
    <cellStyle name="Normal 208 5 8" xfId="66" xr:uid="{9411A5BD-0CDA-4193-BB4B-78D23B29F3A4}"/>
    <cellStyle name="Normal 208 5 8 5" xfId="70" xr:uid="{8DC4EAB7-67BE-42E7-A01F-C442AFF4FE5A}"/>
    <cellStyle name="Normal 3" xfId="21" xr:uid="{1BE115B0-68EE-409A-BE42-7964F3B2186B}"/>
    <cellStyle name="Normal 3 2" xfId="31" xr:uid="{EBD24680-6BB0-4648-B6FB-486BE3B05DA3}"/>
    <cellStyle name="Normal 4" xfId="44" xr:uid="{634F72B5-28C2-4C26-B0A6-C773368C20CB}"/>
    <cellStyle name="Normal 4 2" xfId="60" xr:uid="{9F140B47-14B4-4127-89FE-5D6D6DEC1284}"/>
    <cellStyle name="Normal 5" xfId="49" xr:uid="{B9FA5BE0-F9D1-46D0-A460-7CCC21D37848}"/>
    <cellStyle name="Normal 5 2" xfId="62" xr:uid="{7725BE2F-AB27-47EF-9049-028FDF3881C1}"/>
    <cellStyle name="Normal 6" xfId="67" xr:uid="{10F54CEA-1A14-4C9C-9288-5EF940D33227}"/>
    <cellStyle name="Normal 9" xfId="32" xr:uid="{74F7FB52-B68E-44BF-B225-318676247797}"/>
    <cellStyle name="Normal_Effective Rates (1-6-2003)" xfId="34" xr:uid="{3D00D5F4-4B1C-487C-836C-2BE4F61F1BB5}"/>
    <cellStyle name="Normal_SDGE Tiered ratesmud" xfId="35" xr:uid="{7B4B6413-67CE-4430-9793-D246893E09B2}"/>
    <cellStyle name="Percent" xfId="42" builtinId="5"/>
    <cellStyle name="Percent [2]" xfId="23" xr:uid="{E59307F2-F086-4441-9673-C73345619B92}"/>
    <cellStyle name="Percent 2" xfId="24" xr:uid="{53FD8FB0-DE16-440B-8091-1A5F721D0797}"/>
    <cellStyle name="Percent 3" xfId="25" xr:uid="{FD09ACED-468E-42F6-A1AA-5A76707CDC8A}"/>
    <cellStyle name="Percent 4" xfId="33" xr:uid="{75FC7505-8CA7-4DC6-AF7E-0A549648BDAB}"/>
    <cellStyle name="Percent 5" xfId="22" xr:uid="{FDA81B20-6FA8-49F6-A9CF-1116F234E27E}"/>
    <cellStyle name="Percent 6" xfId="51" xr:uid="{F5A77671-4D5D-42B4-B1A5-EF29B1E96894}"/>
    <cellStyle name="Total 2" xfId="26" xr:uid="{B7044CB5-68EF-42DF-AE5D-9CDC42788CD9}"/>
    <cellStyle name="Unprot" xfId="27" xr:uid="{C5877B4C-C00B-4575-97C3-8AFFB3689A95}"/>
    <cellStyle name="Unprot 2" xfId="59" xr:uid="{16E064EE-0974-4455-9829-AC496E4A9743}"/>
    <cellStyle name="Unprot$" xfId="28" xr:uid="{67D3E91F-4980-4407-9928-2E00A0F61904}"/>
    <cellStyle name="Unprot_07-2008 CSI Update v1.5 - FINAL" xfId="29" xr:uid="{12952277-79F8-44C2-A6A3-D712ABB4C91F}"/>
    <cellStyle name="Unprotect" xfId="30" xr:uid="{B510A288-A05D-40A2-AD64-2906F1437A0A}"/>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3BDFF"/>
      <color rgb="FFFA7ED7"/>
      <color rgb="FFAE27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xdr:col>
      <xdr:colOff>2809875</xdr:colOff>
      <xdr:row>27</xdr:row>
      <xdr:rowOff>0</xdr:rowOff>
    </xdr:from>
    <xdr:ext cx="184731" cy="264560"/>
    <xdr:sp macro="" textlink="">
      <xdr:nvSpPr>
        <xdr:cNvPr id="2" name="TextBox 1">
          <a:extLst>
            <a:ext uri="{FF2B5EF4-FFF2-40B4-BE49-F238E27FC236}">
              <a16:creationId xmlns:a16="http://schemas.microsoft.com/office/drawing/2014/main" id="{8EEB0705-0831-5161-9639-54E3EDB23EF8}"/>
            </a:ext>
          </a:extLst>
        </xdr:cNvPr>
        <xdr:cNvSpPr txBox="1"/>
      </xdr:nvSpPr>
      <xdr:spPr>
        <a:xfrm>
          <a:off x="4714875" y="1515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542925</xdr:colOff>
      <xdr:row>42</xdr:row>
      <xdr:rowOff>0</xdr:rowOff>
    </xdr:from>
    <xdr:to>
      <xdr:col>14</xdr:col>
      <xdr:colOff>400050</xdr:colOff>
      <xdr:row>55</xdr:row>
      <xdr:rowOff>180975</xdr:rowOff>
    </xdr:to>
    <xdr:sp macro="" textlink="">
      <xdr:nvSpPr>
        <xdr:cNvPr id="12" name="Rectangle 11">
          <a:extLst>
            <a:ext uri="{FF2B5EF4-FFF2-40B4-BE49-F238E27FC236}">
              <a16:creationId xmlns:a16="http://schemas.microsoft.com/office/drawing/2014/main" id="{221DB677-99FF-451A-BC21-29D58F6BE4D5}"/>
            </a:ext>
          </a:extLst>
        </xdr:cNvPr>
        <xdr:cNvSpPr/>
      </xdr:nvSpPr>
      <xdr:spPr>
        <a:xfrm>
          <a:off x="542925" y="8077200"/>
          <a:ext cx="9172575" cy="26574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19049</xdr:colOff>
      <xdr:row>87</xdr:row>
      <xdr:rowOff>9525</xdr:rowOff>
    </xdr:from>
    <xdr:to>
      <xdr:col>11</xdr:col>
      <xdr:colOff>85724</xdr:colOff>
      <xdr:row>103</xdr:row>
      <xdr:rowOff>19050</xdr:rowOff>
    </xdr:to>
    <xdr:sp macro="" textlink="">
      <xdr:nvSpPr>
        <xdr:cNvPr id="26" name="Rectangle 25">
          <a:extLst>
            <a:ext uri="{FF2B5EF4-FFF2-40B4-BE49-F238E27FC236}">
              <a16:creationId xmlns:a16="http://schemas.microsoft.com/office/drawing/2014/main" id="{7FFA8AA2-8309-5707-5E03-6D3BB28C5FDF}"/>
            </a:ext>
          </a:extLst>
        </xdr:cNvPr>
        <xdr:cNvSpPr/>
      </xdr:nvSpPr>
      <xdr:spPr>
        <a:xfrm>
          <a:off x="1238249" y="9686925"/>
          <a:ext cx="6334125" cy="30575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552449</xdr:colOff>
      <xdr:row>18</xdr:row>
      <xdr:rowOff>171451</xdr:rowOff>
    </xdr:from>
    <xdr:to>
      <xdr:col>13</xdr:col>
      <xdr:colOff>295274</xdr:colOff>
      <xdr:row>40</xdr:row>
      <xdr:rowOff>38100</xdr:rowOff>
    </xdr:to>
    <xdr:sp macro="" textlink="">
      <xdr:nvSpPr>
        <xdr:cNvPr id="25" name="Rectangle 24">
          <a:extLst>
            <a:ext uri="{FF2B5EF4-FFF2-40B4-BE49-F238E27FC236}">
              <a16:creationId xmlns:a16="http://schemas.microsoft.com/office/drawing/2014/main" id="{49D6C74C-6350-D759-D85D-8C44E74678EB}"/>
            </a:ext>
          </a:extLst>
        </xdr:cNvPr>
        <xdr:cNvSpPr/>
      </xdr:nvSpPr>
      <xdr:spPr>
        <a:xfrm>
          <a:off x="552449" y="3676651"/>
          <a:ext cx="8448675" cy="405764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9525</xdr:colOff>
      <xdr:row>19</xdr:row>
      <xdr:rowOff>47625</xdr:rowOff>
    </xdr:from>
    <xdr:to>
      <xdr:col>13</xdr:col>
      <xdr:colOff>225425</xdr:colOff>
      <xdr:row>39</xdr:row>
      <xdr:rowOff>152400</xdr:rowOff>
    </xdr:to>
    <xdr:pic>
      <xdr:nvPicPr>
        <xdr:cNvPr id="9" name="Picture 8">
          <a:extLst>
            <a:ext uri="{FF2B5EF4-FFF2-40B4-BE49-F238E27FC236}">
              <a16:creationId xmlns:a16="http://schemas.microsoft.com/office/drawing/2014/main" id="{0F78A18A-524F-7742-349E-2A4A09180FDC}"/>
            </a:ext>
          </a:extLst>
        </xdr:cNvPr>
        <xdr:cNvPicPr>
          <a:picLocks noChangeAspect="1"/>
        </xdr:cNvPicPr>
      </xdr:nvPicPr>
      <xdr:blipFill>
        <a:blip xmlns:r="http://schemas.openxmlformats.org/officeDocument/2006/relationships" r:embed="rId1"/>
        <a:stretch>
          <a:fillRect/>
        </a:stretch>
      </xdr:blipFill>
      <xdr:spPr>
        <a:xfrm>
          <a:off x="619125" y="3743325"/>
          <a:ext cx="8312150" cy="3914775"/>
        </a:xfrm>
        <a:prstGeom prst="rect">
          <a:avLst/>
        </a:prstGeom>
      </xdr:spPr>
    </xdr:pic>
    <xdr:clientData/>
  </xdr:twoCellAnchor>
  <xdr:twoCellAnchor>
    <xdr:from>
      <xdr:col>6</xdr:col>
      <xdr:colOff>571500</xdr:colOff>
      <xdr:row>19</xdr:row>
      <xdr:rowOff>28575</xdr:rowOff>
    </xdr:from>
    <xdr:to>
      <xdr:col>6</xdr:col>
      <xdr:colOff>762000</xdr:colOff>
      <xdr:row>21</xdr:row>
      <xdr:rowOff>123825</xdr:rowOff>
    </xdr:to>
    <xdr:cxnSp macro="">
      <xdr:nvCxnSpPr>
        <xdr:cNvPr id="11" name="Straight Arrow Connector 10">
          <a:extLst>
            <a:ext uri="{FF2B5EF4-FFF2-40B4-BE49-F238E27FC236}">
              <a16:creationId xmlns:a16="http://schemas.microsoft.com/office/drawing/2014/main" id="{470BE8B6-B8B6-8C32-75E1-13075E2F7B9D}"/>
            </a:ext>
          </a:extLst>
        </xdr:cNvPr>
        <xdr:cNvCxnSpPr/>
      </xdr:nvCxnSpPr>
      <xdr:spPr>
        <a:xfrm flipH="1">
          <a:off x="4229100" y="3552825"/>
          <a:ext cx="190500" cy="4572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863600</xdr:colOff>
      <xdr:row>19</xdr:row>
      <xdr:rowOff>38100</xdr:rowOff>
    </xdr:from>
    <xdr:to>
      <xdr:col>7</xdr:col>
      <xdr:colOff>463550</xdr:colOff>
      <xdr:row>23</xdr:row>
      <xdr:rowOff>6350</xdr:rowOff>
    </xdr:to>
    <xdr:cxnSp macro="">
      <xdr:nvCxnSpPr>
        <xdr:cNvPr id="13" name="Straight Arrow Connector 12">
          <a:extLst>
            <a:ext uri="{FF2B5EF4-FFF2-40B4-BE49-F238E27FC236}">
              <a16:creationId xmlns:a16="http://schemas.microsoft.com/office/drawing/2014/main" id="{5EE528ED-4B5B-1B3D-5FB0-E381CBDBDF05}"/>
            </a:ext>
          </a:extLst>
        </xdr:cNvPr>
        <xdr:cNvCxnSpPr/>
      </xdr:nvCxnSpPr>
      <xdr:spPr>
        <a:xfrm flipH="1">
          <a:off x="4524375" y="3562350"/>
          <a:ext cx="561975" cy="6953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34925</xdr:colOff>
      <xdr:row>19</xdr:row>
      <xdr:rowOff>47625</xdr:rowOff>
    </xdr:from>
    <xdr:to>
      <xdr:col>8</xdr:col>
      <xdr:colOff>352425</xdr:colOff>
      <xdr:row>24</xdr:row>
      <xdr:rowOff>187325</xdr:rowOff>
    </xdr:to>
    <xdr:cxnSp macro="">
      <xdr:nvCxnSpPr>
        <xdr:cNvPr id="15" name="Straight Arrow Connector 14">
          <a:extLst>
            <a:ext uri="{FF2B5EF4-FFF2-40B4-BE49-F238E27FC236}">
              <a16:creationId xmlns:a16="http://schemas.microsoft.com/office/drawing/2014/main" id="{607BBE2D-7BC0-337E-790E-BBAA1009DAE7}"/>
            </a:ext>
          </a:extLst>
        </xdr:cNvPr>
        <xdr:cNvCxnSpPr/>
      </xdr:nvCxnSpPr>
      <xdr:spPr>
        <a:xfrm flipH="1">
          <a:off x="4616450" y="3552825"/>
          <a:ext cx="1250950" cy="10922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577850</xdr:colOff>
      <xdr:row>21</xdr:row>
      <xdr:rowOff>123825</xdr:rowOff>
    </xdr:from>
    <xdr:to>
      <xdr:col>14</xdr:col>
      <xdr:colOff>133350</xdr:colOff>
      <xdr:row>22</xdr:row>
      <xdr:rowOff>66675</xdr:rowOff>
    </xdr:to>
    <xdr:cxnSp macro="">
      <xdr:nvCxnSpPr>
        <xdr:cNvPr id="16" name="Straight Arrow Connector 15">
          <a:extLst>
            <a:ext uri="{FF2B5EF4-FFF2-40B4-BE49-F238E27FC236}">
              <a16:creationId xmlns:a16="http://schemas.microsoft.com/office/drawing/2014/main" id="{E8F0DFCF-FFD7-4132-BA57-0608850196E4}"/>
            </a:ext>
          </a:extLst>
        </xdr:cNvPr>
        <xdr:cNvCxnSpPr/>
      </xdr:nvCxnSpPr>
      <xdr:spPr>
        <a:xfrm flipH="1">
          <a:off x="8674100" y="4010025"/>
          <a:ext cx="774700" cy="1333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22</xdr:row>
      <xdr:rowOff>133350</xdr:rowOff>
    </xdr:from>
    <xdr:to>
      <xdr:col>14</xdr:col>
      <xdr:colOff>139700</xdr:colOff>
      <xdr:row>23</xdr:row>
      <xdr:rowOff>28575</xdr:rowOff>
    </xdr:to>
    <xdr:cxnSp macro="">
      <xdr:nvCxnSpPr>
        <xdr:cNvPr id="19" name="Straight Arrow Connector 18">
          <a:extLst>
            <a:ext uri="{FF2B5EF4-FFF2-40B4-BE49-F238E27FC236}">
              <a16:creationId xmlns:a16="http://schemas.microsoft.com/office/drawing/2014/main" id="{B5FF9E9D-594B-49C9-84FE-A0DC18875C1C}"/>
            </a:ext>
          </a:extLst>
        </xdr:cNvPr>
        <xdr:cNvCxnSpPr/>
      </xdr:nvCxnSpPr>
      <xdr:spPr>
        <a:xfrm flipH="1">
          <a:off x="8705850" y="4210050"/>
          <a:ext cx="749300" cy="857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63500</xdr:colOff>
      <xdr:row>87</xdr:row>
      <xdr:rowOff>57150</xdr:rowOff>
    </xdr:from>
    <xdr:to>
      <xdr:col>11</xdr:col>
      <xdr:colOff>54866</xdr:colOff>
      <xdr:row>102</xdr:row>
      <xdr:rowOff>152792</xdr:rowOff>
    </xdr:to>
    <xdr:pic>
      <xdr:nvPicPr>
        <xdr:cNvPr id="22" name="Picture 21">
          <a:extLst>
            <a:ext uri="{FF2B5EF4-FFF2-40B4-BE49-F238E27FC236}">
              <a16:creationId xmlns:a16="http://schemas.microsoft.com/office/drawing/2014/main" id="{401F06CA-CAFE-0895-9EDF-EB9E0479766F}"/>
            </a:ext>
          </a:extLst>
        </xdr:cNvPr>
        <xdr:cNvPicPr>
          <a:picLocks noChangeAspect="1"/>
        </xdr:cNvPicPr>
      </xdr:nvPicPr>
      <xdr:blipFill>
        <a:blip xmlns:r="http://schemas.openxmlformats.org/officeDocument/2006/relationships" r:embed="rId2"/>
        <a:stretch>
          <a:fillRect/>
        </a:stretch>
      </xdr:blipFill>
      <xdr:spPr>
        <a:xfrm>
          <a:off x="1282700" y="9734550"/>
          <a:ext cx="6258816" cy="2953142"/>
        </a:xfrm>
        <a:prstGeom prst="rect">
          <a:avLst/>
        </a:prstGeom>
      </xdr:spPr>
    </xdr:pic>
    <xdr:clientData/>
  </xdr:twoCellAnchor>
  <xdr:twoCellAnchor>
    <xdr:from>
      <xdr:col>7</xdr:col>
      <xdr:colOff>457200</xdr:colOff>
      <xdr:row>87</xdr:row>
      <xdr:rowOff>9525</xdr:rowOff>
    </xdr:from>
    <xdr:to>
      <xdr:col>7</xdr:col>
      <xdr:colOff>647700</xdr:colOff>
      <xdr:row>90</xdr:row>
      <xdr:rowOff>9525</xdr:rowOff>
    </xdr:to>
    <xdr:cxnSp macro="">
      <xdr:nvCxnSpPr>
        <xdr:cNvPr id="3" name="Straight Arrow Connector 2">
          <a:extLst>
            <a:ext uri="{FF2B5EF4-FFF2-40B4-BE49-F238E27FC236}">
              <a16:creationId xmlns:a16="http://schemas.microsoft.com/office/drawing/2014/main" id="{13CEA4E9-AA51-4FE5-B824-538054C50761}"/>
            </a:ext>
          </a:extLst>
        </xdr:cNvPr>
        <xdr:cNvCxnSpPr/>
      </xdr:nvCxnSpPr>
      <xdr:spPr>
        <a:xfrm flipH="1">
          <a:off x="5038725" y="8924925"/>
          <a:ext cx="190500" cy="571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523875</xdr:colOff>
      <xdr:row>87</xdr:row>
      <xdr:rowOff>9525</xdr:rowOff>
    </xdr:from>
    <xdr:to>
      <xdr:col>8</xdr:col>
      <xdr:colOff>457200</xdr:colOff>
      <xdr:row>90</xdr:row>
      <xdr:rowOff>158750</xdr:rowOff>
    </xdr:to>
    <xdr:cxnSp macro="">
      <xdr:nvCxnSpPr>
        <xdr:cNvPr id="10" name="Straight Arrow Connector 9">
          <a:extLst>
            <a:ext uri="{FF2B5EF4-FFF2-40B4-BE49-F238E27FC236}">
              <a16:creationId xmlns:a16="http://schemas.microsoft.com/office/drawing/2014/main" id="{494BB723-FB7F-42F2-9CB0-4F948286D3DA}"/>
            </a:ext>
          </a:extLst>
        </xdr:cNvPr>
        <xdr:cNvCxnSpPr/>
      </xdr:nvCxnSpPr>
      <xdr:spPr>
        <a:xfrm flipH="1">
          <a:off x="5105400" y="8924925"/>
          <a:ext cx="866775" cy="7207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514350</xdr:colOff>
      <xdr:row>87</xdr:row>
      <xdr:rowOff>0</xdr:rowOff>
    </xdr:from>
    <xdr:to>
      <xdr:col>9</xdr:col>
      <xdr:colOff>333375</xdr:colOff>
      <xdr:row>91</xdr:row>
      <xdr:rowOff>104775</xdr:rowOff>
    </xdr:to>
    <xdr:cxnSp macro="">
      <xdr:nvCxnSpPr>
        <xdr:cNvPr id="17" name="Straight Arrow Connector 16">
          <a:extLst>
            <a:ext uri="{FF2B5EF4-FFF2-40B4-BE49-F238E27FC236}">
              <a16:creationId xmlns:a16="http://schemas.microsoft.com/office/drawing/2014/main" id="{8B47B4EA-3766-418E-BD1E-D4649E6E4698}"/>
            </a:ext>
          </a:extLst>
        </xdr:cNvPr>
        <xdr:cNvCxnSpPr/>
      </xdr:nvCxnSpPr>
      <xdr:spPr>
        <a:xfrm flipH="1">
          <a:off x="5095875" y="13830300"/>
          <a:ext cx="1504950" cy="8667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485775</xdr:colOff>
      <xdr:row>64</xdr:row>
      <xdr:rowOff>9524</xdr:rowOff>
    </xdr:from>
    <xdr:to>
      <xdr:col>13</xdr:col>
      <xdr:colOff>247651</xdr:colOff>
      <xdr:row>72</xdr:row>
      <xdr:rowOff>66675</xdr:rowOff>
    </xdr:to>
    <xdr:sp macro="" textlink="">
      <xdr:nvSpPr>
        <xdr:cNvPr id="21" name="Rectangle 20">
          <a:extLst>
            <a:ext uri="{FF2B5EF4-FFF2-40B4-BE49-F238E27FC236}">
              <a16:creationId xmlns:a16="http://schemas.microsoft.com/office/drawing/2014/main" id="{386B0E63-779E-4C21-8556-73E6CFF52605}"/>
            </a:ext>
          </a:extLst>
        </xdr:cNvPr>
        <xdr:cNvSpPr/>
      </xdr:nvSpPr>
      <xdr:spPr>
        <a:xfrm>
          <a:off x="485775" y="12353924"/>
          <a:ext cx="8467726" cy="1581151"/>
        </a:xfrm>
        <a:prstGeom prst="rect">
          <a:avLst/>
        </a:prstGeom>
        <a:solidFill>
          <a:srgbClr val="4472C4"/>
        </a:solidFill>
        <a:ln w="12700" cap="flat" cmpd="sng" algn="ctr">
          <a:solidFill>
            <a:srgbClr val="4472C4">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editAs="oneCell">
    <xdr:from>
      <xdr:col>0</xdr:col>
      <xdr:colOff>552450</xdr:colOff>
      <xdr:row>64</xdr:row>
      <xdr:rowOff>66675</xdr:rowOff>
    </xdr:from>
    <xdr:to>
      <xdr:col>13</xdr:col>
      <xdr:colOff>153559</xdr:colOff>
      <xdr:row>71</xdr:row>
      <xdr:rowOff>180975</xdr:rowOff>
    </xdr:to>
    <xdr:pic>
      <xdr:nvPicPr>
        <xdr:cNvPr id="23" name="Picture 22">
          <a:extLst>
            <a:ext uri="{FF2B5EF4-FFF2-40B4-BE49-F238E27FC236}">
              <a16:creationId xmlns:a16="http://schemas.microsoft.com/office/drawing/2014/main" id="{BD718DDC-920F-E5C0-D250-41E3B13BDBF8}"/>
            </a:ext>
          </a:extLst>
        </xdr:cNvPr>
        <xdr:cNvPicPr>
          <a:picLocks noChangeAspect="1"/>
        </xdr:cNvPicPr>
      </xdr:nvPicPr>
      <xdr:blipFill>
        <a:blip xmlns:r="http://schemas.openxmlformats.org/officeDocument/2006/relationships" r:embed="rId3"/>
        <a:stretch>
          <a:fillRect/>
        </a:stretch>
      </xdr:blipFill>
      <xdr:spPr>
        <a:xfrm>
          <a:off x="552450" y="12411075"/>
          <a:ext cx="8306959" cy="1447800"/>
        </a:xfrm>
        <a:prstGeom prst="rect">
          <a:avLst/>
        </a:prstGeom>
      </xdr:spPr>
    </xdr:pic>
    <xdr:clientData/>
  </xdr:twoCellAnchor>
  <xdr:twoCellAnchor>
    <xdr:from>
      <xdr:col>12</xdr:col>
      <xdr:colOff>476250</xdr:colOff>
      <xdr:row>67</xdr:row>
      <xdr:rowOff>152400</xdr:rowOff>
    </xdr:from>
    <xdr:to>
      <xdr:col>13</xdr:col>
      <xdr:colOff>590550</xdr:colOff>
      <xdr:row>68</xdr:row>
      <xdr:rowOff>114300</xdr:rowOff>
    </xdr:to>
    <xdr:cxnSp macro="">
      <xdr:nvCxnSpPr>
        <xdr:cNvPr id="8" name="Straight Arrow Connector 7">
          <a:extLst>
            <a:ext uri="{FF2B5EF4-FFF2-40B4-BE49-F238E27FC236}">
              <a16:creationId xmlns:a16="http://schemas.microsoft.com/office/drawing/2014/main" id="{664467AC-A8CE-47BC-A63C-998110984C41}"/>
            </a:ext>
          </a:extLst>
        </xdr:cNvPr>
        <xdr:cNvCxnSpPr/>
      </xdr:nvCxnSpPr>
      <xdr:spPr>
        <a:xfrm flipH="1">
          <a:off x="8572500" y="10020300"/>
          <a:ext cx="723900" cy="1524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42</xdr:row>
      <xdr:rowOff>76200</xdr:rowOff>
    </xdr:from>
    <xdr:to>
      <xdr:col>14</xdr:col>
      <xdr:colOff>314325</xdr:colOff>
      <xdr:row>55</xdr:row>
      <xdr:rowOff>95317</xdr:rowOff>
    </xdr:to>
    <xdr:pic>
      <xdr:nvPicPr>
        <xdr:cNvPr id="5" name="Picture 4">
          <a:extLst>
            <a:ext uri="{FF2B5EF4-FFF2-40B4-BE49-F238E27FC236}">
              <a16:creationId xmlns:a16="http://schemas.microsoft.com/office/drawing/2014/main" id="{1E08B9FD-93A1-4CAF-239A-E2AF5D0E164E}"/>
            </a:ext>
          </a:extLst>
        </xdr:cNvPr>
        <xdr:cNvPicPr>
          <a:picLocks noChangeAspect="1"/>
        </xdr:cNvPicPr>
      </xdr:nvPicPr>
      <xdr:blipFill>
        <a:blip xmlns:r="http://schemas.openxmlformats.org/officeDocument/2006/relationships" r:embed="rId4"/>
        <a:stretch>
          <a:fillRect/>
        </a:stretch>
      </xdr:blipFill>
      <xdr:spPr>
        <a:xfrm>
          <a:off x="609600" y="8153400"/>
          <a:ext cx="9020175" cy="249561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8FE14-FACB-4C1F-8343-CF764E04D9EB}">
  <sheetPr codeName="Sheet9"/>
  <dimension ref="A1:R37"/>
  <sheetViews>
    <sheetView tabSelected="1" topLeftCell="A16" workbookViewId="0"/>
  </sheetViews>
  <sheetFormatPr defaultColWidth="0" defaultRowHeight="14.5" zeroHeight="1"/>
  <cols>
    <col min="1" max="1" width="26" bestFit="1" customWidth="1"/>
    <col min="2" max="2" width="2.54296875" customWidth="1"/>
    <col min="3" max="3" width="90.7265625" customWidth="1"/>
    <col min="4" max="4" width="2.453125" customWidth="1"/>
    <col min="5" max="5" width="26.7265625" customWidth="1"/>
    <col min="6" max="6" width="4.1796875" customWidth="1"/>
    <col min="7" max="8" width="9.1796875" customWidth="1"/>
    <col min="9" max="17" width="9.1796875" hidden="1" customWidth="1"/>
    <col min="18" max="18" width="92.1796875" hidden="1" customWidth="1"/>
    <col min="19" max="16384" width="9.1796875" hidden="1"/>
  </cols>
  <sheetData>
    <row r="1" spans="1:5"/>
    <row r="2" spans="1:5"/>
    <row r="3" spans="1:5"/>
    <row r="4" spans="1:5"/>
    <row r="5" spans="1:5">
      <c r="A5" s="13" t="s">
        <v>541</v>
      </c>
      <c r="C5" s="13" t="s">
        <v>540</v>
      </c>
      <c r="E5" s="13" t="s">
        <v>539</v>
      </c>
    </row>
    <row r="6" spans="1:5"/>
    <row r="7" spans="1:5" ht="29">
      <c r="A7" s="187" t="s">
        <v>538</v>
      </c>
      <c r="C7" s="194" t="s">
        <v>578</v>
      </c>
      <c r="E7" s="185" t="s">
        <v>536</v>
      </c>
    </row>
    <row r="8" spans="1:5">
      <c r="A8" s="187"/>
      <c r="C8" s="195"/>
    </row>
    <row r="9" spans="1:5">
      <c r="A9" s="187" t="s">
        <v>546</v>
      </c>
      <c r="C9" s="194" t="s">
        <v>537</v>
      </c>
      <c r="E9" s="185" t="s">
        <v>536</v>
      </c>
    </row>
    <row r="10" spans="1:5">
      <c r="A10" s="187"/>
      <c r="C10" s="195"/>
    </row>
    <row r="11" spans="1:5" ht="29">
      <c r="A11" s="187" t="s">
        <v>535</v>
      </c>
      <c r="C11" s="194" t="s">
        <v>594</v>
      </c>
      <c r="E11" s="185" t="s">
        <v>536</v>
      </c>
    </row>
    <row r="12" spans="1:5">
      <c r="A12" s="187"/>
      <c r="C12" s="195"/>
    </row>
    <row r="13" spans="1:5" ht="211">
      <c r="A13" s="187" t="s">
        <v>534</v>
      </c>
      <c r="C13" s="194" t="s">
        <v>579</v>
      </c>
      <c r="E13" s="185" t="s">
        <v>580</v>
      </c>
    </row>
    <row r="14" spans="1:5">
      <c r="A14" s="187"/>
      <c r="C14" s="195"/>
    </row>
    <row r="15" spans="1:5" ht="29">
      <c r="A15" s="187" t="s">
        <v>531</v>
      </c>
      <c r="C15" s="197" t="s">
        <v>581</v>
      </c>
      <c r="E15" s="185" t="s">
        <v>532</v>
      </c>
    </row>
    <row r="16" spans="1:5">
      <c r="A16" s="187"/>
      <c r="C16" s="196"/>
      <c r="E16" s="185"/>
    </row>
    <row r="17" spans="1:18" ht="87">
      <c r="A17" s="187" t="s">
        <v>532</v>
      </c>
      <c r="C17" s="197" t="s">
        <v>582</v>
      </c>
      <c r="E17" s="186" t="s">
        <v>583</v>
      </c>
    </row>
    <row r="18" spans="1:18">
      <c r="A18" s="187"/>
      <c r="C18" s="195"/>
      <c r="D18" t="s">
        <v>545</v>
      </c>
    </row>
    <row r="19" spans="1:18" ht="116">
      <c r="A19" s="187" t="s">
        <v>530</v>
      </c>
      <c r="C19" s="232" t="s">
        <v>584</v>
      </c>
      <c r="E19" s="185" t="s">
        <v>585</v>
      </c>
    </row>
    <row r="20" spans="1:18">
      <c r="A20" s="187"/>
      <c r="C20" s="197"/>
    </row>
    <row r="21" spans="1:18" ht="130.5">
      <c r="A21" s="187" t="s">
        <v>533</v>
      </c>
      <c r="C21" s="194" t="s">
        <v>586</v>
      </c>
      <c r="E21" s="185" t="s">
        <v>587</v>
      </c>
    </row>
    <row r="22" spans="1:18">
      <c r="A22" s="187"/>
      <c r="C22" s="194"/>
      <c r="E22" s="185"/>
    </row>
    <row r="23" spans="1:18" ht="116">
      <c r="A23" s="187" t="s">
        <v>588</v>
      </c>
      <c r="C23" s="232" t="s">
        <v>589</v>
      </c>
      <c r="E23" s="185" t="s">
        <v>590</v>
      </c>
    </row>
    <row r="24" spans="1:18">
      <c r="A24" s="187"/>
      <c r="C24" s="197"/>
      <c r="E24" s="185"/>
    </row>
    <row r="25" spans="1:18" ht="87">
      <c r="A25" s="187" t="s">
        <v>591</v>
      </c>
      <c r="C25" s="194" t="s">
        <v>592</v>
      </c>
      <c r="E25" s="185" t="s">
        <v>587</v>
      </c>
    </row>
    <row r="26" spans="1:18">
      <c r="A26" s="187"/>
      <c r="C26" s="197"/>
      <c r="R26" s="188"/>
    </row>
    <row r="27" spans="1:18" ht="196.5">
      <c r="A27" s="187" t="s">
        <v>529</v>
      </c>
      <c r="C27" s="194" t="s">
        <v>593</v>
      </c>
      <c r="E27" s="185" t="s">
        <v>536</v>
      </c>
      <c r="R27" s="188"/>
    </row>
    <row r="28" spans="1:18">
      <c r="C28" s="188"/>
    </row>
    <row r="29" spans="1:18">
      <c r="A29" s="187"/>
      <c r="C29" s="188"/>
    </row>
    <row r="30" spans="1:18">
      <c r="C30" s="109"/>
    </row>
    <row r="31" spans="1:18" ht="16.5">
      <c r="C31" s="189"/>
    </row>
    <row r="32" spans="1:18" ht="16.5">
      <c r="C32" s="189"/>
    </row>
    <row r="33" spans="3:3" ht="16.5">
      <c r="C33" s="189"/>
    </row>
    <row r="34" spans="3:3"/>
    <row r="37" spans="3:3" hidden="1">
      <c r="C37" s="122"/>
    </row>
  </sheetData>
  <pageMargins left="0.7" right="0.7" top="0.75" bottom="0.75" header="0.3" footer="0.3"/>
  <pageSetup orientation="portrait" horizontalDpi="1200" verticalDpi="1200" r:id="rId1"/>
  <headerFooter>
    <oddHeader>&amp;R&amp;F</oddHeader>
    <oddFooter xml:space="preserve">&amp;C_x000D_&amp;1#&amp;"Aptos"&amp;12&amp;K000000 Public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AD3C-62F3-4C43-9DAC-A7A4C2C68A11}">
  <sheetPr codeName="Sheet13">
    <tabColor rgb="FFFFFF00"/>
  </sheetPr>
  <dimension ref="B1:AN74"/>
  <sheetViews>
    <sheetView tabSelected="1" topLeftCell="D1" workbookViewId="0"/>
  </sheetViews>
  <sheetFormatPr defaultColWidth="8.81640625" defaultRowHeight="15.5"/>
  <cols>
    <col min="1" max="1" width="3.54296875" style="139" customWidth="1"/>
    <col min="2" max="2" width="20.54296875" style="139" customWidth="1"/>
    <col min="3" max="3" width="16" style="139" bestFit="1" customWidth="1"/>
    <col min="4" max="4" width="17.453125" style="139" customWidth="1"/>
    <col min="5" max="5" width="10.54296875" style="139" customWidth="1"/>
    <col min="6" max="6" width="20.81640625" style="139" customWidth="1"/>
    <col min="7" max="7" width="20.54296875" style="139" bestFit="1" customWidth="1"/>
    <col min="8" max="8" width="18.54296875" style="139" bestFit="1" customWidth="1"/>
    <col min="9" max="9" width="13.54296875" style="139" customWidth="1"/>
    <col min="10" max="10" width="18.26953125" style="139" bestFit="1" customWidth="1"/>
    <col min="11" max="11" width="16.1796875" style="139" bestFit="1" customWidth="1"/>
    <col min="12" max="14" width="15.453125" style="139" customWidth="1"/>
    <col min="15" max="15" width="16.1796875" style="139" bestFit="1" customWidth="1"/>
    <col min="16" max="16" width="15.54296875" style="139" customWidth="1"/>
    <col min="17" max="17" width="16.453125" style="139" customWidth="1"/>
    <col min="18" max="18" width="14" style="139" customWidth="1"/>
    <col min="19" max="19" width="15.81640625" style="139" customWidth="1"/>
    <col min="20" max="20" width="22.54296875" style="139" customWidth="1"/>
    <col min="21" max="21" width="15" style="139" customWidth="1"/>
    <col min="22" max="22" width="16" style="139" bestFit="1" customWidth="1"/>
    <col min="23" max="24" width="11.54296875" style="139" bestFit="1" customWidth="1"/>
    <col min="25" max="26" width="20.1796875" style="139" bestFit="1" customWidth="1"/>
    <col min="27" max="27" width="15.7265625" style="139" bestFit="1" customWidth="1"/>
    <col min="28" max="28" width="16.81640625" style="139" bestFit="1" customWidth="1"/>
    <col min="29" max="29" width="15.1796875" style="139" customWidth="1"/>
    <col min="30" max="30" width="13" style="139" bestFit="1" customWidth="1"/>
    <col min="31" max="32" width="11.7265625" style="139" customWidth="1"/>
    <col min="33" max="34" width="8.81640625" style="139"/>
    <col min="35" max="35" width="14.7265625" style="139" bestFit="1" customWidth="1"/>
    <col min="36" max="36" width="16.453125" style="139" bestFit="1" customWidth="1"/>
    <col min="37" max="38" width="8.81640625" style="139"/>
    <col min="39" max="40" width="10.81640625" style="139" customWidth="1"/>
    <col min="41" max="16384" width="8.81640625" style="139"/>
  </cols>
  <sheetData>
    <row r="1" spans="2:29" ht="53.9" customHeight="1">
      <c r="B1" s="348"/>
      <c r="C1" s="348"/>
      <c r="D1" s="348"/>
      <c r="E1" s="348"/>
      <c r="F1" s="348"/>
      <c r="G1" s="348"/>
      <c r="H1" s="348"/>
      <c r="I1" s="348"/>
      <c r="J1" s="348"/>
      <c r="K1" s="348"/>
      <c r="L1" s="348"/>
      <c r="M1" s="348"/>
      <c r="N1" s="348"/>
      <c r="O1" s="348"/>
      <c r="P1" s="348"/>
      <c r="Q1" s="348"/>
      <c r="R1" s="348"/>
      <c r="S1" s="348"/>
      <c r="T1" s="348"/>
      <c r="U1" s="348"/>
      <c r="V1" s="348"/>
      <c r="W1" s="348"/>
    </row>
    <row r="2" spans="2:29">
      <c r="B2" s="57"/>
      <c r="C2" s="542" t="s">
        <v>13</v>
      </c>
      <c r="D2" s="542"/>
      <c r="E2" s="57"/>
      <c r="F2" s="57"/>
      <c r="H2" s="205"/>
      <c r="J2" s="205"/>
      <c r="R2" s="57"/>
      <c r="S2" s="57"/>
      <c r="T2" s="57"/>
      <c r="U2" s="57"/>
      <c r="V2" s="57"/>
      <c r="W2" s="57"/>
    </row>
    <row r="3" spans="2:29">
      <c r="B3" s="206"/>
      <c r="C3" s="207" t="s">
        <v>169</v>
      </c>
      <c r="D3" s="207" t="s">
        <v>171</v>
      </c>
      <c r="R3" s="208"/>
      <c r="S3" s="208"/>
      <c r="T3" s="208"/>
      <c r="U3" s="208"/>
      <c r="V3" s="208"/>
      <c r="W3" s="208"/>
    </row>
    <row r="4" spans="2:29">
      <c r="B4" s="209" t="s">
        <v>3</v>
      </c>
      <c r="C4" s="210">
        <f>INDEX('Incremental Rev Req'!$R$9:$V$24,MATCH(B4,'Incremental Rev Req'!$R$9:$R$24,0),MATCH(Summary!$D$3,'Incremental Rev Req'!$R$9:$V$9,0))</f>
        <v>3075727.8217516071</v>
      </c>
      <c r="D4" s="210">
        <f>INDEX('Incremental Rev Req'!$R$99:$V$114,MATCH(B4,'Incremental Rev Req'!$R$99:$R$114,0),MATCH(Summary!$D$3,'Incremental Rev Req'!$R$99:$V$99,0))</f>
        <v>3075763.4970791722</v>
      </c>
      <c r="G4" s="545" t="s">
        <v>172</v>
      </c>
      <c r="H4" s="545"/>
      <c r="I4" s="545"/>
      <c r="J4" s="545"/>
      <c r="K4" s="545"/>
      <c r="L4" s="545"/>
      <c r="M4" s="545"/>
      <c r="N4" s="545"/>
      <c r="O4" s="545"/>
      <c r="P4" s="545"/>
      <c r="Q4" s="545"/>
      <c r="R4" s="545"/>
      <c r="S4" s="545"/>
      <c r="T4" s="545"/>
      <c r="U4" s="211"/>
      <c r="V4" s="211"/>
      <c r="W4" s="211"/>
      <c r="X4" s="211"/>
      <c r="Y4" s="211"/>
    </row>
    <row r="5" spans="2:29" ht="31">
      <c r="B5" s="209" t="s">
        <v>14</v>
      </c>
      <c r="C5" s="210">
        <f>INDEX('Incremental Rev Req'!$R$9:$V$24,MATCH(B5,'Incremental Rev Req'!$R$9:$R$24,0),MATCH(Summary!$D$3,'Incremental Rev Req'!$R$9:$V$9,0))</f>
        <v>244371.67766520652</v>
      </c>
      <c r="D5" s="210">
        <f>INDEX('Incremental Rev Req'!$R$99:$V$114,MATCH(B5,'Incremental Rev Req'!$R$99:$R$114,0),MATCH(Summary!$D$3,'Incremental Rev Req'!$R$99:$V$99,0))</f>
        <v>244371.67766520652</v>
      </c>
      <c r="F5" s="5"/>
      <c r="G5" s="6" t="s">
        <v>3</v>
      </c>
      <c r="H5" s="6" t="s">
        <v>5</v>
      </c>
      <c r="I5" s="6" t="s">
        <v>16</v>
      </c>
      <c r="J5" s="6" t="s">
        <v>173</v>
      </c>
      <c r="K5" s="6" t="s">
        <v>14</v>
      </c>
      <c r="L5" s="6" t="s">
        <v>10</v>
      </c>
      <c r="M5" s="6" t="s">
        <v>66</v>
      </c>
      <c r="N5" s="6" t="s">
        <v>127</v>
      </c>
      <c r="O5" s="6" t="s">
        <v>134</v>
      </c>
      <c r="P5" s="6" t="s">
        <v>174</v>
      </c>
      <c r="Q5" s="58" t="s">
        <v>656</v>
      </c>
      <c r="R5" s="6" t="s">
        <v>275</v>
      </c>
      <c r="S5" s="58" t="s">
        <v>207</v>
      </c>
      <c r="T5" s="349" t="s">
        <v>292</v>
      </c>
    </row>
    <row r="6" spans="2:29">
      <c r="B6" s="209" t="s">
        <v>5</v>
      </c>
      <c r="C6" s="210">
        <f>INDEX('Incremental Rev Req'!$R$9:$V$24,MATCH(B6,'Incremental Rev Req'!$R$9:$R$24,0),MATCH(Summary!$D$3,'Incremental Rev Req'!$R$9:$V$9,0))</f>
        <v>8275899.2031662753</v>
      </c>
      <c r="D6" s="210">
        <f>INDEX('Incremental Rev Req'!$R$99:$V$114,MATCH(B6,'Incremental Rev Req'!$R$99:$R$114,0),MATCH(Summary!$D$3,'Incremental Rev Req'!$R$99:$V$99,0))</f>
        <v>10481110.386925217</v>
      </c>
      <c r="F6" s="5" t="s">
        <v>357</v>
      </c>
      <c r="G6" s="71">
        <f>VLOOKUP(Summary!$D$3,$F$35:$T$38,G$33,FALSE)</f>
        <v>6.2387130940199362E-2</v>
      </c>
      <c r="H6" s="71">
        <f>VLOOKUP(Summary!$D$3,$F$35:$T$38,H$33,FALSE)</f>
        <v>0.10604111471814805</v>
      </c>
      <c r="I6" s="71">
        <f>VLOOKUP(Summary!$D$3,$F$35:$T$38,I$33,FALSE)</f>
        <v>7.1285345053628935E-2</v>
      </c>
      <c r="J6" s="71">
        <f>VLOOKUP(Summary!$D$3,$F$35:$T$38,J$33,FALSE)</f>
        <v>8.309206996113308E-2</v>
      </c>
      <c r="K6" s="71">
        <f>VLOOKUP(Summary!$D$3,$F$35:$T$38,K$33,FALSE)</f>
        <v>6.6495184409869068E-2</v>
      </c>
      <c r="L6" s="71">
        <f>VLOOKUP(Summary!$D$3,$F$35:$T$38,L$33,FALSE)</f>
        <v>6.7202128263150543E-2</v>
      </c>
      <c r="M6" s="71">
        <f>VLOOKUP(Summary!$D$3,$F$35:$T$38,M$33,FALSE)</f>
        <v>7.3803059041629981E-2</v>
      </c>
      <c r="N6" s="71">
        <f>VLOOKUP(Summary!$D$3,$F$35:$T$38,N$33,FALSE)</f>
        <v>7.2949875113434787E-2</v>
      </c>
      <c r="O6" s="71">
        <f>VLOOKUP(Summary!$D$3,$F$35:$T$38,O$33,FALSE)</f>
        <v>7.383659856287815E-2</v>
      </c>
      <c r="P6" s="71">
        <f>VLOOKUP(Summary!$D$3,$F$35:$T$38,P$33,FALSE)</f>
        <v>4.3153356023048754E-2</v>
      </c>
      <c r="Q6" s="71">
        <f>VLOOKUP(Summary!$D$3,$F$35:$T$38,Q$33,FALSE)</f>
        <v>8.1326918619140431E-2</v>
      </c>
      <c r="R6" s="71">
        <f>VLOOKUP(Summary!$D$3,$F$35:$T$38,R$33,FALSE)</f>
        <v>9.9933745577554897E-2</v>
      </c>
      <c r="S6" s="71">
        <f>VLOOKUP(Summary!$D$3,$F$35:$T$38,S$33,FALSE)</f>
        <v>9.305731383769536E-2</v>
      </c>
      <c r="T6" s="71">
        <f>VLOOKUP(Summary!$D$3,$F$35:$T$38,T$33,FALSE)</f>
        <v>9.4974871612001785E-2</v>
      </c>
    </row>
    <row r="7" spans="2:29">
      <c r="B7" s="209" t="s">
        <v>129</v>
      </c>
      <c r="C7" s="210">
        <f>INDEX('Incremental Rev Req'!$R$9:$V$24,MATCH(B7,'Incremental Rev Req'!$R$9:$R$24,0),MATCH(Summary!$D$3,'Incremental Rev Req'!$R$9:$V$9,0))</f>
        <v>-475276.50099999999</v>
      </c>
      <c r="D7" s="210">
        <f>INDEX('Incremental Rev Req'!$R$99:$V$114,MATCH(B7,'Incremental Rev Req'!$R$99:$R$114,0),MATCH(Summary!$D$3,'Incremental Rev Req'!$R$99:$V$99,0))</f>
        <v>-475276.50099999999</v>
      </c>
      <c r="F7" s="5"/>
      <c r="G7" s="80"/>
      <c r="H7" s="80"/>
      <c r="I7" s="80"/>
      <c r="J7" s="80"/>
      <c r="K7" s="80"/>
      <c r="L7" s="80"/>
      <c r="M7" s="80"/>
      <c r="N7" s="80"/>
      <c r="O7" s="80"/>
      <c r="P7" s="80"/>
      <c r="Q7" s="80"/>
    </row>
    <row r="8" spans="2:29" ht="15.75" customHeight="1">
      <c r="B8" s="209" t="s">
        <v>66</v>
      </c>
      <c r="C8" s="210">
        <f>INDEX('Incremental Rev Req'!$R$9:$V$24,MATCH(B8,'Incremental Rev Req'!$R$9:$R$24,0),MATCH(Summary!$D$3,'Incremental Rev Req'!$R$9:$V$9,0))</f>
        <v>-3377.8111523794842</v>
      </c>
      <c r="D8" s="210">
        <f>INDEX('Incremental Rev Req'!$R$99:$V$114,MATCH(B8,'Incremental Rev Req'!$R$99:$R$114,0),MATCH(Summary!$D$3,'Incremental Rev Req'!$R$99:$V$99,0))</f>
        <v>-3377.8111523794842</v>
      </c>
      <c r="F8" s="211"/>
      <c r="G8" s="545" t="s">
        <v>175</v>
      </c>
      <c r="H8" s="545"/>
      <c r="I8" s="545"/>
      <c r="J8" s="545"/>
      <c r="K8" s="545"/>
      <c r="L8" s="545"/>
      <c r="M8" s="545"/>
      <c r="N8" s="545"/>
      <c r="O8" s="545"/>
      <c r="P8" s="545"/>
      <c r="Q8" s="545"/>
      <c r="R8" s="545"/>
      <c r="S8" s="545"/>
      <c r="T8" s="545"/>
    </row>
    <row r="9" spans="2:29" ht="34.5" customHeight="1">
      <c r="B9" s="209" t="s">
        <v>16</v>
      </c>
      <c r="C9" s="210">
        <f>INDEX('Incremental Rev Req'!$R$9:$V$24,MATCH(B9,'Incremental Rev Req'!$R$9:$R$24,0),MATCH(Summary!$D$3,'Incremental Rev Req'!$R$9:$V$9,0))</f>
        <v>0</v>
      </c>
      <c r="D9" s="210">
        <f>INDEX('Incremental Rev Req'!$R$99:$V$114,MATCH(B9,'Incremental Rev Req'!$R$99:$R$114,0),MATCH(Summary!$D$3,'Incremental Rev Req'!$R$99:$V$99,0))</f>
        <v>0</v>
      </c>
      <c r="F9" s="59" t="s">
        <v>169</v>
      </c>
      <c r="G9" s="6" t="s">
        <v>3</v>
      </c>
      <c r="H9" s="6" t="s">
        <v>5</v>
      </c>
      <c r="I9" s="6" t="s">
        <v>16</v>
      </c>
      <c r="J9" s="6" t="s">
        <v>15</v>
      </c>
      <c r="K9" s="6" t="s">
        <v>14</v>
      </c>
      <c r="L9" s="6" t="s">
        <v>10</v>
      </c>
      <c r="M9" s="6" t="s">
        <v>66</v>
      </c>
      <c r="N9" s="6" t="s">
        <v>127</v>
      </c>
      <c r="O9" s="6" t="s">
        <v>134</v>
      </c>
      <c r="P9" s="6" t="s">
        <v>129</v>
      </c>
      <c r="Q9" s="6" t="s">
        <v>656</v>
      </c>
      <c r="R9" s="6" t="s">
        <v>275</v>
      </c>
      <c r="S9" s="58" t="s">
        <v>207</v>
      </c>
      <c r="T9" s="349" t="s">
        <v>292</v>
      </c>
      <c r="U9" s="6" t="s">
        <v>132</v>
      </c>
    </row>
    <row r="10" spans="2:29">
      <c r="B10" s="209" t="s">
        <v>15</v>
      </c>
      <c r="C10" s="210">
        <f>INDEX('Incremental Rev Req'!$R$9:$V$24,MATCH(B10,'Incremental Rev Req'!$R$9:$R$24,0),MATCH(Summary!$D$3,'Incremental Rev Req'!$R$9:$V$9,0))</f>
        <v>928080.45522745408</v>
      </c>
      <c r="D10" s="210">
        <f>INDEX('Incremental Rev Req'!$R$99:$V$114,MATCH(B10,'Incremental Rev Req'!$R$99:$R$114,0),MATCH(Summary!$D$3,'Incremental Rev Req'!$R$99:$V$99,0))</f>
        <v>1026345.6548407136</v>
      </c>
      <c r="F10" s="5" t="s">
        <v>357</v>
      </c>
      <c r="G10" s="60">
        <f t="shared" ref="G10:T10" si="0">G6*G11</f>
        <v>191885.83435203167</v>
      </c>
      <c r="H10" s="60">
        <f t="shared" si="0"/>
        <v>877585.57679878501</v>
      </c>
      <c r="I10" s="60">
        <f t="shared" si="0"/>
        <v>0</v>
      </c>
      <c r="J10" s="60">
        <f t="shared" si="0"/>
        <v>77116.126115319857</v>
      </c>
      <c r="K10" s="60">
        <f t="shared" si="0"/>
        <v>16249.53977089699</v>
      </c>
      <c r="L10" s="60">
        <f t="shared" si="0"/>
        <v>173394.24989018039</v>
      </c>
      <c r="M10" s="60">
        <f t="shared" si="0"/>
        <v>-249.29279591053927</v>
      </c>
      <c r="N10" s="60">
        <f t="shared" si="0"/>
        <v>0</v>
      </c>
      <c r="O10" s="60">
        <f t="shared" si="0"/>
        <v>27989.385620271856</v>
      </c>
      <c r="P10" s="60">
        <f t="shared" si="0"/>
        <v>-20509.776057041887</v>
      </c>
      <c r="Q10" s="60">
        <f t="shared" si="0"/>
        <v>32679.602700975665</v>
      </c>
      <c r="R10" s="60">
        <f t="shared" si="0"/>
        <v>22343.473992922671</v>
      </c>
      <c r="S10" s="60">
        <f t="shared" si="0"/>
        <v>49761.250933649098</v>
      </c>
      <c r="T10" s="60">
        <f t="shared" si="0"/>
        <v>116719.14414723958</v>
      </c>
      <c r="U10" s="60">
        <f>SUM(G10:T10)</f>
        <v>1564965.11546932</v>
      </c>
      <c r="W10" s="212"/>
      <c r="X10" s="212"/>
    </row>
    <row r="11" spans="2:29">
      <c r="B11" s="209" t="s">
        <v>656</v>
      </c>
      <c r="C11" s="210">
        <f>INDEX('Incremental Rev Req'!$R$9:$V$24,MATCH(B11,'Incremental Rev Req'!$R$9:$R$24,0),MATCH(Summary!$D$3,'Incremental Rev Req'!$R$9:$V$9,0))</f>
        <v>401830.0859770244</v>
      </c>
      <c r="D11" s="210">
        <f>INDEX('Incremental Rev Req'!$R$99:$V$114,MATCH(B11,'Incremental Rev Req'!$R$99:$R$114,0),MATCH(Summary!$D$3,'Incremental Rev Req'!$R$99:$V$99,0))</f>
        <v>401830.0859770244</v>
      </c>
      <c r="F11" s="5" t="s">
        <v>22</v>
      </c>
      <c r="G11" s="61">
        <f t="shared" ref="G11:M11" si="1">VLOOKUP(G9,$B$4:$D$17,2,FALSE)</f>
        <v>3075727.8217516071</v>
      </c>
      <c r="H11" s="61">
        <f t="shared" si="1"/>
        <v>8275899.2031662753</v>
      </c>
      <c r="I11" s="61">
        <f t="shared" si="1"/>
        <v>0</v>
      </c>
      <c r="J11" s="61">
        <f t="shared" si="1"/>
        <v>928080.45522745408</v>
      </c>
      <c r="K11" s="61">
        <f t="shared" si="1"/>
        <v>244371.67766520652</v>
      </c>
      <c r="L11" s="61">
        <f t="shared" si="1"/>
        <v>2580189.8596306657</v>
      </c>
      <c r="M11" s="61">
        <f t="shared" si="1"/>
        <v>-3377.8111523794842</v>
      </c>
      <c r="N11" s="61">
        <f>VLOOKUP(N9,$B$4:$D$16,2,FALSE)</f>
        <v>0</v>
      </c>
      <c r="O11" s="61">
        <f>VLOOKUP(O9,$B$4:$D$16,2,FALSE)</f>
        <v>379071.98008906806</v>
      </c>
      <c r="P11" s="61">
        <f>VLOOKUP(P9,$B$4:$D$17,2,FALSE)</f>
        <v>-475276.50099999999</v>
      </c>
      <c r="Q11" s="61">
        <f>VLOOKUP(Q9,$B$4:$D$17,2,FALSE)</f>
        <v>401830.0859770244</v>
      </c>
      <c r="R11" s="61">
        <f>VLOOKUP(R9,$B$4:$D$17,2,FALSE)</f>
        <v>223582.8734707309</v>
      </c>
      <c r="S11" s="63">
        <f>VLOOKUP(S9,$B$4:$D$17,2,FALSE)</f>
        <v>534737.66737388854</v>
      </c>
      <c r="T11" s="61">
        <f>VLOOKUP(T9,$B$4:$D$17,2,FALSE)</f>
        <v>1228947.638108626</v>
      </c>
      <c r="U11" s="61">
        <f>SUM(G11:T11)</f>
        <v>17393784.950308163</v>
      </c>
      <c r="X11" s="205"/>
    </row>
    <row r="12" spans="2:29">
      <c r="B12" s="209" t="s">
        <v>127</v>
      </c>
      <c r="C12" s="210">
        <f>INDEX('Incremental Rev Req'!$R$9:$V$24,MATCH(B12,'Incremental Rev Req'!$R$9:$R$24,0),MATCH(Summary!$D$3,'Incremental Rev Req'!$R$9:$V$9,0))</f>
        <v>0</v>
      </c>
      <c r="D12" s="210">
        <f>INDEX('Incremental Rev Req'!$R$99:$V$114,MATCH(B12,'Incremental Rev Req'!$R$99:$R$114,0),MATCH(Summary!$D$3,'Incremental Rev Req'!$R$99:$V$99,0))</f>
        <v>0</v>
      </c>
      <c r="F12" s="59" t="s">
        <v>170</v>
      </c>
    </row>
    <row r="13" spans="2:29" ht="15.65" customHeight="1">
      <c r="B13" s="209" t="s">
        <v>10</v>
      </c>
      <c r="C13" s="210">
        <f>INDEX('Incremental Rev Req'!$R$9:$V$24,MATCH(B13,'Incremental Rev Req'!$R$9:$R$24,0),MATCH(Summary!$D$3,'Incremental Rev Req'!$R$9:$V$9,0))</f>
        <v>2580189.8596306657</v>
      </c>
      <c r="D13" s="210">
        <f>INDEX('Incremental Rev Req'!$R$99:$V$114,MATCH(B13,'Incremental Rev Req'!$R$99:$R$114,0),MATCH(Summary!$D$3,'Incremental Rev Req'!$R$99:$V$99,0))</f>
        <v>2580189.8596306657</v>
      </c>
      <c r="F13" s="5" t="s">
        <v>357</v>
      </c>
      <c r="G13" s="60">
        <f t="shared" ref="G13:T13" si="2">G6*G14</f>
        <v>191888.06003336381</v>
      </c>
      <c r="H13" s="60">
        <f t="shared" si="2"/>
        <v>1111428.6289135099</v>
      </c>
      <c r="I13" s="60">
        <f t="shared" si="2"/>
        <v>0</v>
      </c>
      <c r="J13" s="60">
        <f t="shared" si="2"/>
        <v>85281.184956329525</v>
      </c>
      <c r="K13" s="60">
        <f t="shared" si="2"/>
        <v>16249.53977089699</v>
      </c>
      <c r="L13" s="60">
        <f t="shared" si="2"/>
        <v>173394.24989018039</v>
      </c>
      <c r="M13" s="60">
        <f t="shared" si="2"/>
        <v>-249.29279591053927</v>
      </c>
      <c r="N13" s="60">
        <f t="shared" si="2"/>
        <v>0</v>
      </c>
      <c r="O13" s="60">
        <f t="shared" si="2"/>
        <v>27989.385620271856</v>
      </c>
      <c r="P13" s="60">
        <f t="shared" si="2"/>
        <v>-20509.776057041887</v>
      </c>
      <c r="Q13" s="60">
        <f t="shared" si="2"/>
        <v>32679.602700975665</v>
      </c>
      <c r="R13" s="60">
        <f t="shared" si="2"/>
        <v>33991.167588141521</v>
      </c>
      <c r="S13" s="60">
        <f t="shared" si="2"/>
        <v>84596.939961964687</v>
      </c>
      <c r="T13" s="60">
        <f t="shared" si="2"/>
        <v>153036.50029682799</v>
      </c>
      <c r="U13" s="60">
        <f>SUM(G13:T13)</f>
        <v>1889776.1908795098</v>
      </c>
    </row>
    <row r="14" spans="2:29" ht="15.65" customHeight="1">
      <c r="B14" s="209" t="s">
        <v>134</v>
      </c>
      <c r="C14" s="210">
        <f>INDEX('Incremental Rev Req'!$R$9:$V$24,MATCH(B14,'Incremental Rev Req'!$R$9:$R$24,0),MATCH(Summary!$D$3,'Incremental Rev Req'!$R$9:$V$9,0))</f>
        <v>379071.98008906806</v>
      </c>
      <c r="D14" s="210">
        <f>INDEX('Incremental Rev Req'!$R$99:$V$114,MATCH(B14,'Incremental Rev Req'!$R$99:$R$114,0),MATCH(Summary!$D$3,'Incremental Rev Req'!$R$99:$V$99,0))</f>
        <v>379071.98008906806</v>
      </c>
      <c r="F14" s="5" t="s">
        <v>22</v>
      </c>
      <c r="G14" s="61">
        <f t="shared" ref="G14:S14" si="3">VLOOKUP(G9,$B$4:$D$16,3,FALSE)</f>
        <v>3075763.4970791722</v>
      </c>
      <c r="H14" s="61">
        <f t="shared" si="3"/>
        <v>10481110.386925217</v>
      </c>
      <c r="I14" s="61">
        <f t="shared" si="3"/>
        <v>0</v>
      </c>
      <c r="J14" s="61">
        <f t="shared" si="3"/>
        <v>1026345.6548407136</v>
      </c>
      <c r="K14" s="61">
        <f t="shared" si="3"/>
        <v>244371.67766520652</v>
      </c>
      <c r="L14" s="61">
        <f t="shared" si="3"/>
        <v>2580189.8596306657</v>
      </c>
      <c r="M14" s="61">
        <f t="shared" si="3"/>
        <v>-3377.8111523794842</v>
      </c>
      <c r="N14" s="61">
        <f t="shared" si="3"/>
        <v>0</v>
      </c>
      <c r="O14" s="61">
        <f t="shared" si="3"/>
        <v>379071.98008906806</v>
      </c>
      <c r="P14" s="61">
        <f t="shared" si="3"/>
        <v>-475276.50099999999</v>
      </c>
      <c r="Q14" s="61">
        <f t="shared" si="3"/>
        <v>401830.0859770244</v>
      </c>
      <c r="R14" s="61">
        <f t="shared" si="3"/>
        <v>340137.03170729481</v>
      </c>
      <c r="S14" s="61">
        <f t="shared" si="3"/>
        <v>909084.26724538044</v>
      </c>
      <c r="T14" s="61">
        <f>VLOOKUP(T9,$B$4:$D$17,3,FALSE)</f>
        <v>1611336.7430705647</v>
      </c>
      <c r="U14" s="61">
        <f>SUM(G14:T14)</f>
        <v>20570586.872077931</v>
      </c>
    </row>
    <row r="15" spans="2:29">
      <c r="B15" s="209" t="s">
        <v>207</v>
      </c>
      <c r="C15" s="86">
        <f>INDEX('Incremental Rev Req'!$R$9:$V$24,MATCH(B15,'Incremental Rev Req'!$R$9:$R$24,0),MATCH(Summary!$D$3,'Incremental Rev Req'!$R$9:$V$9,0))</f>
        <v>534737.66737388854</v>
      </c>
      <c r="D15" s="210">
        <f>INDEX('Incremental Rev Req'!$R$99:$V$114,MATCH(B15,'Incremental Rev Req'!$R$99:$R$114,0),MATCH(Summary!$D$3,'Incremental Rev Req'!$R$99:$V$99,0))</f>
        <v>909084.26724538044</v>
      </c>
      <c r="F15" s="228"/>
      <c r="G15" s="213"/>
      <c r="H15" s="213"/>
      <c r="I15" s="213"/>
      <c r="J15" s="211"/>
      <c r="AA15" s="5"/>
      <c r="AB15" s="62" t="s">
        <v>169</v>
      </c>
      <c r="AC15" s="62" t="s">
        <v>170</v>
      </c>
    </row>
    <row r="16" spans="2:29">
      <c r="B16" s="209" t="s">
        <v>275</v>
      </c>
      <c r="C16" s="86">
        <f>INDEX('Incremental Rev Req'!$R$9:$V$24,MATCH(B16,'Incremental Rev Req'!$R$9:$R$24,0),MATCH(Summary!$D$3,'Incremental Rev Req'!$R$9:$V$9,0))</f>
        <v>223582.8734707309</v>
      </c>
      <c r="D16" s="210">
        <f>INDEX('Incremental Rev Req'!$R$99:$V$114,MATCH(B16,'Incremental Rev Req'!$R$99:$R$114,0),MATCH(Summary!$D$3,'Incremental Rev Req'!$R$99:$V$99,0))</f>
        <v>340137.03170729481</v>
      </c>
      <c r="U16" s="540" t="s">
        <v>169</v>
      </c>
      <c r="V16" s="541"/>
      <c r="W16" s="540" t="s">
        <v>170</v>
      </c>
      <c r="X16" s="541"/>
      <c r="AA16" s="82"/>
      <c r="AB16" s="61"/>
      <c r="AC16" s="61"/>
    </row>
    <row r="17" spans="2:40">
      <c r="B17" s="139" t="s">
        <v>292</v>
      </c>
      <c r="C17" s="86">
        <f>INDEX('Incremental Rev Req'!$R$9:$V$24,MATCH(B17,'Incremental Rev Req'!$R$9:$R$24,0),MATCH(Summary!$D$3,'Incremental Rev Req'!$R$9:$V$9,0))</f>
        <v>1228947.638108626</v>
      </c>
      <c r="D17" s="210">
        <f>INDEX('Incremental Rev Req'!$R$99:$V$114,MATCH(B17,'Incremental Rev Req'!$R$99:$R$114,0),MATCH(Summary!$D$3,'Incremental Rev Req'!$R$99:$V$99,0))</f>
        <v>1611336.7430705647</v>
      </c>
      <c r="F17" s="211"/>
      <c r="G17" s="546" t="s">
        <v>176</v>
      </c>
      <c r="H17" s="546"/>
      <c r="I17" s="546"/>
      <c r="J17" s="546"/>
      <c r="K17" s="546"/>
      <c r="L17" s="546"/>
      <c r="M17" s="546"/>
      <c r="N17" s="546"/>
      <c r="O17" s="546"/>
      <c r="P17" s="546"/>
      <c r="Q17" s="546"/>
      <c r="R17" s="546"/>
      <c r="S17" s="546"/>
      <c r="T17" s="544"/>
      <c r="U17" s="543" t="s">
        <v>177</v>
      </c>
      <c r="V17" s="544"/>
      <c r="W17" s="543" t="s">
        <v>177</v>
      </c>
      <c r="X17" s="544"/>
      <c r="AA17" s="82"/>
      <c r="AB17" s="83"/>
      <c r="AC17" s="83"/>
    </row>
    <row r="18" spans="2:40" ht="31.5" customHeight="1">
      <c r="B18" s="209" t="s">
        <v>132</v>
      </c>
      <c r="C18" s="214">
        <f>SUM(C4:C17)</f>
        <v>17393784.950308166</v>
      </c>
      <c r="D18" s="214">
        <f>SUM(D4:D17)</f>
        <v>20570586.872077931</v>
      </c>
      <c r="E18" s="211"/>
      <c r="G18" s="58" t="s">
        <v>3</v>
      </c>
      <c r="H18" s="6" t="s">
        <v>5</v>
      </c>
      <c r="I18" s="6" t="s">
        <v>16</v>
      </c>
      <c r="J18" s="6" t="s">
        <v>173</v>
      </c>
      <c r="K18" s="6" t="s">
        <v>14</v>
      </c>
      <c r="L18" s="6" t="s">
        <v>10</v>
      </c>
      <c r="M18" s="6" t="s">
        <v>66</v>
      </c>
      <c r="N18" s="6" t="s">
        <v>127</v>
      </c>
      <c r="O18" s="6" t="s">
        <v>134</v>
      </c>
      <c r="P18" s="6" t="s">
        <v>174</v>
      </c>
      <c r="Q18" s="58" t="s">
        <v>656</v>
      </c>
      <c r="R18" s="6" t="s">
        <v>275</v>
      </c>
      <c r="S18" s="58" t="s">
        <v>207</v>
      </c>
      <c r="T18" s="353" t="s">
        <v>292</v>
      </c>
      <c r="U18" s="43" t="s">
        <v>132</v>
      </c>
      <c r="V18" s="43" t="s">
        <v>178</v>
      </c>
      <c r="W18" s="354" t="s">
        <v>132</v>
      </c>
      <c r="X18" s="355" t="s">
        <v>178</v>
      </c>
      <c r="AA18" s="82" t="s">
        <v>192</v>
      </c>
      <c r="AB18" s="61">
        <f>'SAR and RAR'!AB18</f>
        <v>871381.32786013244</v>
      </c>
      <c r="AC18" s="61">
        <f>'SAR and RAR'!AC18</f>
        <v>985368.49456763663</v>
      </c>
    </row>
    <row r="19" spans="2:40">
      <c r="B19" s="7"/>
      <c r="C19" s="210"/>
      <c r="D19" s="5"/>
      <c r="F19" s="5" t="s">
        <v>357</v>
      </c>
      <c r="G19" s="106">
        <f>VLOOKUP(Summary!$D$3,$F$41:$Q$44,G$33,FALSE)</f>
        <v>1</v>
      </c>
      <c r="H19" s="106">
        <f>VLOOKUP(Summary!$D$3,$F$41:$T$44,H$33,FALSE)</f>
        <v>0.27744948825880661</v>
      </c>
      <c r="I19" s="106">
        <f>VLOOKUP(Summary!$D$3,$F$41:$T$44,I$33,FALSE)</f>
        <v>0.27744948825880661</v>
      </c>
      <c r="J19" s="106">
        <f>VLOOKUP(Summary!$D$3,$F$41:$T$44,J$33,FALSE)</f>
        <v>0.27744948825880661</v>
      </c>
      <c r="K19" s="106">
        <f>VLOOKUP(Summary!$D$3,$F$41:$T$44,K$33,FALSE)</f>
        <v>0.27744948825880661</v>
      </c>
      <c r="L19" s="106">
        <f>VLOOKUP(Summary!$D$3,$F$41:$T$44,L$33,FALSE)</f>
        <v>0.27744948825880661</v>
      </c>
      <c r="M19" s="106">
        <f>VLOOKUP(Summary!$D$3,$F$41:$T$44,M$33,FALSE)</f>
        <v>0.27744948825880661</v>
      </c>
      <c r="N19" s="106">
        <f>VLOOKUP(Summary!$D$3,$F$41:$T$44,N$33,FALSE)</f>
        <v>0.27744948825880661</v>
      </c>
      <c r="O19" s="106">
        <f>VLOOKUP(Summary!$D$3,$F$41:$T$44,O$33,FALSE)</f>
        <v>0.27744948825880661</v>
      </c>
      <c r="P19" s="106">
        <f>VLOOKUP(Summary!$D$3,$F$41:$T$44,P$33,FALSE)</f>
        <v>0.27744948825880661</v>
      </c>
      <c r="Q19" s="106">
        <f>VLOOKUP(Summary!$D$3,$F$41:$T$44,Q$33,FALSE)</f>
        <v>0.27744948825880661</v>
      </c>
      <c r="R19" s="106">
        <f>VLOOKUP(Summary!$D$3,$F$41:$T$44,R$33,FALSE)</f>
        <v>0.27744948825880661</v>
      </c>
      <c r="S19" s="106">
        <f>VLOOKUP(Summary!$D$3,$F$41:$T$44,S$33,FALSE)</f>
        <v>0.23107670361753627</v>
      </c>
      <c r="T19" s="81">
        <f>VLOOKUP(Summary!$D$3,$F$41:$T$44,T$33,FALSE)</f>
        <v>0.27744948825880661</v>
      </c>
      <c r="U19" s="63">
        <f>SUMPRODUCT(G10:T10,G19:T19)</f>
        <v>570538.41046376713</v>
      </c>
      <c r="V19" s="63">
        <f>U19+AB21*H19</f>
        <v>590211.46881944512</v>
      </c>
      <c r="W19" s="84">
        <f>SUMPRODUCT(G13:T13,G19:T19)</f>
        <v>659043.25737916224</v>
      </c>
      <c r="X19" s="85">
        <f>W19+AC21*H19</f>
        <v>681289.78857702529</v>
      </c>
      <c r="AA19" s="82" t="s">
        <v>356</v>
      </c>
      <c r="AB19" s="60">
        <f>VLOOKUP(Summary!$D$3,$F$51:$O$54,10,FALSE)</f>
        <v>5516736.1075789528</v>
      </c>
      <c r="AC19" s="86">
        <f>AB19</f>
        <v>5516736.1075789528</v>
      </c>
    </row>
    <row r="20" spans="2:40">
      <c r="B20" s="7"/>
      <c r="C20" s="7"/>
      <c r="D20" s="5"/>
      <c r="F20" s="5" t="s">
        <v>22</v>
      </c>
      <c r="G20" s="106">
        <f>VLOOKUP(Summary!$D$3,$F$45:$T$48,G$33,FALSE)</f>
        <v>1</v>
      </c>
      <c r="H20" s="106">
        <f>VLOOKUP(Summary!$D$3,$F$45:$T$48,H$33,FALSE)</f>
        <v>0.32886186544742674</v>
      </c>
      <c r="I20" s="106">
        <f>VLOOKUP(Summary!$D$3,$F$45:$T$48,I$33,FALSE)</f>
        <v>0.32886186544742674</v>
      </c>
      <c r="J20" s="106">
        <f>VLOOKUP(Summary!$D$3,$F$45:$T$48,J$33,FALSE)</f>
        <v>0.32886186544742674</v>
      </c>
      <c r="K20" s="106">
        <f>VLOOKUP(Summary!$D$3,$F$45:$T$48,K$33,FALSE)</f>
        <v>0.32886186544742674</v>
      </c>
      <c r="L20" s="106">
        <f>VLOOKUP(Summary!$D$3,$F$45:$T$48,L$33,FALSE)</f>
        <v>0.32886186544742674</v>
      </c>
      <c r="M20" s="106">
        <f>VLOOKUP(Summary!$D$3,$F$45:$T$48,M$33,FALSE)</f>
        <v>0.32886186544742674</v>
      </c>
      <c r="N20" s="106">
        <f>VLOOKUP(Summary!$D$3,$F$45:$T$48,N$33,FALSE)</f>
        <v>0.32886186544742674</v>
      </c>
      <c r="O20" s="106">
        <f>VLOOKUP(Summary!$D$3,$F$45:$T$48,O$33,FALSE)</f>
        <v>0.32886186544742674</v>
      </c>
      <c r="P20" s="106">
        <f>VLOOKUP(Summary!$D$3,$F$45:$T$48,P$33,FALSE)</f>
        <v>0.32886186544742674</v>
      </c>
      <c r="Q20" s="106">
        <f>VLOOKUP(Summary!$D$3,$F$45:$T$48,Q$33,FALSE)</f>
        <v>0.32886186544742674</v>
      </c>
      <c r="R20" s="106">
        <f>VLOOKUP(Summary!$D$3,$F$45:$T$48,R$33,FALSE)</f>
        <v>0.32886186544742674</v>
      </c>
      <c r="S20" s="106">
        <f>VLOOKUP(Summary!$D$3,$F$45:$T$48,S$33,FALSE)</f>
        <v>0.28144412281858089</v>
      </c>
      <c r="T20" s="81">
        <f>VLOOKUP(Summary!$D$3,$F$45:$T$48,T$33,FALSE)</f>
        <v>0.32886186544742674</v>
      </c>
      <c r="U20" s="63">
        <f>SUMPRODUCT(G11:T11,G20:T20)</f>
        <v>7759034.7455460588</v>
      </c>
      <c r="V20" s="63">
        <f>U20</f>
        <v>7759034.7455460588</v>
      </c>
      <c r="W20" s="84">
        <f>SUMPRODUCT(G14:T14,G20:T20)</f>
        <v>8786037.0240423344</v>
      </c>
      <c r="X20" s="85">
        <f>W20</f>
        <v>8786037.0240423344</v>
      </c>
      <c r="AA20" s="82" t="s">
        <v>227</v>
      </c>
      <c r="AB20" s="60">
        <f>VLOOKUP(Summary!$D$3,$F$55:$O$58,2,FALSE)</f>
        <v>67795755.926224142</v>
      </c>
      <c r="AC20" s="86">
        <f>AB20</f>
        <v>67795755.926224142</v>
      </c>
    </row>
    <row r="21" spans="2:40">
      <c r="B21" s="7"/>
      <c r="C21" s="7"/>
      <c r="D21" s="5"/>
      <c r="G21" s="205"/>
      <c r="H21" s="205"/>
      <c r="I21" s="205"/>
      <c r="J21" s="205"/>
      <c r="K21" s="205"/>
      <c r="L21" s="205"/>
      <c r="M21" s="205"/>
      <c r="N21" s="205"/>
      <c r="O21" s="205"/>
      <c r="P21" s="205"/>
      <c r="Q21" s="205"/>
      <c r="S21" s="205"/>
      <c r="U21" s="5"/>
      <c r="V21" s="63"/>
      <c r="AA21" s="82" t="s">
        <v>373</v>
      </c>
      <c r="AB21" s="61">
        <f>AB18*AB19/AB20</f>
        <v>70906.810746491217</v>
      </c>
      <c r="AC21" s="61">
        <f>AC18*AC19/AC20</f>
        <v>80182.275114204967</v>
      </c>
    </row>
    <row r="22" spans="2:40">
      <c r="B22" s="7"/>
      <c r="C22" s="7"/>
      <c r="D22" s="5"/>
      <c r="F22" s="211" t="str">
        <f>"Notes: Allocation and bundled/unbundled split based on "&amp;Summary!L4&amp;" sales forecast"</f>
        <v>Notes: Allocation and bundled/unbundled split based on 2029 sales forecast</v>
      </c>
      <c r="R22" s="205"/>
      <c r="S22" s="6"/>
      <c r="T22" s="5"/>
      <c r="V22" s="139" t="s">
        <v>435</v>
      </c>
      <c r="W22" s="212">
        <f>P10*P19</f>
        <v>-5690.4268713289957</v>
      </c>
      <c r="X22" s="212">
        <f>P13*P19</f>
        <v>-5690.4268713289957</v>
      </c>
      <c r="Y22" s="356"/>
    </row>
    <row r="23" spans="2:40">
      <c r="B23" s="7"/>
      <c r="C23" s="7"/>
      <c r="E23" s="5"/>
      <c r="F23" s="5"/>
      <c r="G23" s="7">
        <f>G10*G19</f>
        <v>191885.83435203167</v>
      </c>
      <c r="H23" s="7">
        <f t="shared" ref="H23:T23" si="4">H10*H19</f>
        <v>243485.66918613252</v>
      </c>
      <c r="I23" s="7">
        <f t="shared" si="4"/>
        <v>0</v>
      </c>
      <c r="J23" s="7">
        <f t="shared" si="4"/>
        <v>21395.829727197088</v>
      </c>
      <c r="K23" s="7">
        <f t="shared" si="4"/>
        <v>4508.4264938764954</v>
      </c>
      <c r="L23" s="7">
        <f t="shared" si="4"/>
        <v>48108.145899050185</v>
      </c>
      <c r="M23" s="7">
        <f t="shared" si="4"/>
        <v>-69.166158651986237</v>
      </c>
      <c r="N23" s="7">
        <f t="shared" si="4"/>
        <v>0</v>
      </c>
      <c r="O23" s="7">
        <f t="shared" si="4"/>
        <v>7765.6407170228267</v>
      </c>
      <c r="P23" s="7">
        <f>P10*P19</f>
        <v>-5690.4268713289957</v>
      </c>
      <c r="Q23" s="7">
        <f t="shared" si="4"/>
        <v>9066.9390458868129</v>
      </c>
      <c r="R23" s="7">
        <f t="shared" si="4"/>
        <v>6199.1854252603498</v>
      </c>
      <c r="S23" s="7">
        <f t="shared" si="4"/>
        <v>11498.665833632682</v>
      </c>
      <c r="T23" s="7">
        <f t="shared" si="4"/>
        <v>32383.666813657506</v>
      </c>
      <c r="U23" s="5"/>
      <c r="V23" s="225" t="s">
        <v>575</v>
      </c>
      <c r="W23" s="212">
        <f>P11*P20</f>
        <v>-156300.31672218579</v>
      </c>
      <c r="X23" s="70">
        <f>P14*P20</f>
        <v>-156300.31672218579</v>
      </c>
      <c r="Y23" s="5"/>
    </row>
    <row r="24" spans="2:40" ht="16" thickBot="1">
      <c r="B24" s="7"/>
      <c r="C24" s="7"/>
      <c r="E24" s="43"/>
      <c r="F24" s="43"/>
      <c r="G24" s="64"/>
      <c r="H24" s="43"/>
      <c r="I24" s="43"/>
      <c r="J24" s="43"/>
      <c r="K24" s="43"/>
      <c r="L24" s="43"/>
      <c r="M24" s="43"/>
      <c r="N24" s="43"/>
      <c r="O24" s="43"/>
      <c r="P24" s="43"/>
      <c r="Q24" s="43"/>
      <c r="R24" s="43"/>
      <c r="S24" s="11"/>
      <c r="T24" s="11"/>
      <c r="U24" s="215"/>
      <c r="V24" s="215"/>
      <c r="X24" s="5"/>
      <c r="Y24" s="129"/>
    </row>
    <row r="25" spans="2:40" ht="16" thickBot="1">
      <c r="B25" s="7"/>
      <c r="C25" s="7"/>
      <c r="E25" s="43"/>
      <c r="F25" s="43"/>
      <c r="G25" s="43"/>
      <c r="H25" s="43"/>
      <c r="I25" s="43"/>
      <c r="J25" s="43"/>
      <c r="K25" s="43"/>
      <c r="L25" s="43"/>
      <c r="M25" s="43"/>
      <c r="N25" s="43"/>
      <c r="O25" s="43"/>
      <c r="P25" s="43"/>
      <c r="Q25" s="43"/>
      <c r="R25" s="43"/>
      <c r="S25" s="216"/>
      <c r="T25" s="5"/>
      <c r="U25" s="5"/>
      <c r="V25" s="5"/>
      <c r="X25" s="5"/>
      <c r="Y25" s="357"/>
      <c r="AA25" s="533">
        <v>2025</v>
      </c>
      <c r="AB25" s="534"/>
      <c r="AC25" s="534"/>
      <c r="AD25" s="534"/>
      <c r="AE25" s="534"/>
      <c r="AF25" s="535"/>
      <c r="AI25" s="533">
        <v>2026</v>
      </c>
      <c r="AJ25" s="534"/>
      <c r="AK25" s="534"/>
      <c r="AL25" s="534"/>
      <c r="AM25" s="534"/>
      <c r="AN25" s="535"/>
    </row>
    <row r="26" spans="2:40">
      <c r="B26" s="7"/>
      <c r="C26" s="7"/>
      <c r="D26" s="5"/>
      <c r="E26" s="5"/>
      <c r="F26" s="537" t="s">
        <v>23</v>
      </c>
      <c r="G26" s="538"/>
      <c r="H26" s="538"/>
      <c r="I26" s="538"/>
      <c r="J26" s="538"/>
      <c r="K26" s="539"/>
      <c r="O26" s="5"/>
      <c r="P26" s="537" t="s">
        <v>25</v>
      </c>
      <c r="Q26" s="538"/>
      <c r="R26" s="538"/>
      <c r="S26" s="538"/>
      <c r="T26" s="538"/>
      <c r="U26" s="539"/>
      <c r="V26" s="217"/>
      <c r="Z26" s="5"/>
      <c r="AA26" s="358"/>
      <c r="AB26" s="218">
        <v>500000000</v>
      </c>
      <c r="AC26" s="359"/>
      <c r="AF26" s="359"/>
      <c r="AI26" s="358"/>
      <c r="AJ26" s="218">
        <v>500000000</v>
      </c>
      <c r="AK26" s="359"/>
      <c r="AN26" s="359"/>
    </row>
    <row r="27" spans="2:40" ht="46.5">
      <c r="B27" s="7"/>
      <c r="C27" s="7"/>
      <c r="D27" s="5"/>
      <c r="E27" s="5"/>
      <c r="F27" s="6" t="str">
        <f>Summary!D3&amp;" Sales"</f>
        <v>2029 Sales</v>
      </c>
      <c r="G27" s="6" t="str">
        <f>TEXT(Summary!L3,"mm/d/yyyy")&amp;" Avg Rates"</f>
        <v>03/1/2026 Avg Rates</v>
      </c>
      <c r="H27" s="6" t="s">
        <v>180</v>
      </c>
      <c r="I27" s="6" t="s">
        <v>181</v>
      </c>
      <c r="J27" s="6" t="s">
        <v>182</v>
      </c>
      <c r="K27" s="6" t="s">
        <v>183</v>
      </c>
      <c r="O27" s="5"/>
      <c r="P27" s="6" t="str">
        <f>F27</f>
        <v>2029 Sales</v>
      </c>
      <c r="Q27" s="6" t="str">
        <f>G27</f>
        <v>03/1/2026 Avg Rates</v>
      </c>
      <c r="R27" s="6" t="s">
        <v>180</v>
      </c>
      <c r="S27" s="6" t="s">
        <v>181</v>
      </c>
      <c r="T27" s="6" t="s">
        <v>182</v>
      </c>
      <c r="U27" s="6" t="s">
        <v>183</v>
      </c>
      <c r="V27" s="217"/>
      <c r="Z27" s="5"/>
      <c r="AA27" s="362" t="s">
        <v>295</v>
      </c>
      <c r="AB27" s="218">
        <f>(SUMIF('Authorized Rev Req'!L:L, "Distribution (Wildfire)", 'Authorized Rev Req'!H:H)+SUMIF('Authorized Rev Req'!L:L, "WHC", 'Authorized Rev Req'!H:H))*1000</f>
        <v>2216164203.6611958</v>
      </c>
      <c r="AC27" s="359"/>
      <c r="AF27" s="359"/>
      <c r="AI27" s="362" t="s">
        <v>295</v>
      </c>
      <c r="AJ27" s="218">
        <f>('Incremental Rev Req'!T113+'Incremental Rev Req'!T112)*1000</f>
        <v>1658636481.9172735</v>
      </c>
      <c r="AK27" s="359"/>
      <c r="AN27" s="359"/>
    </row>
    <row r="28" spans="2:40" ht="16" thickBot="1">
      <c r="B28" s="7"/>
      <c r="C28" s="11"/>
      <c r="D28" s="5"/>
      <c r="E28" s="5" t="s">
        <v>357</v>
      </c>
      <c r="F28" s="111">
        <f>VLOOKUP(Summary!$D$3,$J$51:$K$54,2,FALSE)</f>
        <v>1530615.6099066611</v>
      </c>
      <c r="G28" s="64">
        <f>IF(Summary!$I$3="Y", AB52,AC52 )</f>
        <v>40.73713053702604</v>
      </c>
      <c r="H28" s="11">
        <f>IF(Summary!$I$3="Y",V19/$F$28*100,SUM(V19-W22)/$F$28*100)</f>
        <v>38.560397855568517</v>
      </c>
      <c r="I28" s="11">
        <f>IF(Summary!$I$3="Y",X19/$F$28*100,SUM(X19-X22)/$F$28*100)</f>
        <v>44.510834997858886</v>
      </c>
      <c r="J28" s="125">
        <f>H28/G28-1</f>
        <v>-5.3433628062710237E-2</v>
      </c>
      <c r="K28" s="125">
        <f>I28/G28-1</f>
        <v>9.2635500122005832E-2</v>
      </c>
      <c r="O28" s="5" t="s">
        <v>357</v>
      </c>
      <c r="P28" s="111">
        <f>VLOOKUP(Summary!$D$3,$N$51:$O$54,2,FALSE)</f>
        <v>5516736.1075789528</v>
      </c>
      <c r="Q28" s="64">
        <f>IF(Summary!$I$3="Y", AE52,AF52 )</f>
        <v>34.868791397863305</v>
      </c>
      <c r="R28" s="11">
        <f>IF(Summary!$I$3="Y",(U10+AB21)/P28*100,(U10+AB21-P10)/P28)</f>
        <v>29.652894289586051</v>
      </c>
      <c r="S28" s="11">
        <f>IF(Summary!$I$3="Y",(U13+AC21)/P28*100,(U13+AC21-P11)/P28)</f>
        <v>35.708767422958012</v>
      </c>
      <c r="T28" s="125">
        <f>R28/Q28-1</f>
        <v>-0.14958640374890864</v>
      </c>
      <c r="U28" s="125">
        <f>S28/Q28-1</f>
        <v>2.4089622594323012E-2</v>
      </c>
      <c r="V28" s="217"/>
      <c r="X28" s="61"/>
      <c r="AA28" s="364"/>
      <c r="AB28" s="365"/>
      <c r="AC28" s="366"/>
      <c r="AF28" s="359"/>
      <c r="AI28" s="364"/>
      <c r="AJ28" s="365"/>
      <c r="AK28" s="366"/>
      <c r="AN28" s="359"/>
    </row>
    <row r="29" spans="2:40">
      <c r="E29" s="363" t="s">
        <v>22</v>
      </c>
      <c r="F29" s="111">
        <f>VLOOKUP(Summary!$D$3,$J$55:$K$58,2,FALSE)</f>
        <v>24784494.935273737</v>
      </c>
      <c r="G29" s="64">
        <f>IF(Summary!$I$3="Y", AB53,AC53 )</f>
        <v>32.596708001946226</v>
      </c>
      <c r="H29" s="11">
        <f>IF(Summary!$I$3="Y",V20/$F$29*100,SUM(V20-W23)/$F$29*100)</f>
        <v>31.306003070908904</v>
      </c>
      <c r="I29" s="11">
        <f>IF(Summary!$I$3="Y",W20/$F$29*100,SUM(W20-X23)/$F$29*100)</f>
        <v>35.449731967456358</v>
      </c>
      <c r="J29" s="125">
        <f>H29/G29-1</f>
        <v>-3.9596174281165353E-2</v>
      </c>
      <c r="K29" s="125">
        <f>I29/G29-1</f>
        <v>8.7524910961554347E-2</v>
      </c>
      <c r="O29" s="363" t="s">
        <v>22</v>
      </c>
      <c r="P29" s="111">
        <f>VLOOKUP(Summary!$D$3,$N$55:$O$58,2,FALSE)</f>
        <v>75364454.013400629</v>
      </c>
      <c r="Q29" s="64">
        <f>IF(Summary!$I$3="Y", AE53,AF53 )</f>
        <v>26.65073540105055</v>
      </c>
      <c r="R29" s="11">
        <f>IF(Summary!$I$3="Y",(U11+AB21)/P29*100,(U11+AB21-P11)/P29)</f>
        <v>23.173645971016043</v>
      </c>
      <c r="S29" s="11">
        <f>IF(Summary!$I$3="Y",(U14+AC21)/P29*100,(U14+AC21-P11)/P29)</f>
        <v>27.401205803892907</v>
      </c>
      <c r="T29" s="125">
        <f>R29/Q29-1</f>
        <v>-0.1304687986169959</v>
      </c>
      <c r="U29" s="125">
        <f>S29/Q29-1</f>
        <v>2.815946320238405E-2</v>
      </c>
      <c r="V29" s="220"/>
      <c r="AA29" s="368"/>
      <c r="AB29" s="369" t="s">
        <v>5</v>
      </c>
      <c r="AC29" s="361" t="s">
        <v>287</v>
      </c>
      <c r="AE29" s="370" t="s">
        <v>293</v>
      </c>
      <c r="AF29" s="371" t="s">
        <v>294</v>
      </c>
      <c r="AI29" s="368"/>
      <c r="AJ29" s="369" t="s">
        <v>5</v>
      </c>
      <c r="AK29" s="361" t="s">
        <v>287</v>
      </c>
      <c r="AM29" s="370" t="s">
        <v>293</v>
      </c>
      <c r="AN29" s="371" t="s">
        <v>294</v>
      </c>
    </row>
    <row r="30" spans="2:40">
      <c r="Q30" s="5"/>
      <c r="R30" s="5"/>
      <c r="S30" s="216"/>
      <c r="T30" s="5"/>
      <c r="U30" s="216"/>
      <c r="V30" s="217"/>
      <c r="AA30" s="372" t="s">
        <v>288</v>
      </c>
      <c r="AB30" s="200">
        <f>'SAR and RAR'!AB30</f>
        <v>0.47554953632916569</v>
      </c>
      <c r="AC30" s="201">
        <f>'SAR and RAR'!AC30</f>
        <v>0.37373788819706122</v>
      </c>
      <c r="AE30" s="468">
        <f>AVERAGE(AB31:AC31)</f>
        <v>9.9040657905491436E-2</v>
      </c>
      <c r="AF30" s="201">
        <f>(0.125*AB31)+(0.875*AC31)</f>
        <v>9.3790315295998961E-2</v>
      </c>
      <c r="AI30" s="372" t="s">
        <v>288</v>
      </c>
      <c r="AJ30" s="200">
        <f>'SAR and RAR'!AJ30</f>
        <v>0.46466189261562585</v>
      </c>
      <c r="AK30" s="201">
        <f>'SAR and RAR'!AK30</f>
        <v>0.37373788819706122</v>
      </c>
      <c r="AM30" s="468">
        <f>AVERAGE(AJ31:AK31)</f>
        <v>9.8529995268048787E-2</v>
      </c>
      <c r="AN30" s="201">
        <f>(0.125*AJ31)+(0.875*AK31)</f>
        <v>9.3662649636638298E-2</v>
      </c>
    </row>
    <row r="31" spans="2:40">
      <c r="Q31" s="5"/>
      <c r="R31" s="5"/>
      <c r="S31" s="216"/>
      <c r="T31" s="5"/>
      <c r="U31" s="216"/>
      <c r="V31" s="220"/>
      <c r="AA31" s="372" t="s">
        <v>357</v>
      </c>
      <c r="AB31" s="200">
        <f>'SAR and RAR'!AB31</f>
        <v>0.10604111471814805</v>
      </c>
      <c r="AC31" s="201">
        <f>'SAR and RAR'!AC31</f>
        <v>9.2040201092834811E-2</v>
      </c>
      <c r="AF31" s="359"/>
      <c r="AI31" s="372" t="s">
        <v>357</v>
      </c>
      <c r="AJ31" s="200">
        <f>'SAR and RAR'!AJ31</f>
        <v>0.10501978944326278</v>
      </c>
      <c r="AK31" s="201">
        <f>'SAR and RAR'!AK31</f>
        <v>9.2040201092834811E-2</v>
      </c>
      <c r="AN31" s="359"/>
    </row>
    <row r="32" spans="2:40">
      <c r="B32" s="7"/>
      <c r="C32" s="7"/>
      <c r="D32" s="5"/>
      <c r="E32" s="5"/>
      <c r="F32" s="375"/>
      <c r="G32" s="375"/>
      <c r="H32" s="375"/>
      <c r="I32" s="43"/>
      <c r="J32" s="43"/>
      <c r="K32" s="43"/>
      <c r="L32" s="5"/>
      <c r="M32" s="5"/>
      <c r="N32" s="5"/>
      <c r="O32" s="5"/>
      <c r="P32" s="5"/>
      <c r="Q32" s="5"/>
      <c r="R32" s="5"/>
      <c r="S32" s="216"/>
      <c r="T32" s="5"/>
      <c r="U32" s="216"/>
      <c r="V32" s="220"/>
      <c r="W32" s="220"/>
      <c r="X32" s="217"/>
      <c r="AA32" s="372" t="s">
        <v>374</v>
      </c>
      <c r="AB32" s="200">
        <f>'SAR and RAR'!AB32</f>
        <v>3.3324052864361096E-2</v>
      </c>
      <c r="AC32" s="201">
        <f>'SAR and RAR'!AC32</f>
        <v>2.9394853387822543E-2</v>
      </c>
      <c r="AF32" s="359"/>
      <c r="AI32" s="372" t="s">
        <v>374</v>
      </c>
      <c r="AJ32" s="200">
        <f>'SAR and RAR'!AJ32</f>
        <v>3.3418461993119791E-2</v>
      </c>
      <c r="AK32" s="201">
        <f>'SAR and RAR'!AK32</f>
        <v>2.9394853387822543E-2</v>
      </c>
      <c r="AN32" s="359"/>
    </row>
    <row r="33" spans="2:40">
      <c r="B33" s="7"/>
      <c r="C33" s="7"/>
      <c r="D33" s="5"/>
      <c r="E33" s="43"/>
      <c r="F33" s="70"/>
      <c r="G33" s="6">
        <v>2</v>
      </c>
      <c r="H33" s="6">
        <v>3</v>
      </c>
      <c r="I33" s="43">
        <v>4</v>
      </c>
      <c r="J33" s="43">
        <v>5</v>
      </c>
      <c r="K33" s="43">
        <v>6</v>
      </c>
      <c r="L33" s="6">
        <v>7</v>
      </c>
      <c r="M33" s="6">
        <v>8</v>
      </c>
      <c r="N33" s="6">
        <v>9</v>
      </c>
      <c r="O33" s="6">
        <v>10</v>
      </c>
      <c r="P33" s="6">
        <v>11</v>
      </c>
      <c r="Q33" s="6">
        <v>12</v>
      </c>
      <c r="R33" s="6">
        <v>13</v>
      </c>
      <c r="S33" s="6">
        <v>14</v>
      </c>
      <c r="T33" s="5">
        <v>15</v>
      </c>
      <c r="U33" s="216"/>
      <c r="V33" s="217"/>
      <c r="W33" s="220"/>
      <c r="X33" s="217"/>
      <c r="AA33" s="372" t="s">
        <v>570</v>
      </c>
      <c r="AB33" s="200">
        <f>'SAR and RAR'!AB33</f>
        <v>8.8178328740731421E-2</v>
      </c>
      <c r="AC33" s="201">
        <f>'SAR and RAR'!AC33</f>
        <v>0.10147953048583333</v>
      </c>
      <c r="AF33" s="359"/>
      <c r="AI33" s="372" t="s">
        <v>570</v>
      </c>
      <c r="AJ33" s="200">
        <f>'SAR and RAR'!AJ33</f>
        <v>8.6909234434938309E-2</v>
      </c>
      <c r="AK33" s="201">
        <f>'SAR and RAR'!AK33</f>
        <v>0.10147953048583333</v>
      </c>
      <c r="AN33" s="359"/>
    </row>
    <row r="34" spans="2:40">
      <c r="B34" s="7"/>
      <c r="C34" s="7"/>
      <c r="D34" s="211"/>
      <c r="E34" s="59"/>
      <c r="F34" s="59" t="s">
        <v>365</v>
      </c>
      <c r="G34" s="6" t="s">
        <v>3</v>
      </c>
      <c r="H34" s="6" t="s">
        <v>5</v>
      </c>
      <c r="I34" s="6" t="s">
        <v>16</v>
      </c>
      <c r="J34" s="6" t="s">
        <v>173</v>
      </c>
      <c r="K34" s="6" t="s">
        <v>14</v>
      </c>
      <c r="L34" s="6" t="s">
        <v>10</v>
      </c>
      <c r="M34" s="6" t="s">
        <v>66</v>
      </c>
      <c r="N34" s="6" t="s">
        <v>127</v>
      </c>
      <c r="O34" s="6" t="s">
        <v>134</v>
      </c>
      <c r="P34" s="6" t="s">
        <v>174</v>
      </c>
      <c r="Q34" s="43" t="s">
        <v>656</v>
      </c>
      <c r="R34" s="6" t="s">
        <v>275</v>
      </c>
      <c r="S34" s="6" t="s">
        <v>207</v>
      </c>
      <c r="T34" s="469" t="s">
        <v>292</v>
      </c>
      <c r="U34" s="5"/>
      <c r="V34" s="215"/>
      <c r="W34" s="220"/>
      <c r="AA34" s="372" t="s">
        <v>571</v>
      </c>
      <c r="AB34" s="200">
        <f>'SAR and RAR'!AB34</f>
        <v>0.14648830449316744</v>
      </c>
      <c r="AC34" s="201">
        <f>'SAR and RAR'!AC34</f>
        <v>0.18401660606871539</v>
      </c>
      <c r="AF34" s="359"/>
      <c r="AI34" s="372" t="s">
        <v>571</v>
      </c>
      <c r="AJ34" s="200">
        <f>'SAR and RAR'!AJ34</f>
        <v>0.15333183083440122</v>
      </c>
      <c r="AK34" s="201">
        <f>'SAR and RAR'!AK34</f>
        <v>0.18401660606871539</v>
      </c>
      <c r="AN34" s="359"/>
    </row>
    <row r="35" spans="2:40">
      <c r="E35" s="5"/>
      <c r="F35" s="376">
        <f>'SAR and RAR'!F35</f>
        <v>2026</v>
      </c>
      <c r="G35" s="71">
        <v>6.2387130940199362E-2</v>
      </c>
      <c r="H35" s="71">
        <v>0.10604111471814805</v>
      </c>
      <c r="I35" s="71">
        <v>7.1285345053628935E-2</v>
      </c>
      <c r="J35" s="71">
        <v>8.309206996113308E-2</v>
      </c>
      <c r="K35" s="71">
        <v>6.6495184409869068E-2</v>
      </c>
      <c r="L35" s="71">
        <v>6.7202128263150543E-2</v>
      </c>
      <c r="M35" s="71">
        <v>7.3803059041629981E-2</v>
      </c>
      <c r="N35" s="71">
        <v>7.2949875113434787E-2</v>
      </c>
      <c r="O35" s="71">
        <v>7.383659856287815E-2</v>
      </c>
      <c r="P35" s="71">
        <v>4.3153356023048754E-2</v>
      </c>
      <c r="Q35" s="71">
        <v>8.1326918619140431E-2</v>
      </c>
      <c r="R35" s="71">
        <v>9.9933745577554897E-2</v>
      </c>
      <c r="S35" s="71">
        <v>9.305731383769536E-2</v>
      </c>
      <c r="T35" s="71">
        <f>((AB26*AE30)+((AB27-AB26)*(AF30)))/AB27</f>
        <v>9.4974871612001785E-2</v>
      </c>
      <c r="U35" s="5"/>
      <c r="V35" s="5"/>
      <c r="W35" s="220"/>
      <c r="AA35" s="372" t="s">
        <v>289</v>
      </c>
      <c r="AB35" s="200">
        <f>'SAR and RAR'!AB35</f>
        <v>3.4289500953912258E-3</v>
      </c>
      <c r="AC35" s="201">
        <f>'SAR and RAR'!AC35</f>
        <v>3.9605516879272504E-3</v>
      </c>
      <c r="AF35" s="359"/>
      <c r="AI35" s="372" t="s">
        <v>289</v>
      </c>
      <c r="AJ35" s="200">
        <f>'SAR and RAR'!AJ35</f>
        <v>3.3706310832522807E-3</v>
      </c>
      <c r="AK35" s="201">
        <f>'SAR and RAR'!AK35</f>
        <v>3.9605516879272504E-3</v>
      </c>
      <c r="AN35" s="359"/>
    </row>
    <row r="36" spans="2:40">
      <c r="E36" s="5"/>
      <c r="F36" s="376">
        <f>F35+1</f>
        <v>2027</v>
      </c>
      <c r="G36" s="71">
        <v>7.1278785693833197E-2</v>
      </c>
      <c r="H36" s="71">
        <v>0.10501978944326278</v>
      </c>
      <c r="I36" s="71">
        <v>7.0977207706997253E-2</v>
      </c>
      <c r="J36" s="71">
        <v>8.3041092398379757E-2</v>
      </c>
      <c r="K36" s="71">
        <v>6.6437921919468262E-2</v>
      </c>
      <c r="L36" s="71">
        <v>6.7130232334667556E-2</v>
      </c>
      <c r="M36" s="71">
        <v>7.3190658358892852E-2</v>
      </c>
      <c r="N36" s="71">
        <v>7.2642865066774392E-2</v>
      </c>
      <c r="O36" s="71">
        <v>7.3524040092170298E-2</v>
      </c>
      <c r="P36" s="71">
        <v>4.8683437567811988E-2</v>
      </c>
      <c r="Q36" s="71">
        <v>8.0911913912459443E-2</v>
      </c>
      <c r="R36" s="71">
        <v>0.10028921179066569</v>
      </c>
      <c r="S36" s="71">
        <v>8.0254180870397207E-2</v>
      </c>
      <c r="T36" s="71">
        <f>((AJ26*AM30)+((AJ27-AJ26)*(AN30)))/AJ27</f>
        <v>9.512992281086155E-2</v>
      </c>
      <c r="U36" s="216"/>
      <c r="V36" s="5"/>
      <c r="W36" s="127"/>
      <c r="X36" s="5"/>
      <c r="AA36" s="372" t="s">
        <v>290</v>
      </c>
      <c r="AB36" s="200">
        <f>'SAR and RAR'!AB36</f>
        <v>1.3902994449942997E-3</v>
      </c>
      <c r="AC36" s="201">
        <f>'SAR and RAR'!AC36</f>
        <v>3.8893033581186244E-3</v>
      </c>
      <c r="AF36" s="359"/>
      <c r="AI36" s="372" t="s">
        <v>290</v>
      </c>
      <c r="AJ36" s="200">
        <f>'SAR and RAR'!AJ36</f>
        <v>2.7712874998459289E-3</v>
      </c>
      <c r="AK36" s="201">
        <f>'SAR and RAR'!AK36</f>
        <v>3.8893033581186244E-3</v>
      </c>
      <c r="AN36" s="359"/>
    </row>
    <row r="37" spans="2:40">
      <c r="B37" s="7"/>
      <c r="C37" s="7"/>
      <c r="E37" s="5"/>
      <c r="F37" s="376">
        <f>F36+1</f>
        <v>2028</v>
      </c>
      <c r="G37" s="71">
        <f>G35</f>
        <v>6.2387130940199362E-2</v>
      </c>
      <c r="H37" s="71">
        <f t="shared" ref="H37:S37" si="5">H35</f>
        <v>0.10604111471814805</v>
      </c>
      <c r="I37" s="71">
        <f t="shared" si="5"/>
        <v>7.1285345053628935E-2</v>
      </c>
      <c r="J37" s="71">
        <f t="shared" si="5"/>
        <v>8.309206996113308E-2</v>
      </c>
      <c r="K37" s="71">
        <f t="shared" si="5"/>
        <v>6.6495184409869068E-2</v>
      </c>
      <c r="L37" s="71">
        <f t="shared" si="5"/>
        <v>6.7202128263150543E-2</v>
      </c>
      <c r="M37" s="71">
        <f t="shared" si="5"/>
        <v>7.3803059041629981E-2</v>
      </c>
      <c r="N37" s="71">
        <f t="shared" si="5"/>
        <v>7.2949875113434787E-2</v>
      </c>
      <c r="O37" s="71">
        <f t="shared" si="5"/>
        <v>7.383659856287815E-2</v>
      </c>
      <c r="P37" s="71">
        <f t="shared" si="5"/>
        <v>4.3153356023048754E-2</v>
      </c>
      <c r="Q37" s="71">
        <f t="shared" si="5"/>
        <v>8.1326918619140431E-2</v>
      </c>
      <c r="R37" s="71">
        <f t="shared" si="5"/>
        <v>9.9933745577554897E-2</v>
      </c>
      <c r="S37" s="71">
        <f t="shared" si="5"/>
        <v>9.305731383769536E-2</v>
      </c>
      <c r="T37" s="71">
        <f>T35</f>
        <v>9.4974871612001785E-2</v>
      </c>
      <c r="U37" s="216"/>
      <c r="V37" s="220"/>
      <c r="W37" s="222"/>
      <c r="X37" s="217"/>
      <c r="AA37" s="372" t="s">
        <v>291</v>
      </c>
      <c r="AB37" s="200">
        <f>'SAR and RAR'!AB37</f>
        <v>8.8633537850768884E-2</v>
      </c>
      <c r="AC37" s="201">
        <f>'SAR and RAR'!AC37</f>
        <v>8.0695912474960468E-2</v>
      </c>
      <c r="AF37" s="359"/>
      <c r="AI37" s="372" t="s">
        <v>291</v>
      </c>
      <c r="AJ37" s="200">
        <f>'SAR and RAR'!AJ37</f>
        <v>9.28839376085831E-2</v>
      </c>
      <c r="AK37" s="201">
        <f>'SAR and RAR'!AK37</f>
        <v>8.0695912474960468E-2</v>
      </c>
      <c r="AN37" s="359"/>
    </row>
    <row r="38" spans="2:40">
      <c r="B38" s="7"/>
      <c r="C38" s="7"/>
      <c r="E38" s="5"/>
      <c r="F38" s="376">
        <f>F37+1</f>
        <v>2029</v>
      </c>
      <c r="G38" s="71">
        <f>G37</f>
        <v>6.2387130940199362E-2</v>
      </c>
      <c r="H38" s="71">
        <f t="shared" ref="H38:T38" si="6">H37</f>
        <v>0.10604111471814805</v>
      </c>
      <c r="I38" s="71">
        <f t="shared" si="6"/>
        <v>7.1285345053628935E-2</v>
      </c>
      <c r="J38" s="71">
        <f t="shared" si="6"/>
        <v>8.309206996113308E-2</v>
      </c>
      <c r="K38" s="71">
        <f t="shared" si="6"/>
        <v>6.6495184409869068E-2</v>
      </c>
      <c r="L38" s="71">
        <f t="shared" si="6"/>
        <v>6.7202128263150543E-2</v>
      </c>
      <c r="M38" s="71">
        <f t="shared" si="6"/>
        <v>7.3803059041629981E-2</v>
      </c>
      <c r="N38" s="71">
        <f t="shared" si="6"/>
        <v>7.2949875113434787E-2</v>
      </c>
      <c r="O38" s="71">
        <f t="shared" si="6"/>
        <v>7.383659856287815E-2</v>
      </c>
      <c r="P38" s="71">
        <f t="shared" si="6"/>
        <v>4.3153356023048754E-2</v>
      </c>
      <c r="Q38" s="71">
        <f t="shared" si="6"/>
        <v>8.1326918619140431E-2</v>
      </c>
      <c r="R38" s="71">
        <f t="shared" si="6"/>
        <v>9.9933745577554897E-2</v>
      </c>
      <c r="S38" s="71">
        <f t="shared" si="6"/>
        <v>9.305731383769536E-2</v>
      </c>
      <c r="T38" s="71">
        <f t="shared" si="6"/>
        <v>9.4974871612001785E-2</v>
      </c>
      <c r="U38" s="216"/>
      <c r="V38" s="220"/>
      <c r="W38" s="217"/>
      <c r="X38" s="217"/>
      <c r="AA38" s="372" t="s">
        <v>572</v>
      </c>
      <c r="AB38" s="200">
        <f>'SAR and RAR'!AB38</f>
        <v>3.9755327840354467E-2</v>
      </c>
      <c r="AC38" s="201">
        <f>'SAR and RAR'!AC38</f>
        <v>6.7877531643634414E-2</v>
      </c>
      <c r="AF38" s="359"/>
      <c r="AI38" s="372" t="s">
        <v>572</v>
      </c>
      <c r="AJ38" s="200">
        <f>'SAR and RAR'!AJ38</f>
        <v>3.9707161897810692E-2</v>
      </c>
      <c r="AK38" s="201">
        <f>'SAR and RAR'!AK38</f>
        <v>6.7877531643634414E-2</v>
      </c>
      <c r="AN38" s="359"/>
    </row>
    <row r="39" spans="2:40">
      <c r="B39" s="7"/>
      <c r="C39" s="7"/>
      <c r="E39" s="5"/>
      <c r="F39" s="8"/>
      <c r="G39" s="9"/>
      <c r="H39" s="126"/>
      <c r="I39" s="43"/>
      <c r="J39" s="43"/>
      <c r="K39" s="43"/>
      <c r="L39" s="5"/>
      <c r="M39" s="5"/>
      <c r="N39" s="5"/>
      <c r="O39" s="5"/>
      <c r="P39" s="5"/>
      <c r="Q39" s="5"/>
      <c r="S39" s="5"/>
      <c r="T39" s="5"/>
      <c r="U39" s="216"/>
      <c r="V39" s="220"/>
      <c r="W39" s="222"/>
      <c r="X39" s="220"/>
      <c r="AA39" s="372" t="s">
        <v>573</v>
      </c>
      <c r="AB39" s="200">
        <f>'SAR and RAR'!AB39</f>
        <v>1.5716952856348013E-2</v>
      </c>
      <c r="AC39" s="201">
        <f>'SAR and RAR'!AC39</f>
        <v>2.2712125739292564E-2</v>
      </c>
      <c r="AD39" s="372"/>
      <c r="AF39" s="359"/>
      <c r="AI39" s="372" t="s">
        <v>573</v>
      </c>
      <c r="AJ39" s="200">
        <f>'SAR and RAR'!AJ39</f>
        <v>1.685713420315451E-2</v>
      </c>
      <c r="AK39" s="201">
        <f>'SAR and RAR'!AK39</f>
        <v>2.2712125739292564E-2</v>
      </c>
      <c r="AN39" s="359"/>
    </row>
    <row r="40" spans="2:40" ht="16" thickBot="1">
      <c r="B40" s="7"/>
      <c r="C40" s="7"/>
      <c r="D40" s="5"/>
      <c r="E40" s="5"/>
      <c r="F40" s="59" t="s">
        <v>176</v>
      </c>
      <c r="G40" s="43"/>
      <c r="H40" s="43"/>
      <c r="I40" s="43"/>
      <c r="J40" s="43"/>
      <c r="K40" s="43"/>
      <c r="L40" s="5"/>
      <c r="M40" s="5"/>
      <c r="N40" s="5"/>
      <c r="O40" s="5"/>
      <c r="P40" s="5"/>
      <c r="Q40" s="5"/>
      <c r="S40" s="5"/>
      <c r="T40" s="5"/>
      <c r="U40" s="216"/>
      <c r="V40" s="220"/>
      <c r="W40" s="220"/>
      <c r="X40" s="217"/>
      <c r="AA40" s="364" t="s">
        <v>574</v>
      </c>
      <c r="AB40" s="202">
        <f>'SAR and RAR'!AB40</f>
        <v>1.4935947665695741E-3</v>
      </c>
      <c r="AC40" s="203">
        <f>'SAR and RAR'!AC40</f>
        <v>4.0195495863799224E-2</v>
      </c>
      <c r="AD40" s="364"/>
      <c r="AE40" s="365"/>
      <c r="AF40" s="365"/>
      <c r="AG40" s="372"/>
      <c r="AI40" s="364" t="s">
        <v>574</v>
      </c>
      <c r="AJ40" s="202">
        <f>'SAR and RAR'!AJ40</f>
        <v>1.0686383860052963E-3</v>
      </c>
      <c r="AK40" s="203">
        <f>'SAR and RAR'!AK40</f>
        <v>4.0195495863799224E-2</v>
      </c>
      <c r="AL40" s="365"/>
      <c r="AM40" s="365"/>
      <c r="AN40" s="366"/>
    </row>
    <row r="41" spans="2:40">
      <c r="B41" s="7"/>
      <c r="C41" s="7"/>
      <c r="D41" s="5"/>
      <c r="E41" s="5" t="s">
        <v>357</v>
      </c>
      <c r="F41" s="376">
        <f>F35</f>
        <v>2026</v>
      </c>
      <c r="G41" s="71">
        <v>1</v>
      </c>
      <c r="H41" s="71">
        <f t="shared" ref="H41:T41" si="7">$K51/$O51</f>
        <v>0.27744948825880661</v>
      </c>
      <c r="I41" s="71">
        <f t="shared" si="7"/>
        <v>0.27744948825880661</v>
      </c>
      <c r="J41" s="71">
        <f t="shared" si="7"/>
        <v>0.27744948825880661</v>
      </c>
      <c r="K41" s="71">
        <f t="shared" si="7"/>
        <v>0.27744948825880661</v>
      </c>
      <c r="L41" s="71">
        <f t="shared" si="7"/>
        <v>0.27744948825880661</v>
      </c>
      <c r="M41" s="71">
        <f t="shared" si="7"/>
        <v>0.27744948825880661</v>
      </c>
      <c r="N41" s="71">
        <f t="shared" si="7"/>
        <v>0.27744948825880661</v>
      </c>
      <c r="O41" s="71">
        <f t="shared" si="7"/>
        <v>0.27744948825880661</v>
      </c>
      <c r="P41" s="71">
        <f t="shared" si="7"/>
        <v>0.27744948825880661</v>
      </c>
      <c r="Q41" s="71">
        <f t="shared" si="7"/>
        <v>0.27744948825880661</v>
      </c>
      <c r="R41" s="71">
        <f>$K51/$O51</f>
        <v>0.27744948825880661</v>
      </c>
      <c r="S41" s="71">
        <v>-0.12511365232632765</v>
      </c>
      <c r="T41" s="71">
        <f t="shared" si="7"/>
        <v>0.27744948825880661</v>
      </c>
      <c r="U41" s="216"/>
      <c r="V41" s="220"/>
      <c r="W41" s="215"/>
      <c r="X41" s="215"/>
    </row>
    <row r="42" spans="2:40">
      <c r="B42" s="7"/>
      <c r="C42" s="7"/>
      <c r="D42" s="5"/>
      <c r="E42" s="5" t="s">
        <v>357</v>
      </c>
      <c r="F42" s="376">
        <f>F36</f>
        <v>2027</v>
      </c>
      <c r="G42" s="71">
        <v>1</v>
      </c>
      <c r="H42" s="71">
        <f t="shared" ref="H42:T42" si="8">$K52/$O52</f>
        <v>0.29965303363444246</v>
      </c>
      <c r="I42" s="71">
        <f t="shared" si="8"/>
        <v>0.29965303363444246</v>
      </c>
      <c r="J42" s="71">
        <f t="shared" si="8"/>
        <v>0.29965303363444246</v>
      </c>
      <c r="K42" s="71">
        <f t="shared" si="8"/>
        <v>0.29965303363444246</v>
      </c>
      <c r="L42" s="71">
        <f t="shared" si="8"/>
        <v>0.29965303363444246</v>
      </c>
      <c r="M42" s="71">
        <f t="shared" si="8"/>
        <v>0.29965303363444246</v>
      </c>
      <c r="N42" s="71">
        <f t="shared" si="8"/>
        <v>0.29965303363444246</v>
      </c>
      <c r="O42" s="71">
        <f t="shared" si="8"/>
        <v>0.29965303363444246</v>
      </c>
      <c r="P42" s="71">
        <f t="shared" si="8"/>
        <v>0.29965303363444246</v>
      </c>
      <c r="Q42" s="71">
        <f t="shared" si="8"/>
        <v>0.29965303363444246</v>
      </c>
      <c r="R42" s="71">
        <f t="shared" si="8"/>
        <v>0.29965303363444246</v>
      </c>
      <c r="S42" s="71">
        <v>0.26735562002554475</v>
      </c>
      <c r="T42" s="71">
        <f t="shared" si="8"/>
        <v>0.29965303363444246</v>
      </c>
      <c r="U42" s="5"/>
      <c r="V42" s="215"/>
      <c r="X42" s="217"/>
      <c r="AB42" s="379"/>
      <c r="AC42" s="379"/>
    </row>
    <row r="43" spans="2:40">
      <c r="B43" s="7"/>
      <c r="C43" s="7"/>
      <c r="D43" s="5"/>
      <c r="E43" s="5" t="s">
        <v>357</v>
      </c>
      <c r="F43" s="376">
        <f>F37</f>
        <v>2028</v>
      </c>
      <c r="G43" s="71">
        <f t="shared" ref="G43" si="9">G42</f>
        <v>1</v>
      </c>
      <c r="H43" s="71">
        <f>H41</f>
        <v>0.27744948825880661</v>
      </c>
      <c r="I43" s="71">
        <f t="shared" ref="I43:R43" si="10">I41</f>
        <v>0.27744948825880661</v>
      </c>
      <c r="J43" s="71">
        <f t="shared" si="10"/>
        <v>0.27744948825880661</v>
      </c>
      <c r="K43" s="71">
        <f t="shared" si="10"/>
        <v>0.27744948825880661</v>
      </c>
      <c r="L43" s="71">
        <f t="shared" si="10"/>
        <v>0.27744948825880661</v>
      </c>
      <c r="M43" s="71">
        <f t="shared" si="10"/>
        <v>0.27744948825880661</v>
      </c>
      <c r="N43" s="71">
        <f t="shared" si="10"/>
        <v>0.27744948825880661</v>
      </c>
      <c r="O43" s="71">
        <f t="shared" si="10"/>
        <v>0.27744948825880661</v>
      </c>
      <c r="P43" s="71">
        <f t="shared" si="10"/>
        <v>0.27744948825880661</v>
      </c>
      <c r="Q43" s="71">
        <f t="shared" si="10"/>
        <v>0.27744948825880661</v>
      </c>
      <c r="R43" s="71">
        <f t="shared" si="10"/>
        <v>0.27744948825880661</v>
      </c>
      <c r="S43" s="71">
        <v>0.23107670361753627</v>
      </c>
      <c r="T43" s="71">
        <f t="shared" ref="T43:T47" si="11">$K53/$O53</f>
        <v>0.27744948825880661</v>
      </c>
      <c r="U43" s="216"/>
      <c r="V43" s="220"/>
      <c r="W43" s="160"/>
      <c r="X43" s="5"/>
      <c r="AB43" s="379"/>
    </row>
    <row r="44" spans="2:40">
      <c r="B44" s="7"/>
      <c r="C44" s="7"/>
      <c r="D44" s="5"/>
      <c r="E44" s="5" t="s">
        <v>357</v>
      </c>
      <c r="F44" s="376">
        <f>F38</f>
        <v>2029</v>
      </c>
      <c r="G44" s="71">
        <f t="shared" ref="G44" si="12">G42</f>
        <v>1</v>
      </c>
      <c r="H44" s="71">
        <f>H43</f>
        <v>0.27744948825880661</v>
      </c>
      <c r="I44" s="71">
        <f t="shared" ref="I44:R44" si="13">I43</f>
        <v>0.27744948825880661</v>
      </c>
      <c r="J44" s="71">
        <f t="shared" si="13"/>
        <v>0.27744948825880661</v>
      </c>
      <c r="K44" s="71">
        <f t="shared" si="13"/>
        <v>0.27744948825880661</v>
      </c>
      <c r="L44" s="71">
        <f t="shared" si="13"/>
        <v>0.27744948825880661</v>
      </c>
      <c r="M44" s="71">
        <f t="shared" si="13"/>
        <v>0.27744948825880661</v>
      </c>
      <c r="N44" s="71">
        <f t="shared" si="13"/>
        <v>0.27744948825880661</v>
      </c>
      <c r="O44" s="71">
        <f t="shared" si="13"/>
        <v>0.27744948825880661</v>
      </c>
      <c r="P44" s="71">
        <f t="shared" si="13"/>
        <v>0.27744948825880661</v>
      </c>
      <c r="Q44" s="71">
        <f t="shared" si="13"/>
        <v>0.27744948825880661</v>
      </c>
      <c r="R44" s="71">
        <f t="shared" si="13"/>
        <v>0.27744948825880661</v>
      </c>
      <c r="S44" s="71">
        <f t="shared" ref="S44" si="14">S43</f>
        <v>0.23107670361753627</v>
      </c>
      <c r="T44" s="71">
        <f t="shared" si="11"/>
        <v>0.27744948825880661</v>
      </c>
      <c r="U44" s="5"/>
      <c r="V44" s="5"/>
      <c r="W44" s="5"/>
      <c r="X44" s="5"/>
    </row>
    <row r="45" spans="2:40" ht="62">
      <c r="B45" s="7"/>
      <c r="C45" s="7"/>
      <c r="D45" s="5"/>
      <c r="E45" s="363" t="s">
        <v>22</v>
      </c>
      <c r="F45" s="376">
        <f>F41</f>
        <v>2026</v>
      </c>
      <c r="G45" s="71">
        <v>1</v>
      </c>
      <c r="H45" s="71">
        <f t="shared" ref="H45:R45" si="15">$K55/$O55</f>
        <v>0.32886186544742674</v>
      </c>
      <c r="I45" s="71">
        <f t="shared" si="15"/>
        <v>0.32886186544742674</v>
      </c>
      <c r="J45" s="71">
        <f t="shared" si="15"/>
        <v>0.32886186544742674</v>
      </c>
      <c r="K45" s="71">
        <f t="shared" si="15"/>
        <v>0.32886186544742674</v>
      </c>
      <c r="L45" s="71">
        <f t="shared" si="15"/>
        <v>0.32886186544742674</v>
      </c>
      <c r="M45" s="71">
        <f t="shared" si="15"/>
        <v>0.32886186544742674</v>
      </c>
      <c r="N45" s="71">
        <f t="shared" si="15"/>
        <v>0.32886186544742674</v>
      </c>
      <c r="O45" s="71">
        <f t="shared" si="15"/>
        <v>0.32886186544742674</v>
      </c>
      <c r="P45" s="71">
        <f t="shared" si="15"/>
        <v>0.32886186544742674</v>
      </c>
      <c r="Q45" s="71">
        <f t="shared" si="15"/>
        <v>0.32886186544742674</v>
      </c>
      <c r="R45" s="71">
        <f t="shared" si="15"/>
        <v>0.32886186544742674</v>
      </c>
      <c r="S45" s="71">
        <f>'SAR and RAR'!S45</f>
        <v>-0.18596781844616742</v>
      </c>
      <c r="T45" s="71">
        <f t="shared" si="11"/>
        <v>0.32886186544742674</v>
      </c>
      <c r="U45" s="216"/>
      <c r="V45" s="220"/>
      <c r="W45" s="217"/>
      <c r="X45" s="217"/>
      <c r="AA45" s="154"/>
      <c r="AB45" s="250" t="str">
        <f>'SAR and RAR'!AB43</f>
        <v>1/1/26  Bundled
w/Credit</v>
      </c>
      <c r="AC45" s="250" t="str">
        <f>'SAR and RAR'!AC43</f>
        <v>1/1/26  Bundled
w/out Credit</v>
      </c>
      <c r="AD45" s="250">
        <f>'SAR and RAR'!AD43</f>
        <v>0</v>
      </c>
      <c r="AE45" s="250" t="str">
        <f>'SAR and RAR'!AE43</f>
        <v>1/1/26  System
w/Credit</v>
      </c>
      <c r="AF45" s="250" t="str">
        <f>'SAR and RAR'!AF43</f>
        <v>1/1/26  System
w/out Credit</v>
      </c>
    </row>
    <row r="46" spans="2:40">
      <c r="B46" s="7"/>
      <c r="C46" s="7"/>
      <c r="D46" s="5"/>
      <c r="E46" s="363" t="s">
        <v>22</v>
      </c>
      <c r="F46" s="376">
        <f>F42</f>
        <v>2027</v>
      </c>
      <c r="G46" s="71">
        <v>1</v>
      </c>
      <c r="H46" s="71">
        <f t="shared" ref="H46:R46" si="16">$K56/$O56</f>
        <v>0.3059173018484998</v>
      </c>
      <c r="I46" s="71">
        <f t="shared" si="16"/>
        <v>0.3059173018484998</v>
      </c>
      <c r="J46" s="71">
        <f t="shared" si="16"/>
        <v>0.3059173018484998</v>
      </c>
      <c r="K46" s="71">
        <f t="shared" si="16"/>
        <v>0.3059173018484998</v>
      </c>
      <c r="L46" s="71">
        <f t="shared" si="16"/>
        <v>0.3059173018484998</v>
      </c>
      <c r="M46" s="71">
        <f t="shared" si="16"/>
        <v>0.3059173018484998</v>
      </c>
      <c r="N46" s="71">
        <f t="shared" si="16"/>
        <v>0.3059173018484998</v>
      </c>
      <c r="O46" s="71">
        <f t="shared" si="16"/>
        <v>0.3059173018484998</v>
      </c>
      <c r="P46" s="71">
        <f t="shared" si="16"/>
        <v>0.3059173018484998</v>
      </c>
      <c r="Q46" s="71">
        <f t="shared" si="16"/>
        <v>0.3059173018484998</v>
      </c>
      <c r="R46" s="71">
        <f t="shared" si="16"/>
        <v>0.3059173018484998</v>
      </c>
      <c r="S46" s="71">
        <f>'SAR and RAR'!S46</f>
        <v>0.28509085374089826</v>
      </c>
      <c r="T46" s="71">
        <f t="shared" si="11"/>
        <v>0.3059173018484998</v>
      </c>
      <c r="U46" s="216"/>
      <c r="V46" s="220"/>
      <c r="W46" s="217"/>
      <c r="X46" s="217"/>
      <c r="AA46" s="155"/>
      <c r="AB46" s="164"/>
      <c r="AC46" s="164"/>
      <c r="AD46" s="165"/>
      <c r="AE46" s="164"/>
      <c r="AF46" s="164"/>
    </row>
    <row r="47" spans="2:40">
      <c r="B47" s="7"/>
      <c r="C47" s="7"/>
      <c r="D47" s="5"/>
      <c r="E47" s="363" t="s">
        <v>22</v>
      </c>
      <c r="F47" s="376">
        <f>F43</f>
        <v>2028</v>
      </c>
      <c r="G47" s="71">
        <f t="shared" ref="G47" si="17">G46</f>
        <v>1</v>
      </c>
      <c r="H47" s="71">
        <f>H45</f>
        <v>0.32886186544742674</v>
      </c>
      <c r="I47" s="71">
        <f t="shared" ref="I47:R47" si="18">I45</f>
        <v>0.32886186544742674</v>
      </c>
      <c r="J47" s="71">
        <f t="shared" si="18"/>
        <v>0.32886186544742674</v>
      </c>
      <c r="K47" s="71">
        <f t="shared" si="18"/>
        <v>0.32886186544742674</v>
      </c>
      <c r="L47" s="71">
        <f t="shared" si="18"/>
        <v>0.32886186544742674</v>
      </c>
      <c r="M47" s="71">
        <f t="shared" si="18"/>
        <v>0.32886186544742674</v>
      </c>
      <c r="N47" s="71">
        <f t="shared" si="18"/>
        <v>0.32886186544742674</v>
      </c>
      <c r="O47" s="71">
        <f t="shared" si="18"/>
        <v>0.32886186544742674</v>
      </c>
      <c r="P47" s="71">
        <f t="shared" si="18"/>
        <v>0.32886186544742674</v>
      </c>
      <c r="Q47" s="71">
        <f t="shared" si="18"/>
        <v>0.32886186544742674</v>
      </c>
      <c r="R47" s="71">
        <f t="shared" si="18"/>
        <v>0.32886186544742674</v>
      </c>
      <c r="S47" s="71">
        <f>'SAR and RAR'!S47</f>
        <v>0.28144412281858089</v>
      </c>
      <c r="T47" s="71">
        <f t="shared" si="11"/>
        <v>0.32886186544742674</v>
      </c>
      <c r="U47" s="5"/>
      <c r="V47" s="215"/>
      <c r="W47" s="220"/>
      <c r="X47" s="217"/>
      <c r="AA47" s="155" t="s">
        <v>357</v>
      </c>
      <c r="AB47" s="254">
        <v>41.443190323578825</v>
      </c>
      <c r="AC47" s="254">
        <v>41.448292903006582</v>
      </c>
      <c r="AD47" s="155" t="s">
        <v>357</v>
      </c>
      <c r="AE47" s="254">
        <v>35.574773392062006</v>
      </c>
      <c r="AF47" s="254">
        <v>35.578867266548578</v>
      </c>
    </row>
    <row r="48" spans="2:40">
      <c r="B48" s="7"/>
      <c r="C48" s="7"/>
      <c r="D48" s="5"/>
      <c r="E48" s="363" t="s">
        <v>22</v>
      </c>
      <c r="F48" s="376">
        <f>F44</f>
        <v>2029</v>
      </c>
      <c r="G48" s="71">
        <f t="shared" ref="G48" si="19">G46</f>
        <v>1</v>
      </c>
      <c r="H48" s="71">
        <f>H47</f>
        <v>0.32886186544742674</v>
      </c>
      <c r="I48" s="71">
        <f t="shared" ref="I48:R48" si="20">I47</f>
        <v>0.32886186544742674</v>
      </c>
      <c r="J48" s="71">
        <f t="shared" si="20"/>
        <v>0.32886186544742674</v>
      </c>
      <c r="K48" s="71">
        <f t="shared" si="20"/>
        <v>0.32886186544742674</v>
      </c>
      <c r="L48" s="71">
        <f t="shared" si="20"/>
        <v>0.32886186544742674</v>
      </c>
      <c r="M48" s="71">
        <f t="shared" si="20"/>
        <v>0.32886186544742674</v>
      </c>
      <c r="N48" s="71">
        <f t="shared" si="20"/>
        <v>0.32886186544742674</v>
      </c>
      <c r="O48" s="71">
        <f t="shared" si="20"/>
        <v>0.32886186544742674</v>
      </c>
      <c r="P48" s="71">
        <f t="shared" si="20"/>
        <v>0.32886186544742674</v>
      </c>
      <c r="Q48" s="71">
        <f t="shared" si="20"/>
        <v>0.32886186544742674</v>
      </c>
      <c r="R48" s="71">
        <f t="shared" si="20"/>
        <v>0.32886186544742674</v>
      </c>
      <c r="S48" s="71">
        <f>'SAR and RAR'!S48</f>
        <v>0.28144412281858089</v>
      </c>
      <c r="T48" s="71">
        <f>$K58/$O58</f>
        <v>0.32886186544742674</v>
      </c>
      <c r="U48" s="216"/>
      <c r="V48" s="220"/>
      <c r="W48" s="220"/>
      <c r="X48" s="217"/>
      <c r="AA48" s="155" t="s">
        <v>28</v>
      </c>
      <c r="AB48" s="254">
        <v>33.416008222733581</v>
      </c>
      <c r="AC48" s="254">
        <v>34.072433607860397</v>
      </c>
      <c r="AD48" s="165" t="s">
        <v>22</v>
      </c>
      <c r="AE48" s="254">
        <v>27.143640625458705</v>
      </c>
      <c r="AF48" s="254">
        <v>27.73770240701548</v>
      </c>
    </row>
    <row r="49" spans="2:32">
      <c r="B49" s="7"/>
      <c r="C49" s="7"/>
      <c r="D49" s="5"/>
      <c r="E49" s="5"/>
      <c r="F49" s="43"/>
      <c r="G49" s="43"/>
      <c r="H49" s="43"/>
      <c r="I49" s="43"/>
      <c r="J49" s="43"/>
      <c r="K49" s="43"/>
      <c r="L49" s="5"/>
      <c r="M49" s="5"/>
      <c r="N49" s="5"/>
      <c r="O49" s="5"/>
      <c r="P49" s="5"/>
      <c r="Q49" s="5"/>
      <c r="R49" s="5"/>
      <c r="S49" s="216"/>
      <c r="T49" s="5"/>
      <c r="U49" s="5"/>
      <c r="V49" s="5"/>
      <c r="W49" s="217"/>
      <c r="X49" s="217"/>
      <c r="AA49" s="156"/>
      <c r="AB49" s="166"/>
      <c r="AC49" s="166"/>
      <c r="AD49" s="166"/>
      <c r="AE49" s="166"/>
      <c r="AF49" s="167"/>
    </row>
    <row r="50" spans="2:32" ht="31">
      <c r="B50" s="7"/>
      <c r="C50" s="7"/>
      <c r="D50" s="5"/>
      <c r="E50" s="5"/>
      <c r="F50" s="59" t="s">
        <v>276</v>
      </c>
      <c r="G50" s="43"/>
      <c r="H50" s="43"/>
      <c r="I50" s="43"/>
      <c r="J50" s="59" t="s">
        <v>131</v>
      </c>
      <c r="K50" s="43"/>
      <c r="L50" s="127"/>
      <c r="M50" s="223"/>
      <c r="N50" s="59" t="s">
        <v>130</v>
      </c>
      <c r="O50" s="5"/>
      <c r="P50" s="5"/>
      <c r="Q50" s="5"/>
      <c r="R50" s="5"/>
      <c r="S50" s="216"/>
      <c r="T50" s="536"/>
      <c r="U50" s="536"/>
      <c r="V50" s="5"/>
      <c r="W50" s="470"/>
      <c r="X50" s="215"/>
      <c r="AA50" s="154"/>
      <c r="AB50" s="246" t="str">
        <f>'SAR and RAR'!AB48</f>
        <v>3/1/26 Bundled
w/Credit</v>
      </c>
      <c r="AC50" s="246" t="str">
        <f>'SAR and RAR'!AC48</f>
        <v>3/1/26 Bundled
w/out Credit</v>
      </c>
      <c r="AD50" s="246"/>
      <c r="AE50" s="246" t="str">
        <f>'SAR and RAR'!AE48</f>
        <v>3/1/26 System
w/Credit</v>
      </c>
      <c r="AF50" s="246" t="str">
        <f>'SAR and RAR'!AF48</f>
        <v>3/1/26 System
w/out Credit</v>
      </c>
    </row>
    <row r="51" spans="2:32">
      <c r="B51" s="5"/>
      <c r="C51" s="5"/>
      <c r="D51" s="5"/>
      <c r="E51" s="5" t="s">
        <v>357</v>
      </c>
      <c r="F51" s="376">
        <f t="shared" ref="F51" si="21">F41</f>
        <v>2026</v>
      </c>
      <c r="G51" s="111">
        <v>5503318.717468637</v>
      </c>
      <c r="H51" s="43"/>
      <c r="I51" s="5" t="s">
        <v>357</v>
      </c>
      <c r="J51" s="376">
        <f t="shared" ref="J51" si="22">F51</f>
        <v>2026</v>
      </c>
      <c r="K51" s="111">
        <v>1530615.6099066611</v>
      </c>
      <c r="L51" s="70"/>
      <c r="M51" s="5" t="s">
        <v>357</v>
      </c>
      <c r="N51" s="376">
        <f t="shared" ref="N51" si="23">F51</f>
        <v>2026</v>
      </c>
      <c r="O51" s="60">
        <v>5516736.1075789528</v>
      </c>
      <c r="P51" s="128"/>
      <c r="Q51" s="5"/>
      <c r="R51" s="5"/>
      <c r="S51" s="216"/>
      <c r="T51" s="5"/>
      <c r="U51" s="216"/>
      <c r="V51" s="220"/>
      <c r="W51" s="5"/>
      <c r="X51" s="5"/>
      <c r="AA51" s="155"/>
      <c r="AB51" s="164"/>
      <c r="AC51" s="164"/>
      <c r="AD51" s="165"/>
      <c r="AE51" s="164"/>
      <c r="AF51" s="164"/>
    </row>
    <row r="52" spans="2:32">
      <c r="B52" s="5"/>
      <c r="C52" s="5"/>
      <c r="D52" s="5"/>
      <c r="E52" s="5" t="s">
        <v>357</v>
      </c>
      <c r="F52" s="376">
        <f t="shared" ref="F52:F58" si="24">F42</f>
        <v>2027</v>
      </c>
      <c r="G52" s="111">
        <v>5447132.6434441376</v>
      </c>
      <c r="H52" s="224"/>
      <c r="I52" s="5" t="s">
        <v>357</v>
      </c>
      <c r="J52" s="376">
        <f t="shared" ref="J52:J58" si="25">F52</f>
        <v>2027</v>
      </c>
      <c r="K52" s="111">
        <v>1636421.5421802518</v>
      </c>
      <c r="L52" s="247"/>
      <c r="M52" s="5" t="s">
        <v>357</v>
      </c>
      <c r="N52" s="376">
        <f t="shared" ref="N52:N58" si="26">F52</f>
        <v>2027</v>
      </c>
      <c r="O52" s="60">
        <v>5461054.4813525276</v>
      </c>
      <c r="P52" s="224"/>
      <c r="Q52" s="7"/>
      <c r="R52" s="5"/>
      <c r="S52" s="216"/>
      <c r="T52" s="5"/>
      <c r="U52" s="216"/>
      <c r="V52" s="217"/>
      <c r="W52" s="5"/>
      <c r="X52" s="5"/>
      <c r="AA52" s="155" t="s">
        <v>357</v>
      </c>
      <c r="AB52" s="254">
        <v>40.73713053702604</v>
      </c>
      <c r="AC52" s="254">
        <v>40.742233116453797</v>
      </c>
      <c r="AD52" s="155" t="s">
        <v>357</v>
      </c>
      <c r="AE52" s="254">
        <v>34.868791397863305</v>
      </c>
      <c r="AF52" s="254">
        <v>34.872885272349876</v>
      </c>
    </row>
    <row r="53" spans="2:32">
      <c r="B53" s="5"/>
      <c r="C53" s="5"/>
      <c r="D53" s="5"/>
      <c r="E53" s="5" t="s">
        <v>357</v>
      </c>
      <c r="F53" s="376">
        <f t="shared" si="24"/>
        <v>2028</v>
      </c>
      <c r="G53" s="111">
        <f>G51</f>
        <v>5503318.717468637</v>
      </c>
      <c r="H53" s="43"/>
      <c r="I53" s="5" t="s">
        <v>357</v>
      </c>
      <c r="J53" s="376">
        <f t="shared" si="25"/>
        <v>2028</v>
      </c>
      <c r="K53" s="111">
        <f>K51</f>
        <v>1530615.6099066611</v>
      </c>
      <c r="L53" s="5"/>
      <c r="M53" s="5" t="s">
        <v>357</v>
      </c>
      <c r="N53" s="376">
        <f t="shared" si="26"/>
        <v>2028</v>
      </c>
      <c r="O53" s="111">
        <f>O51</f>
        <v>5516736.1075789528</v>
      </c>
      <c r="P53" s="5"/>
      <c r="Q53" s="5"/>
      <c r="R53" s="5"/>
      <c r="S53" s="216"/>
      <c r="T53" s="5"/>
      <c r="U53" s="216"/>
      <c r="V53" s="220"/>
      <c r="W53" s="220"/>
      <c r="X53" s="217"/>
      <c r="AA53" s="155" t="s">
        <v>28</v>
      </c>
      <c r="AB53" s="254">
        <v>32.596708001946226</v>
      </c>
      <c r="AC53" s="254">
        <v>33.253133387073035</v>
      </c>
      <c r="AD53" s="165" t="s">
        <v>22</v>
      </c>
      <c r="AE53" s="255">
        <v>26.65073540105055</v>
      </c>
      <c r="AF53" s="255">
        <v>27.244797182607329</v>
      </c>
    </row>
    <row r="54" spans="2:32">
      <c r="B54" s="5"/>
      <c r="C54" s="5"/>
      <c r="D54" s="5"/>
      <c r="E54" s="5" t="s">
        <v>357</v>
      </c>
      <c r="F54" s="376">
        <f t="shared" si="24"/>
        <v>2029</v>
      </c>
      <c r="G54" s="111">
        <f>G53</f>
        <v>5503318.717468637</v>
      </c>
      <c r="H54" s="43"/>
      <c r="I54" s="5" t="s">
        <v>357</v>
      </c>
      <c r="J54" s="376">
        <f t="shared" si="25"/>
        <v>2029</v>
      </c>
      <c r="K54" s="111">
        <f>K53</f>
        <v>1530615.6099066611</v>
      </c>
      <c r="L54" s="5"/>
      <c r="M54" s="5" t="s">
        <v>357</v>
      </c>
      <c r="N54" s="376">
        <f t="shared" si="26"/>
        <v>2029</v>
      </c>
      <c r="O54" s="111">
        <f>O53</f>
        <v>5516736.1075789528</v>
      </c>
      <c r="P54" s="5"/>
      <c r="Q54" s="5"/>
      <c r="R54" s="5"/>
      <c r="S54" s="216"/>
      <c r="T54" s="5"/>
      <c r="U54" s="216"/>
      <c r="V54" s="220"/>
      <c r="W54" s="220"/>
      <c r="X54" s="217"/>
    </row>
    <row r="55" spans="2:32">
      <c r="B55" s="5"/>
      <c r="C55" s="5"/>
      <c r="D55" s="5"/>
      <c r="E55" s="363" t="s">
        <v>22</v>
      </c>
      <c r="F55" s="376">
        <f t="shared" si="24"/>
        <v>2026</v>
      </c>
      <c r="G55" s="111">
        <f>'SAR and RAR'!G55</f>
        <v>67795755.926224142</v>
      </c>
      <c r="H55" s="43"/>
      <c r="I55" s="363" t="s">
        <v>22</v>
      </c>
      <c r="J55" s="376">
        <f t="shared" si="25"/>
        <v>2026</v>
      </c>
      <c r="K55" s="111">
        <f>'SAR and RAR'!K55</f>
        <v>24784494.935273737</v>
      </c>
      <c r="L55" s="5"/>
      <c r="M55" s="363" t="s">
        <v>22</v>
      </c>
      <c r="N55" s="376">
        <f t="shared" si="26"/>
        <v>2026</v>
      </c>
      <c r="O55" s="60">
        <f>'SAR and RAR'!O55</f>
        <v>75364454.013400629</v>
      </c>
      <c r="P55" s="128"/>
      <c r="Q55" s="5"/>
      <c r="R55" s="5"/>
      <c r="S55" s="216"/>
      <c r="T55" s="5"/>
      <c r="U55" s="216"/>
      <c r="V55" s="217"/>
      <c r="W55" s="220"/>
      <c r="X55" s="217"/>
    </row>
    <row r="56" spans="2:32">
      <c r="B56" s="5"/>
      <c r="C56" s="5"/>
      <c r="D56" s="5"/>
      <c r="E56" s="363" t="s">
        <v>22</v>
      </c>
      <c r="F56" s="376">
        <f t="shared" si="24"/>
        <v>2027</v>
      </c>
      <c r="G56" s="111">
        <f>'SAR and RAR'!G56</f>
        <v>67051910.402557842</v>
      </c>
      <c r="H56" s="224"/>
      <c r="I56" s="363" t="s">
        <v>22</v>
      </c>
      <c r="J56" s="376">
        <f t="shared" si="25"/>
        <v>2027</v>
      </c>
      <c r="K56" s="111">
        <f>'SAR and RAR'!K56</f>
        <v>22918685.439028699</v>
      </c>
      <c r="L56" s="224"/>
      <c r="M56" s="363" t="s">
        <v>22</v>
      </c>
      <c r="N56" s="376">
        <f t="shared" si="26"/>
        <v>2027</v>
      </c>
      <c r="O56" s="60">
        <f>'SAR and RAR'!O56</f>
        <v>74917911.803428426</v>
      </c>
      <c r="P56" s="224"/>
      <c r="Q56" s="5"/>
      <c r="R56" s="5"/>
      <c r="S56" s="216"/>
      <c r="T56" s="5"/>
      <c r="U56" s="5"/>
      <c r="V56" s="5"/>
      <c r="W56" s="5"/>
      <c r="X56" s="5"/>
    </row>
    <row r="57" spans="2:32">
      <c r="B57" s="5"/>
      <c r="C57" s="5"/>
      <c r="D57" s="5"/>
      <c r="E57" s="363" t="s">
        <v>22</v>
      </c>
      <c r="F57" s="376">
        <f t="shared" si="24"/>
        <v>2028</v>
      </c>
      <c r="G57" s="111">
        <f>'SAR and RAR'!G57</f>
        <v>67795755.926224142</v>
      </c>
      <c r="H57" s="43"/>
      <c r="I57" s="363" t="s">
        <v>22</v>
      </c>
      <c r="J57" s="376">
        <f t="shared" si="25"/>
        <v>2028</v>
      </c>
      <c r="K57" s="111">
        <f>'SAR and RAR'!K57</f>
        <v>24784494.935273737</v>
      </c>
      <c r="L57" s="5"/>
      <c r="M57" s="363" t="s">
        <v>22</v>
      </c>
      <c r="N57" s="376">
        <f t="shared" si="26"/>
        <v>2028</v>
      </c>
      <c r="O57" s="60">
        <f>'SAR and RAR'!O57</f>
        <v>75364454.013400629</v>
      </c>
      <c r="P57" s="5"/>
      <c r="Q57" s="5"/>
      <c r="R57" s="5"/>
      <c r="S57" s="216"/>
      <c r="T57" s="5"/>
      <c r="U57" s="5"/>
      <c r="V57" s="5"/>
      <c r="W57" s="5"/>
      <c r="X57" s="5"/>
    </row>
    <row r="58" spans="2:32">
      <c r="B58" s="5"/>
      <c r="C58" s="5"/>
      <c r="D58" s="5"/>
      <c r="E58" s="363" t="s">
        <v>22</v>
      </c>
      <c r="F58" s="376">
        <f t="shared" si="24"/>
        <v>2029</v>
      </c>
      <c r="G58" s="111">
        <f>'SAR and RAR'!G58</f>
        <v>67795755.926224142</v>
      </c>
      <c r="H58" s="43"/>
      <c r="I58" s="363" t="s">
        <v>22</v>
      </c>
      <c r="J58" s="376">
        <f t="shared" si="25"/>
        <v>2029</v>
      </c>
      <c r="K58" s="111">
        <f>'SAR and RAR'!K58</f>
        <v>24784494.935273737</v>
      </c>
      <c r="L58" s="5"/>
      <c r="M58" s="363" t="s">
        <v>22</v>
      </c>
      <c r="N58" s="376">
        <f t="shared" si="26"/>
        <v>2029</v>
      </c>
      <c r="O58" s="60">
        <f>'SAR and RAR'!O58</f>
        <v>75364454.013400629</v>
      </c>
      <c r="P58" s="5"/>
      <c r="Q58" s="5"/>
      <c r="R58" s="5"/>
      <c r="S58" s="216"/>
      <c r="T58" s="5"/>
      <c r="U58" s="216"/>
      <c r="V58" s="217"/>
      <c r="W58" s="220"/>
      <c r="X58" s="217"/>
    </row>
    <row r="59" spans="2:32">
      <c r="B59" s="5"/>
      <c r="C59" s="5"/>
      <c r="D59" s="5"/>
      <c r="E59" s="5"/>
      <c r="F59" s="43"/>
      <c r="G59" s="43"/>
      <c r="H59" s="43"/>
      <c r="I59" s="43"/>
      <c r="J59" s="43"/>
      <c r="K59" s="43"/>
      <c r="L59" s="5"/>
      <c r="M59" s="5"/>
      <c r="N59" s="5"/>
      <c r="O59" s="5"/>
      <c r="P59" s="5"/>
      <c r="Q59" s="5"/>
      <c r="R59" s="5"/>
      <c r="S59" s="216"/>
      <c r="T59" s="5"/>
      <c r="U59" s="5"/>
      <c r="V59" s="215"/>
      <c r="W59" s="220"/>
      <c r="X59" s="217"/>
    </row>
    <row r="60" spans="2:32">
      <c r="B60" s="5"/>
      <c r="C60" s="5"/>
      <c r="D60" s="5"/>
      <c r="E60" s="382" t="s">
        <v>61</v>
      </c>
      <c r="F60" s="43"/>
      <c r="G60" s="43"/>
      <c r="H60" s="43"/>
      <c r="I60" s="43"/>
      <c r="J60" s="43"/>
      <c r="K60" s="43"/>
      <c r="L60" s="5"/>
      <c r="M60" s="5"/>
      <c r="N60" s="5"/>
      <c r="O60" s="5"/>
      <c r="P60" s="5"/>
      <c r="Q60" s="5"/>
      <c r="R60" s="5"/>
      <c r="S60" s="216"/>
      <c r="T60" s="536"/>
      <c r="U60" s="536"/>
      <c r="V60" s="5"/>
      <c r="W60" s="220"/>
      <c r="X60" s="217"/>
    </row>
    <row r="61" spans="2:32">
      <c r="B61" s="5"/>
      <c r="C61" s="5"/>
      <c r="D61" s="5"/>
      <c r="E61" s="5"/>
      <c r="F61" s="43"/>
      <c r="G61" s="43"/>
      <c r="H61" s="43"/>
      <c r="I61" s="43"/>
      <c r="J61" s="43"/>
      <c r="K61" s="43"/>
      <c r="L61" s="5"/>
      <c r="M61" s="5"/>
      <c r="N61" s="5"/>
      <c r="O61" s="5"/>
      <c r="P61" s="5"/>
      <c r="Q61" s="5"/>
      <c r="R61" s="5"/>
      <c r="S61" s="216"/>
      <c r="T61" s="5"/>
      <c r="U61" s="216"/>
      <c r="V61" s="5"/>
      <c r="W61" s="220"/>
      <c r="X61" s="220"/>
    </row>
    <row r="62" spans="2:32">
      <c r="B62" s="5"/>
      <c r="C62" s="5"/>
      <c r="D62" s="5"/>
      <c r="E62" s="5" t="str">
        <f>'SAR and RAR'!E62</f>
        <v>2026 Forecast adopted in D.25-12-027</v>
      </c>
      <c r="F62" s="43"/>
      <c r="G62" s="43"/>
      <c r="H62" s="43"/>
      <c r="I62" s="43"/>
      <c r="J62" s="43"/>
      <c r="K62" s="43"/>
      <c r="L62" s="5"/>
      <c r="M62" s="5"/>
      <c r="N62" s="5"/>
      <c r="O62" s="5"/>
      <c r="P62" s="5"/>
      <c r="Q62" s="5"/>
      <c r="R62" s="5"/>
      <c r="S62" s="216"/>
      <c r="T62" s="5"/>
      <c r="U62" s="5"/>
      <c r="V62" s="5"/>
      <c r="W62" s="5"/>
      <c r="X62" s="5"/>
    </row>
    <row r="63" spans="2:32">
      <c r="B63" s="5"/>
      <c r="C63" s="5"/>
      <c r="D63" s="5"/>
      <c r="E63" s="5" t="str">
        <f>'SAR and RAR'!E63</f>
        <v>2027 Forecast proposed in A.26-05-007</v>
      </c>
      <c r="F63" s="43"/>
      <c r="G63" s="43"/>
      <c r="H63" s="43"/>
      <c r="I63" s="43"/>
      <c r="J63" s="43"/>
      <c r="K63" s="43"/>
      <c r="L63" s="5"/>
      <c r="M63" s="5"/>
      <c r="N63" s="5"/>
      <c r="O63" s="5"/>
      <c r="P63" s="5"/>
      <c r="Q63" s="5"/>
      <c r="R63" s="5"/>
      <c r="S63" s="216"/>
      <c r="T63" s="5"/>
      <c r="U63" s="5"/>
      <c r="V63" s="215"/>
      <c r="W63" s="5"/>
      <c r="X63" s="5"/>
    </row>
    <row r="64" spans="2:32">
      <c r="B64" s="5"/>
      <c r="C64" s="5"/>
      <c r="D64" s="5"/>
      <c r="E64" s="5" t="str">
        <f>'SAR and RAR'!E64</f>
        <v>2028 Forecast: Set equal to the 2026</v>
      </c>
      <c r="F64" s="43"/>
      <c r="G64" s="43"/>
      <c r="H64" s="43"/>
      <c r="I64" s="43"/>
      <c r="J64" s="43"/>
      <c r="K64" s="43"/>
      <c r="L64" s="5"/>
      <c r="M64" s="5"/>
      <c r="N64" s="5"/>
      <c r="O64" s="5"/>
      <c r="P64" s="5"/>
      <c r="Q64" s="5"/>
      <c r="R64" s="5"/>
      <c r="S64" s="216"/>
      <c r="T64" s="536"/>
      <c r="U64" s="536"/>
      <c r="V64" s="217"/>
      <c r="W64" s="217"/>
      <c r="X64" s="217"/>
    </row>
    <row r="65" spans="2:24">
      <c r="B65" s="5"/>
      <c r="C65" s="5"/>
      <c r="D65" s="5"/>
      <c r="E65" s="5" t="str">
        <f>'SAR and RAR'!E65</f>
        <v>2029 Forecast: Set equal to the 2026</v>
      </c>
      <c r="F65" s="43"/>
      <c r="G65" s="43"/>
      <c r="H65" s="43"/>
      <c r="I65" s="43"/>
      <c r="J65" s="43"/>
      <c r="K65" s="43"/>
      <c r="L65" s="5"/>
      <c r="M65" s="5"/>
      <c r="N65" s="5"/>
      <c r="O65" s="5"/>
      <c r="P65" s="5"/>
      <c r="Q65" s="5"/>
      <c r="R65" s="5"/>
      <c r="S65" s="5"/>
      <c r="T65" s="5"/>
      <c r="U65" s="5"/>
      <c r="V65" s="5"/>
      <c r="W65" s="215"/>
      <c r="X65" s="215"/>
    </row>
    <row r="66" spans="2:24">
      <c r="B66" s="5"/>
      <c r="C66" s="5"/>
      <c r="D66" s="5"/>
      <c r="W66" s="5"/>
      <c r="X66" s="5"/>
    </row>
    <row r="67" spans="2:24">
      <c r="B67" s="5"/>
      <c r="C67" s="5"/>
      <c r="D67" s="5"/>
      <c r="W67" s="5"/>
      <c r="X67" s="5"/>
    </row>
    <row r="68" spans="2:24">
      <c r="B68" s="5"/>
      <c r="C68" s="5"/>
      <c r="D68" s="5"/>
      <c r="W68" s="5"/>
      <c r="X68" s="5"/>
    </row>
    <row r="69" spans="2:24">
      <c r="B69" s="5"/>
      <c r="C69" s="5"/>
      <c r="D69" s="5"/>
      <c r="W69" s="215"/>
      <c r="X69" s="215"/>
    </row>
    <row r="70" spans="2:24">
      <c r="B70" s="5"/>
      <c r="C70" s="5"/>
      <c r="D70" s="5"/>
      <c r="W70" s="5"/>
      <c r="X70" s="5"/>
    </row>
    <row r="71" spans="2:24">
      <c r="B71" s="5"/>
      <c r="C71" s="5"/>
      <c r="D71" s="5"/>
      <c r="W71" s="5"/>
      <c r="X71" s="5"/>
    </row>
    <row r="72" spans="2:24">
      <c r="B72" s="5"/>
      <c r="C72" s="5"/>
      <c r="D72" s="5"/>
      <c r="W72" s="215"/>
      <c r="X72" s="215"/>
    </row>
    <row r="73" spans="2:24">
      <c r="B73" s="5"/>
      <c r="C73" s="5"/>
      <c r="D73" s="5"/>
      <c r="W73" s="217"/>
      <c r="X73" s="217"/>
    </row>
    <row r="74" spans="2:24">
      <c r="B74" s="5"/>
      <c r="C74" s="5"/>
      <c r="D74" s="5"/>
      <c r="W74" s="5"/>
      <c r="X74" s="5"/>
    </row>
  </sheetData>
  <mergeCells count="15">
    <mergeCell ref="W17:X17"/>
    <mergeCell ref="W16:X16"/>
    <mergeCell ref="T64:U64"/>
    <mergeCell ref="AA25:AF25"/>
    <mergeCell ref="AI25:AN25"/>
    <mergeCell ref="F26:K26"/>
    <mergeCell ref="P26:U26"/>
    <mergeCell ref="T50:U50"/>
    <mergeCell ref="T60:U60"/>
    <mergeCell ref="C2:D2"/>
    <mergeCell ref="U16:V16"/>
    <mergeCell ref="U17:V17"/>
    <mergeCell ref="G4:T4"/>
    <mergeCell ref="G8:T8"/>
    <mergeCell ref="G17:T17"/>
  </mergeCells>
  <pageMargins left="0.7" right="0.7" top="0.75" bottom="0.75" header="0.3" footer="0.3"/>
  <pageSetup orientation="portrait" horizontalDpi="1200" verticalDpi="1200" r:id="rId1"/>
  <headerFooter>
    <oddHeader>&amp;R&amp;F</oddHeader>
    <oddFooter xml:space="preserve">&amp;C_x000D_&amp;1#&amp;"Aptos"&amp;12&amp;K000000 Public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12B33-5BCC-4468-B1F3-3C3E9F9FCE77}">
  <sheetPr codeName="Sheet14">
    <tabColor rgb="FFFFFF00"/>
  </sheetPr>
  <dimension ref="A1:AD41"/>
  <sheetViews>
    <sheetView tabSelected="1" workbookViewId="0"/>
  </sheetViews>
  <sheetFormatPr defaultColWidth="8.81640625" defaultRowHeight="14.5"/>
  <cols>
    <col min="1" max="1" width="7.453125" style="20" customWidth="1"/>
    <col min="2" max="2" width="14.453125" style="20" customWidth="1"/>
    <col min="3" max="4" width="13" style="20" customWidth="1"/>
    <col min="5" max="5" width="18" style="20" bestFit="1" customWidth="1"/>
    <col min="6" max="6" width="13.54296875" style="20" customWidth="1"/>
    <col min="7" max="7" width="16.26953125" style="20" customWidth="1"/>
    <col min="8" max="8" width="14.1796875" style="20" customWidth="1"/>
    <col min="9" max="9" width="15" style="20" customWidth="1"/>
    <col min="10" max="10" width="14" style="20" customWidth="1"/>
    <col min="11" max="11" width="15" style="20" bestFit="1" customWidth="1"/>
    <col min="12" max="12" width="13" style="20" customWidth="1"/>
    <col min="13" max="14" width="14.1796875" style="20" customWidth="1"/>
    <col min="15" max="15" width="14.54296875" style="20" customWidth="1"/>
    <col min="16" max="16" width="14.26953125" style="20" customWidth="1"/>
    <col min="17" max="17" width="9.1796875" style="20" customWidth="1"/>
    <col min="18" max="18" width="11.1796875" style="20" bestFit="1" customWidth="1"/>
    <col min="19" max="19" width="10.1796875" style="20" bestFit="1" customWidth="1"/>
    <col min="20" max="20" width="11.1796875" style="20" bestFit="1" customWidth="1"/>
    <col min="21" max="21" width="10.1796875" style="20" bestFit="1" customWidth="1"/>
    <col min="22" max="22" width="14.1796875" style="20" bestFit="1" customWidth="1"/>
    <col min="23" max="23" width="14" style="20" customWidth="1"/>
    <col min="24" max="24" width="9.453125" style="20" customWidth="1"/>
    <col min="25" max="28" width="15.7265625" style="20" bestFit="1" customWidth="1"/>
    <col min="29" max="29" width="12.26953125" style="20" customWidth="1"/>
    <col min="30" max="30" width="18.26953125" style="20" customWidth="1"/>
    <col min="31" max="32" width="8.81640625" style="20"/>
    <col min="33" max="33" width="28.54296875" style="20" customWidth="1"/>
    <col min="34" max="16384" width="8.81640625" style="20"/>
  </cols>
  <sheetData>
    <row r="1" spans="1:25">
      <c r="A1" s="383"/>
      <c r="B1" s="383"/>
      <c r="C1" s="383"/>
      <c r="D1" s="383"/>
      <c r="E1" s="383"/>
      <c r="F1" s="383"/>
      <c r="G1" s="383"/>
      <c r="H1" s="383"/>
      <c r="I1" s="383"/>
    </row>
    <row r="2" spans="1:25">
      <c r="A2" s="385"/>
      <c r="B2" s="557"/>
      <c r="C2" s="557"/>
      <c r="D2" s="557"/>
      <c r="F2" s="385"/>
    </row>
    <row r="3" spans="1:25">
      <c r="E3" s="558" t="s">
        <v>358</v>
      </c>
      <c r="F3" s="558"/>
      <c r="G3" s="558"/>
      <c r="H3" s="558"/>
      <c r="I3" s="558"/>
      <c r="J3" s="558"/>
      <c r="K3" s="558"/>
      <c r="M3" s="45"/>
      <c r="N3" s="45"/>
      <c r="O3" s="45"/>
      <c r="P3" s="471"/>
      <c r="Q3" s="471"/>
      <c r="R3" s="471"/>
      <c r="S3" s="471"/>
      <c r="T3" s="471"/>
      <c r="U3" s="471"/>
      <c r="V3" s="471"/>
    </row>
    <row r="4" spans="1:25" ht="15.75" customHeight="1">
      <c r="D4" s="5"/>
      <c r="E4" s="386">
        <f>Summary!D3</f>
        <v>2029</v>
      </c>
      <c r="F4" s="387">
        <f>Summary!L3</f>
        <v>46082</v>
      </c>
      <c r="G4" s="388">
        <f>Summary!L3</f>
        <v>46082</v>
      </c>
      <c r="H4" s="389" t="s">
        <v>20</v>
      </c>
      <c r="I4" s="389" t="s">
        <v>20</v>
      </c>
      <c r="J4" s="389" t="s">
        <v>20</v>
      </c>
      <c r="K4" s="389" t="s">
        <v>20</v>
      </c>
      <c r="L4" s="43"/>
      <c r="O4" s="5"/>
      <c r="P4" s="386"/>
      <c r="Q4" s="387"/>
      <c r="R4" s="388"/>
      <c r="S4" s="389"/>
      <c r="T4" s="389"/>
      <c r="U4" s="389"/>
      <c r="V4" s="389"/>
    </row>
    <row r="5" spans="1:25" ht="30.65" customHeight="1">
      <c r="D5" s="5"/>
      <c r="E5" s="389" t="s">
        <v>39</v>
      </c>
      <c r="F5" s="389" t="s">
        <v>24</v>
      </c>
      <c r="G5" s="389" t="s">
        <v>40</v>
      </c>
      <c r="H5" s="389" t="s">
        <v>162</v>
      </c>
      <c r="I5" s="389" t="s">
        <v>163</v>
      </c>
      <c r="J5" s="389" t="s">
        <v>164</v>
      </c>
      <c r="K5" s="389" t="s">
        <v>165</v>
      </c>
      <c r="L5" s="6"/>
      <c r="M5" s="266"/>
      <c r="N5" s="266"/>
      <c r="O5" s="6"/>
      <c r="P5" s="389"/>
      <c r="Q5" s="389"/>
      <c r="R5" s="389"/>
      <c r="S5" s="389"/>
      <c r="T5" s="389"/>
      <c r="U5" s="389"/>
      <c r="V5" s="389"/>
    </row>
    <row r="6" spans="1:25" ht="15.5">
      <c r="B6" s="390"/>
      <c r="D6" s="390"/>
      <c r="E6" s="5"/>
      <c r="F6" s="5"/>
      <c r="G6" s="5"/>
      <c r="J6" s="43"/>
      <c r="K6" s="43"/>
      <c r="L6" s="43"/>
      <c r="O6" s="390"/>
      <c r="P6" s="5"/>
      <c r="Q6" s="5"/>
      <c r="R6" s="5"/>
      <c r="U6" s="43"/>
      <c r="V6" s="43"/>
    </row>
    <row r="7" spans="1:25" ht="15.5">
      <c r="D7" s="472" t="s">
        <v>343</v>
      </c>
      <c r="E7" s="75">
        <f>HLOOKUP($E$4,$Y$33:$AB$41,2,FALSE)</f>
        <v>148431.96953137699</v>
      </c>
      <c r="F7" s="392">
        <v>0.47087000000000007</v>
      </c>
      <c r="G7" s="129">
        <f t="shared" ref="G7:G12" si="0">F7*E7</f>
        <v>69892.161493239488</v>
      </c>
      <c r="H7" s="393">
        <f>F7+(I$15-SUM($G$7:$G$14))/SUM($E$7:$E$12)</f>
        <v>0.45458415105830019</v>
      </c>
      <c r="I7" s="129">
        <f t="shared" ref="I7:I12" si="1">H7*E7</f>
        <v>67474.820859332496</v>
      </c>
      <c r="J7" s="393">
        <f t="shared" ref="J7:J12" si="2">F7+(K$15-SUM($G$7:$G$14))/SUM($E$7:$E$12)</f>
        <v>0.5142211019461006</v>
      </c>
      <c r="K7" s="129">
        <f t="shared" ref="K7:K12" si="3">J7*E7</f>
        <v>76326.850936454706</v>
      </c>
      <c r="L7" s="473"/>
      <c r="O7" s="391"/>
      <c r="P7" s="114"/>
      <c r="Q7" s="392"/>
      <c r="R7" s="113"/>
      <c r="S7" s="393"/>
      <c r="T7" s="113"/>
      <c r="U7" s="393"/>
      <c r="V7" s="113"/>
      <c r="W7" s="21"/>
    </row>
    <row r="8" spans="1:25" ht="15.5">
      <c r="D8" s="395" t="s">
        <v>341</v>
      </c>
      <c r="E8" s="75">
        <f>HLOOKUP($E$4,$Y$33:$AB$41,3,FALSE)</f>
        <v>102276.79442666098</v>
      </c>
      <c r="F8" s="392">
        <v>0.42164000000000007</v>
      </c>
      <c r="G8" s="129">
        <f t="shared" si="0"/>
        <v>43123.987602057343</v>
      </c>
      <c r="H8" s="393">
        <f t="shared" ref="H8:H12" si="4">F8+(I$15-SUM($G$7:$G$14))/SUM($E$7:$E$12)</f>
        <v>0.40535415105830019</v>
      </c>
      <c r="I8" s="129">
        <f t="shared" si="1"/>
        <v>41458.323177783452</v>
      </c>
      <c r="J8" s="393">
        <f t="shared" si="2"/>
        <v>0.4649911019461006</v>
      </c>
      <c r="K8" s="129">
        <f t="shared" si="3"/>
        <v>47557.79934396789</v>
      </c>
      <c r="L8" s="473"/>
      <c r="O8" s="395"/>
      <c r="P8" s="114"/>
      <c r="Q8" s="392"/>
      <c r="R8" s="113"/>
      <c r="S8" s="393"/>
      <c r="T8" s="113"/>
      <c r="U8" s="393"/>
      <c r="V8" s="113"/>
      <c r="W8" s="21"/>
      <c r="Y8" s="396"/>
    </row>
    <row r="9" spans="1:25" ht="15.5">
      <c r="D9" s="472" t="s">
        <v>340</v>
      </c>
      <c r="E9" s="75">
        <f>HLOOKUP($E$4,$Y$33:$AB$41,4,FALSE)</f>
        <v>331735.01479594107</v>
      </c>
      <c r="F9" s="392">
        <v>0.40083000000000002</v>
      </c>
      <c r="G9" s="129">
        <f t="shared" si="0"/>
        <v>132969.34598065706</v>
      </c>
      <c r="H9" s="393">
        <f t="shared" si="4"/>
        <v>0.38454415105830009</v>
      </c>
      <c r="I9" s="129">
        <f t="shared" si="1"/>
        <v>127566.75964101778</v>
      </c>
      <c r="J9" s="393">
        <f t="shared" si="2"/>
        <v>0.44418110194610055</v>
      </c>
      <c r="K9" s="129">
        <f t="shared" si="3"/>
        <v>147350.42442616707</v>
      </c>
      <c r="L9" s="473"/>
      <c r="O9" s="391"/>
      <c r="P9" s="114"/>
      <c r="Q9" s="392"/>
      <c r="R9" s="113"/>
      <c r="S9" s="393"/>
      <c r="T9" s="113"/>
      <c r="U9" s="393"/>
      <c r="V9" s="113"/>
      <c r="W9" s="21"/>
      <c r="Y9" s="396"/>
    </row>
    <row r="10" spans="1:25" ht="15.5">
      <c r="D10" s="395" t="s">
        <v>339</v>
      </c>
      <c r="E10" s="75">
        <f>HLOOKUP($E$4,$Y$33:$AB$41,5,FALSE)</f>
        <v>224629.25731840497</v>
      </c>
      <c r="F10" s="392">
        <v>0.39545000000000002</v>
      </c>
      <c r="G10" s="129">
        <f t="shared" si="0"/>
        <v>88829.639806563253</v>
      </c>
      <c r="H10" s="393">
        <f t="shared" si="4"/>
        <v>0.37916415105830015</v>
      </c>
      <c r="I10" s="129">
        <f t="shared" si="1"/>
        <v>85171.361653989472</v>
      </c>
      <c r="J10" s="393">
        <f t="shared" si="2"/>
        <v>0.43880110194610056</v>
      </c>
      <c r="K10" s="129">
        <f t="shared" si="3"/>
        <v>98567.565640650268</v>
      </c>
      <c r="L10" s="473"/>
      <c r="O10" s="395"/>
      <c r="P10" s="114"/>
      <c r="Q10" s="392"/>
      <c r="R10" s="113"/>
      <c r="S10" s="393"/>
      <c r="T10" s="113"/>
      <c r="U10" s="393"/>
      <c r="V10" s="113"/>
      <c r="W10" s="21"/>
      <c r="Y10" s="396"/>
    </row>
    <row r="11" spans="1:25" ht="15.5">
      <c r="D11" s="472" t="s">
        <v>338</v>
      </c>
      <c r="E11" s="75">
        <f>HLOOKUP($E$4,$Y$33:$AB$41,6,FALSE)</f>
        <v>650611.21810376388</v>
      </c>
      <c r="F11" s="392">
        <v>0.37933</v>
      </c>
      <c r="G11" s="129">
        <f t="shared" si="0"/>
        <v>246796.35336330076</v>
      </c>
      <c r="H11" s="393">
        <f t="shared" si="4"/>
        <v>0.36304415105830012</v>
      </c>
      <c r="I11" s="129">
        <f t="shared" si="1"/>
        <v>236200.59734548751</v>
      </c>
      <c r="J11" s="393">
        <f t="shared" si="2"/>
        <v>0.42268110194610053</v>
      </c>
      <c r="K11" s="129">
        <f t="shared" si="3"/>
        <v>275001.06660659367</v>
      </c>
      <c r="L11" s="473"/>
      <c r="O11" s="391"/>
      <c r="P11" s="114"/>
      <c r="Q11" s="392"/>
      <c r="R11" s="113"/>
      <c r="S11" s="393"/>
      <c r="T11" s="113"/>
      <c r="U11" s="393"/>
      <c r="V11" s="113"/>
      <c r="W11" s="394"/>
      <c r="Y11" s="396"/>
    </row>
    <row r="12" spans="1:25" ht="15.5">
      <c r="D12" s="472" t="s">
        <v>353</v>
      </c>
      <c r="E12" s="75">
        <f>HLOOKUP($E$4,$Y$33:$AB$41,7,FALSE)</f>
        <v>69528.629811378007</v>
      </c>
      <c r="F12" s="392">
        <v>0.36291000000000001</v>
      </c>
      <c r="G12" s="129">
        <f t="shared" si="0"/>
        <v>25232.635044847193</v>
      </c>
      <c r="H12" s="393">
        <f t="shared" si="4"/>
        <v>0.34662415105830013</v>
      </c>
      <c r="I12" s="129">
        <f t="shared" si="1"/>
        <v>24100.302282615721</v>
      </c>
      <c r="J12" s="393">
        <f t="shared" si="2"/>
        <v>0.40626110194610054</v>
      </c>
      <c r="K12" s="129">
        <f t="shared" si="3"/>
        <v>28246.777763972925</v>
      </c>
      <c r="L12" s="473"/>
      <c r="O12" s="395"/>
      <c r="P12" s="114"/>
      <c r="Q12" s="392"/>
      <c r="R12" s="113"/>
      <c r="S12" s="393"/>
      <c r="T12" s="113"/>
      <c r="U12" s="393"/>
      <c r="V12" s="113"/>
      <c r="W12" s="394"/>
      <c r="Y12" s="396"/>
    </row>
    <row r="13" spans="1:25" ht="15.5">
      <c r="L13" s="394"/>
      <c r="O13" s="395"/>
      <c r="P13" s="399"/>
      <c r="Q13" s="392"/>
      <c r="R13" s="129"/>
      <c r="S13" s="405"/>
      <c r="T13" s="398"/>
      <c r="U13" s="5"/>
      <c r="V13" s="398"/>
      <c r="X13" s="396"/>
      <c r="Y13" s="396"/>
    </row>
    <row r="14" spans="1:25" ht="15.5">
      <c r="D14" s="395" t="s">
        <v>355</v>
      </c>
      <c r="E14" s="75">
        <f>HLOOKUP($E$4,$Y$33:$AB$41,9,FALSE)</f>
        <v>824.49997799000005</v>
      </c>
      <c r="F14" s="392">
        <v>0.32854</v>
      </c>
      <c r="G14" s="129">
        <f>F14*E14*365/12</f>
        <v>8239.3038592187204</v>
      </c>
      <c r="H14" s="392">
        <f>F14</f>
        <v>0.32854</v>
      </c>
      <c r="I14" s="129">
        <f>H14*E14*365/12</f>
        <v>8239.3038592187204</v>
      </c>
      <c r="J14" s="392">
        <f>H14</f>
        <v>0.32854</v>
      </c>
      <c r="K14" s="129">
        <f>J14*E14*365/12</f>
        <v>8239.3038592187204</v>
      </c>
      <c r="L14" s="394"/>
      <c r="O14" s="395"/>
      <c r="P14" s="399"/>
      <c r="Q14" s="392"/>
      <c r="R14" s="399"/>
      <c r="S14" s="405"/>
      <c r="T14" s="399"/>
      <c r="U14" s="399"/>
      <c r="V14" s="399"/>
      <c r="Y14" s="396"/>
    </row>
    <row r="15" spans="1:25" ht="15.5">
      <c r="D15" s="400" t="s">
        <v>375</v>
      </c>
      <c r="E15" s="401"/>
      <c r="F15" s="392"/>
      <c r="G15" s="129">
        <f>SUM(G7:G14)</f>
        <v>615083.42714988382</v>
      </c>
      <c r="H15" s="399"/>
      <c r="I15" s="129">
        <f>'SAR and RAR (B-1)'!V19</f>
        <v>590211.46881944512</v>
      </c>
      <c r="J15" s="129"/>
      <c r="K15" s="129">
        <f>'SAR and RAR (B-1)'!X19</f>
        <v>681289.78857702529</v>
      </c>
      <c r="L15" s="394"/>
      <c r="O15" s="474"/>
      <c r="P15" s="399"/>
      <c r="Q15" s="392"/>
      <c r="R15" s="399"/>
      <c r="S15" s="405"/>
      <c r="T15" s="399"/>
      <c r="U15" s="399"/>
      <c r="V15" s="399"/>
    </row>
    <row r="16" spans="1:25" ht="15.5">
      <c r="P16" s="399"/>
      <c r="Q16" s="392"/>
      <c r="S16" s="405"/>
    </row>
    <row r="17" spans="2:30" ht="15.5">
      <c r="O17" s="404"/>
      <c r="S17" s="405"/>
    </row>
    <row r="18" spans="2:30" ht="15.5">
      <c r="S18" s="405"/>
    </row>
    <row r="19" spans="2:30">
      <c r="B19" s="406"/>
      <c r="E19" s="403"/>
      <c r="P19" s="20" t="s">
        <v>652</v>
      </c>
    </row>
    <row r="20" spans="2:30">
      <c r="B20" s="407" t="s">
        <v>359</v>
      </c>
      <c r="C20" s="407"/>
      <c r="E20" s="408" t="s">
        <v>20</v>
      </c>
      <c r="F20" s="408" t="s">
        <v>20</v>
      </c>
      <c r="H20" s="407"/>
      <c r="I20" s="407"/>
      <c r="J20" s="407"/>
      <c r="K20" s="407"/>
      <c r="L20" s="407"/>
      <c r="M20" s="407"/>
      <c r="N20" s="407"/>
      <c r="P20" s="409" t="s">
        <v>350</v>
      </c>
      <c r="Q20" s="563" t="s">
        <v>143</v>
      </c>
      <c r="R20" s="564"/>
      <c r="S20" s="565"/>
      <c r="T20" s="563" t="s">
        <v>144</v>
      </c>
      <c r="U20" s="564"/>
      <c r="V20" s="565"/>
      <c r="X20" s="90"/>
      <c r="Y20" s="475"/>
      <c r="Z20" s="475"/>
      <c r="AA20" s="475"/>
      <c r="AB20" s="475"/>
      <c r="AC20" s="549"/>
      <c r="AD20" s="549"/>
    </row>
    <row r="21" spans="2:30">
      <c r="B21" s="413" t="s">
        <v>24</v>
      </c>
      <c r="C21" s="414">
        <v>46023</v>
      </c>
      <c r="D21" s="414">
        <f>Summary!L3</f>
        <v>46082</v>
      </c>
      <c r="E21" s="415" t="s">
        <v>169</v>
      </c>
      <c r="F21" s="415" t="s">
        <v>170</v>
      </c>
      <c r="P21" s="476" t="s">
        <v>349</v>
      </c>
      <c r="Q21" s="477" t="s">
        <v>348</v>
      </c>
      <c r="R21" s="478" t="s">
        <v>347</v>
      </c>
      <c r="S21" s="477" t="s">
        <v>346</v>
      </c>
      <c r="T21" s="478" t="s">
        <v>348</v>
      </c>
      <c r="U21" s="477" t="s">
        <v>346</v>
      </c>
      <c r="V21" s="477" t="s">
        <v>354</v>
      </c>
      <c r="W21" s="477" t="s">
        <v>132</v>
      </c>
      <c r="Y21" s="549"/>
      <c r="Z21" s="549"/>
      <c r="AA21" s="549"/>
      <c r="AB21" s="549"/>
      <c r="AC21" s="40"/>
      <c r="AD21" s="40"/>
    </row>
    <row r="22" spans="2:30">
      <c r="B22" s="472" t="s">
        <v>343</v>
      </c>
      <c r="C22" s="54">
        <v>0.47794000000000003</v>
      </c>
      <c r="D22" s="54">
        <f t="shared" ref="D22:D27" si="5">F7</f>
        <v>0.47087000000000007</v>
      </c>
      <c r="E22" s="54">
        <f t="shared" ref="E22:E27" si="6">H7</f>
        <v>0.45458415105830019</v>
      </c>
      <c r="F22" s="54">
        <f t="shared" ref="F22:F27" si="7">J7</f>
        <v>0.5142211019461006</v>
      </c>
      <c r="I22" s="396"/>
      <c r="J22" s="396"/>
      <c r="M22" s="396"/>
      <c r="N22" s="396"/>
      <c r="P22" s="479" t="s">
        <v>345</v>
      </c>
      <c r="Q22" s="480">
        <v>228</v>
      </c>
      <c r="R22" s="480">
        <v>180</v>
      </c>
      <c r="S22" s="480">
        <v>530</v>
      </c>
      <c r="T22" s="480">
        <v>174</v>
      </c>
      <c r="U22" s="480">
        <v>535</v>
      </c>
      <c r="V22" s="480">
        <v>49</v>
      </c>
      <c r="W22" s="481">
        <f>SUM(Q22:V22)</f>
        <v>1696</v>
      </c>
      <c r="Y22" s="482"/>
      <c r="Z22" s="482"/>
      <c r="AA22" s="482"/>
      <c r="AB22" s="482"/>
      <c r="AC22" s="110"/>
      <c r="AD22" s="110"/>
    </row>
    <row r="23" spans="2:30" ht="15">
      <c r="B23" s="395" t="s">
        <v>341</v>
      </c>
      <c r="C23" s="54">
        <v>0.42871000000000004</v>
      </c>
      <c r="D23" s="54">
        <f t="shared" si="5"/>
        <v>0.42164000000000007</v>
      </c>
      <c r="E23" s="54">
        <f t="shared" si="6"/>
        <v>0.40535415105830019</v>
      </c>
      <c r="F23" s="54">
        <f t="shared" si="7"/>
        <v>0.4649911019461006</v>
      </c>
      <c r="I23" s="396"/>
      <c r="J23" s="396"/>
      <c r="M23" s="396"/>
      <c r="N23" s="396"/>
      <c r="P23" s="479" t="s">
        <v>344</v>
      </c>
      <c r="Q23" s="480">
        <v>408</v>
      </c>
      <c r="R23" s="480">
        <v>343</v>
      </c>
      <c r="S23" s="480">
        <v>957</v>
      </c>
      <c r="T23" s="480">
        <v>238</v>
      </c>
      <c r="U23" s="480">
        <v>780</v>
      </c>
      <c r="V23" s="480">
        <v>123</v>
      </c>
      <c r="W23" s="481">
        <f t="shared" ref="W23:W24" si="8">SUM(Q23:V23)</f>
        <v>2849</v>
      </c>
      <c r="Y23" s="482"/>
      <c r="Z23" s="482"/>
      <c r="AA23" s="483"/>
      <c r="AB23" s="482"/>
      <c r="AC23" s="110"/>
      <c r="AD23" s="110"/>
    </row>
    <row r="24" spans="2:30">
      <c r="B24" s="472" t="s">
        <v>340</v>
      </c>
      <c r="C24" s="54">
        <v>0.40789999999999998</v>
      </c>
      <c r="D24" s="54">
        <f t="shared" si="5"/>
        <v>0.40083000000000002</v>
      </c>
      <c r="E24" s="54">
        <f t="shared" si="6"/>
        <v>0.38454415105830009</v>
      </c>
      <c r="F24" s="54">
        <f t="shared" si="7"/>
        <v>0.44418110194610055</v>
      </c>
      <c r="I24" s="396"/>
      <c r="J24" s="396"/>
      <c r="M24" s="396"/>
      <c r="N24" s="396"/>
      <c r="P24" s="484" t="s">
        <v>342</v>
      </c>
      <c r="Q24" s="480">
        <v>1111</v>
      </c>
      <c r="R24" s="480">
        <v>732</v>
      </c>
      <c r="S24" s="480">
        <v>1927</v>
      </c>
      <c r="T24" s="480">
        <v>722</v>
      </c>
      <c r="U24" s="480">
        <v>1607</v>
      </c>
      <c r="V24" s="480">
        <v>265</v>
      </c>
      <c r="W24" s="481">
        <f t="shared" si="8"/>
        <v>6364</v>
      </c>
      <c r="Y24" s="482"/>
      <c r="Z24" s="482"/>
      <c r="AA24" s="482"/>
      <c r="AB24" s="482"/>
      <c r="AC24" s="110"/>
      <c r="AD24" s="110"/>
    </row>
    <row r="25" spans="2:30" ht="15">
      <c r="B25" s="395" t="s">
        <v>339</v>
      </c>
      <c r="C25" s="54">
        <v>0.40251999999999999</v>
      </c>
      <c r="D25" s="54">
        <f t="shared" si="5"/>
        <v>0.39545000000000002</v>
      </c>
      <c r="E25" s="54">
        <f t="shared" si="6"/>
        <v>0.37916415105830015</v>
      </c>
      <c r="F25" s="54">
        <f t="shared" si="7"/>
        <v>0.43880110194610056</v>
      </c>
      <c r="I25" s="396"/>
      <c r="J25" s="396"/>
      <c r="M25" s="396"/>
      <c r="N25" s="396"/>
      <c r="P25" s="485"/>
      <c r="Q25" s="486"/>
      <c r="R25" s="486"/>
      <c r="S25" s="486"/>
      <c r="T25" s="486"/>
      <c r="U25" s="112"/>
      <c r="V25" s="112"/>
      <c r="Y25" s="482"/>
      <c r="Z25" s="483"/>
      <c r="AA25" s="482"/>
      <c r="AB25" s="482"/>
      <c r="AC25" s="110"/>
      <c r="AD25" s="110"/>
    </row>
    <row r="26" spans="2:30" ht="15">
      <c r="B26" s="472" t="s">
        <v>338</v>
      </c>
      <c r="C26" s="54">
        <v>0.38639999999999997</v>
      </c>
      <c r="D26" s="54">
        <f t="shared" si="5"/>
        <v>0.37933</v>
      </c>
      <c r="E26" s="54">
        <f t="shared" si="6"/>
        <v>0.36304415105830012</v>
      </c>
      <c r="F26" s="54">
        <f t="shared" si="7"/>
        <v>0.42268110194610053</v>
      </c>
      <c r="I26" s="396"/>
      <c r="J26" s="396"/>
      <c r="M26" s="396"/>
      <c r="N26" s="396"/>
      <c r="Q26" s="482"/>
      <c r="R26" s="482"/>
      <c r="S26" s="482"/>
      <c r="T26" s="482"/>
      <c r="U26" s="110"/>
      <c r="V26" s="110"/>
      <c r="Y26" s="482"/>
      <c r="Z26" s="482"/>
      <c r="AA26" s="482"/>
      <c r="AB26" s="483"/>
      <c r="AC26" s="110"/>
      <c r="AD26" s="110"/>
    </row>
    <row r="27" spans="2:30">
      <c r="B27" s="472" t="s">
        <v>353</v>
      </c>
      <c r="C27" s="54">
        <v>0.36997999999999998</v>
      </c>
      <c r="D27" s="54">
        <f t="shared" si="5"/>
        <v>0.36291000000000001</v>
      </c>
      <c r="E27" s="54">
        <f t="shared" si="6"/>
        <v>0.34662415105830013</v>
      </c>
      <c r="F27" s="54">
        <f t="shared" si="7"/>
        <v>0.40626110194610054</v>
      </c>
      <c r="I27" s="396"/>
      <c r="J27" s="396"/>
      <c r="M27" s="396"/>
      <c r="N27" s="396"/>
      <c r="Q27" s="482"/>
      <c r="R27" s="482"/>
      <c r="S27" s="482"/>
      <c r="T27" s="482"/>
      <c r="U27" s="110"/>
      <c r="V27" s="110"/>
      <c r="Y27" s="482"/>
      <c r="Z27" s="482"/>
      <c r="AA27" s="482"/>
      <c r="AB27" s="482"/>
      <c r="AC27" s="110"/>
      <c r="AD27" s="110"/>
    </row>
    <row r="28" spans="2:30">
      <c r="B28" s="395" t="s">
        <v>355</v>
      </c>
      <c r="C28" s="54">
        <v>0.32854</v>
      </c>
      <c r="D28" s="54">
        <f>F14</f>
        <v>0.32854</v>
      </c>
      <c r="E28" s="54">
        <f>H14</f>
        <v>0.32854</v>
      </c>
      <c r="F28" s="54">
        <f>J14</f>
        <v>0.32854</v>
      </c>
      <c r="Q28" s="21"/>
    </row>
    <row r="29" spans="2:30" ht="15" thickBot="1">
      <c r="B29" s="406"/>
      <c r="C29" s="251"/>
      <c r="D29" s="252"/>
      <c r="E29" s="253"/>
      <c r="F29" s="253"/>
      <c r="G29" s="487"/>
      <c r="H29" s="487"/>
      <c r="I29" s="487"/>
      <c r="J29" s="487"/>
      <c r="N29" s="21"/>
    </row>
    <row r="30" spans="2:30" ht="15" thickBot="1">
      <c r="B30" s="406"/>
      <c r="C30" s="566" t="s">
        <v>357</v>
      </c>
      <c r="D30" s="566"/>
      <c r="E30" s="566"/>
      <c r="F30" s="566"/>
      <c r="G30" s="566"/>
      <c r="H30" s="566"/>
      <c r="I30" s="566"/>
      <c r="J30" s="566"/>
      <c r="L30" s="406"/>
    </row>
    <row r="31" spans="2:30">
      <c r="B31" s="406"/>
      <c r="C31" s="550">
        <f>C21</f>
        <v>46023</v>
      </c>
      <c r="D31" s="551"/>
      <c r="E31" s="550">
        <f>D21</f>
        <v>46082</v>
      </c>
      <c r="F31" s="551"/>
      <c r="G31" s="552" t="str">
        <f>_xlfn.TEXTJOIN(" ",TRUE,E20:E21)</f>
        <v>Proposed Authorized</v>
      </c>
      <c r="H31" s="552"/>
      <c r="I31" s="552" t="str">
        <f>_xlfn.TEXTJOIN(" ",TRUE,F20:F21)</f>
        <v>Proposed w/Pending</v>
      </c>
      <c r="J31" s="552"/>
      <c r="L31" s="406"/>
      <c r="M31" s="115"/>
      <c r="N31" s="116"/>
      <c r="O31" s="115"/>
      <c r="P31" s="116"/>
      <c r="Q31" s="117"/>
      <c r="R31" s="117"/>
      <c r="S31" s="98"/>
      <c r="T31" s="117"/>
    </row>
    <row r="32" spans="2:30">
      <c r="B32" s="406"/>
      <c r="C32" s="56" t="s">
        <v>143</v>
      </c>
      <c r="D32" s="56" t="s">
        <v>144</v>
      </c>
      <c r="E32" s="56" t="s">
        <v>143</v>
      </c>
      <c r="F32" s="56" t="s">
        <v>144</v>
      </c>
      <c r="G32" s="56" t="s">
        <v>143</v>
      </c>
      <c r="H32" s="56" t="s">
        <v>144</v>
      </c>
      <c r="I32" s="56" t="s">
        <v>143</v>
      </c>
      <c r="J32" s="56" t="s">
        <v>144</v>
      </c>
      <c r="L32" s="406"/>
      <c r="M32" s="56"/>
      <c r="N32" s="56"/>
      <c r="O32" s="56"/>
      <c r="P32" s="56"/>
      <c r="Q32" s="56"/>
      <c r="R32" s="56"/>
      <c r="S32" s="56"/>
      <c r="T32" s="56"/>
    </row>
    <row r="33" spans="2:28">
      <c r="B33" s="20" t="s">
        <v>345</v>
      </c>
      <c r="C33" s="56">
        <f>SUM(SUM($C$22*$Q22,$C$23*$R22,$C$24*$S22),($C$28*365.25/12))</f>
        <v>412.32505624999999</v>
      </c>
      <c r="D33" s="56">
        <f>SUM(SUM($C$25*$T22,$C$26*$U22,$C$27*$V22),($C$28*365.25/12))</f>
        <v>304.89143624999997</v>
      </c>
      <c r="E33" s="56">
        <f>SUM(SUM($D$22*$Q22,$D$23*$R22,$D$24*$S22),($D$28*365.25/12))</f>
        <v>405.69339625000009</v>
      </c>
      <c r="F33" s="56">
        <f>SUM(SUM($D$25*$T22,$D$26*$U22,$D$27*$V22),($D$28*365.25/12))</f>
        <v>299.53237625000008</v>
      </c>
      <c r="G33" s="56">
        <f>SUM(SUM($E$22*$Q22,$E$23*$R22,$E$24*$S22),($E$28*365.25/12))</f>
        <v>390.41726994268549</v>
      </c>
      <c r="H33" s="56">
        <f>SUM(SUM($E$25*$T22,$E$26*$U22,$E$27*$V22),($E$28*365.25/12))</f>
        <v>287.18770275219151</v>
      </c>
      <c r="I33" s="56">
        <f>SUM(SUM($F$22*$Q22,$F$23*$R22,$F$24*$S22),($F$28*365.25/12))</f>
        <v>446.35672987544234</v>
      </c>
      <c r="J33" s="56">
        <f>SUM(SUM($F$25*$T22,$F$26*$U22,$F$27*$V22),($F$28*365.25/12))</f>
        <v>332.39251152514424</v>
      </c>
      <c r="M33" s="56"/>
      <c r="N33" s="56"/>
      <c r="O33" s="56"/>
      <c r="P33" s="56"/>
      <c r="Q33" s="56"/>
      <c r="R33" s="56"/>
      <c r="S33" s="56"/>
      <c r="T33" s="56"/>
      <c r="W33" s="20" t="s">
        <v>276</v>
      </c>
      <c r="X33" s="20" t="s">
        <v>357</v>
      </c>
      <c r="Y33" s="20">
        <f>'Res Bill Impact'!Y38</f>
        <v>2026</v>
      </c>
      <c r="Z33" s="20">
        <f>Y33+1</f>
        <v>2027</v>
      </c>
      <c r="AA33" s="20">
        <f>Z33+1</f>
        <v>2028</v>
      </c>
      <c r="AB33" s="20">
        <f>AA33+1</f>
        <v>2029</v>
      </c>
    </row>
    <row r="34" spans="2:28" ht="15.5">
      <c r="B34" s="20" t="s">
        <v>344</v>
      </c>
      <c r="C34" s="56">
        <f>SUM(SUM($C$22*$Q23,$C$23*$R23,$C$24*$S23),($C$28*365.25/12))</f>
        <v>742.40728624999997</v>
      </c>
      <c r="D34" s="56">
        <f>SUM(SUM($C$25*$T23,$C$26*$U23,$C$27*$V23),($C$28*365.25/12))</f>
        <v>452.69923625000001</v>
      </c>
      <c r="E34" s="56">
        <f>SUM(SUM($D$22*$Q23,$D$23*$R23,$D$24*$S23),($D$28*365.25/12))</f>
        <v>730.33172625000009</v>
      </c>
      <c r="F34" s="56">
        <f>SUM(SUM($D$25*$T23,$D$26*$U23,$D$27*$V23),($D$28*365.25/12))</f>
        <v>444.63236625000002</v>
      </c>
      <c r="G34" s="56">
        <f>SUM(SUM($E$22*$Q23,$E$23*$R23,$E$24*$S23),($E$28*365.25/12))</f>
        <v>702.51549625757661</v>
      </c>
      <c r="H34" s="56">
        <f>SUM(SUM($E$25*$T23,$E$26*$U23,$E$27*$V23),($E$28*365.25/12))</f>
        <v>426.05021260752051</v>
      </c>
      <c r="I34" s="56">
        <f>SUM(SUM($F$22*$Q23,$F$23*$R23,$F$24*$S23),($F$28*365.25/12))</f>
        <v>804.37540837393976</v>
      </c>
      <c r="J34" s="56">
        <f>SUM(SUM($F$25*$T23,$F$26*$U23,$F$27*$V23),($F$28*365.25/12))</f>
        <v>494.09597357050075</v>
      </c>
      <c r="M34" s="56"/>
      <c r="N34" s="56"/>
      <c r="O34" s="56"/>
      <c r="P34" s="56"/>
      <c r="Q34" s="56"/>
      <c r="R34" s="56"/>
      <c r="S34" s="56"/>
      <c r="T34" s="56"/>
      <c r="V34" s="21" t="s">
        <v>143</v>
      </c>
      <c r="W34" s="21" t="s">
        <v>348</v>
      </c>
      <c r="X34" s="21" t="s">
        <v>348</v>
      </c>
      <c r="Y34" s="75">
        <v>148431.96953137699</v>
      </c>
      <c r="Z34" s="75">
        <v>159126.03905212201</v>
      </c>
      <c r="AA34" s="75">
        <f>Y34</f>
        <v>148431.96953137699</v>
      </c>
      <c r="AB34" s="75">
        <f>AA34</f>
        <v>148431.96953137699</v>
      </c>
    </row>
    <row r="35" spans="2:28" ht="15.5">
      <c r="B35" s="20" t="s">
        <v>342</v>
      </c>
      <c r="C35" s="56">
        <f>SUM(SUM($C$22*$Q24,$C$23*$R24,$C$24*$S24),($C$28*365.25/12))</f>
        <v>1640.8302962499999</v>
      </c>
      <c r="D35" s="56">
        <f>SUM(SUM($C$25*$T24,$C$26*$U24,$C$27*$V24),($C$28*365.25/12))</f>
        <v>1019.60887625</v>
      </c>
      <c r="E35" s="56">
        <f>SUM(SUM($D$22*$Q24,$D$23*$R24,$D$24*$S24),($D$28*365.25/12))</f>
        <v>1614.1763962500002</v>
      </c>
      <c r="F35" s="56">
        <f>SUM(SUM($D$25*$T24,$D$26*$U24,$D$27*$V24),($D$28*365.25/12))</f>
        <v>1001.26929625</v>
      </c>
      <c r="G35" s="56">
        <f>SUM(SUM($E$22*$Q24,$E$23*$R24,$E$24*$S24),($E$28*365.25/12))</f>
        <v>1552.7787457397915</v>
      </c>
      <c r="H35" s="56">
        <f>SUM(SUM($E$25*$T24,$E$26*$U24,$E$27*$V24),($E$28*365.25/12))</f>
        <v>959.02380409523062</v>
      </c>
      <c r="I35" s="56">
        <f>SUM(SUM($F$22*$Q24,$F$23*$R24,$F$24*$S24),($F$28*365.25/12))</f>
        <v>1777.6100505867992</v>
      </c>
      <c r="J35" s="56">
        <f>SUM(SUM($F$25*$T24,$F$26*$U24,$F$27*$V24),($F$28*365.25/12))</f>
        <v>1113.7220546981848</v>
      </c>
      <c r="M35" s="56"/>
      <c r="N35" s="56"/>
      <c r="O35" s="56"/>
      <c r="P35" s="56"/>
      <c r="Q35" s="56"/>
      <c r="R35" s="56"/>
      <c r="S35" s="56"/>
      <c r="T35" s="56"/>
      <c r="V35" s="21" t="s">
        <v>143</v>
      </c>
      <c r="W35" s="21" t="s">
        <v>360</v>
      </c>
      <c r="X35" s="21" t="s">
        <v>360</v>
      </c>
      <c r="Y35" s="75">
        <v>102276.79442666098</v>
      </c>
      <c r="Z35" s="75">
        <v>110922.120923922</v>
      </c>
      <c r="AA35" s="75">
        <f t="shared" ref="AA35:AA41" si="9">Y35</f>
        <v>102276.79442666098</v>
      </c>
      <c r="AB35" s="75">
        <f t="shared" ref="AB35:AB41" si="10">AA35</f>
        <v>102276.79442666098</v>
      </c>
    </row>
    <row r="36" spans="2:28" ht="15.5">
      <c r="C36" s="56"/>
      <c r="D36" s="56"/>
      <c r="E36" s="56"/>
      <c r="F36" s="56"/>
      <c r="G36" s="56"/>
      <c r="H36" s="56"/>
      <c r="I36" s="56"/>
      <c r="J36" s="56"/>
      <c r="M36" s="56"/>
      <c r="N36" s="56"/>
      <c r="O36" s="56"/>
      <c r="P36" s="56"/>
      <c r="Q36" s="56"/>
      <c r="R36" s="56"/>
      <c r="S36" s="56"/>
      <c r="T36" s="56"/>
      <c r="V36" s="21" t="s">
        <v>143</v>
      </c>
      <c r="W36" s="21" t="s">
        <v>361</v>
      </c>
      <c r="X36" s="21" t="s">
        <v>361</v>
      </c>
      <c r="Y36" s="75">
        <v>331735.01479594107</v>
      </c>
      <c r="Z36" s="75">
        <v>355461.85211889603</v>
      </c>
      <c r="AA36" s="75">
        <f t="shared" si="9"/>
        <v>331735.01479594107</v>
      </c>
      <c r="AB36" s="75">
        <f t="shared" si="10"/>
        <v>331735.01479594107</v>
      </c>
    </row>
    <row r="37" spans="2:28" ht="15.5">
      <c r="C37" s="56"/>
      <c r="D37" s="56"/>
      <c r="E37" s="56"/>
      <c r="F37" s="56"/>
      <c r="G37" s="124"/>
      <c r="H37" s="124"/>
      <c r="I37" s="56"/>
      <c r="J37" s="56"/>
      <c r="M37" s="56"/>
      <c r="N37" s="56"/>
      <c r="O37" s="56"/>
      <c r="P37" s="56"/>
      <c r="Q37" s="56"/>
      <c r="R37" s="56"/>
      <c r="S37" s="56"/>
      <c r="T37" s="56"/>
      <c r="V37" s="21" t="s">
        <v>144</v>
      </c>
      <c r="W37" s="21" t="s">
        <v>348</v>
      </c>
      <c r="X37" s="21" t="s">
        <v>360</v>
      </c>
      <c r="Y37" s="75">
        <v>224629.25731840497</v>
      </c>
      <c r="Z37" s="75">
        <v>236378.485566035</v>
      </c>
      <c r="AA37" s="75">
        <f t="shared" si="9"/>
        <v>224629.25731840497</v>
      </c>
      <c r="AB37" s="75">
        <f t="shared" si="10"/>
        <v>224629.25731840497</v>
      </c>
    </row>
    <row r="38" spans="2:28" ht="15" customHeight="1">
      <c r="C38" s="56"/>
      <c r="D38" s="56"/>
      <c r="E38" s="56"/>
      <c r="F38" s="56"/>
      <c r="G38" s="124"/>
      <c r="H38" s="124"/>
      <c r="I38" s="56"/>
      <c r="J38" s="56"/>
      <c r="M38" s="56"/>
      <c r="N38" s="56"/>
      <c r="O38" s="56"/>
      <c r="P38" s="56"/>
      <c r="Q38" s="56"/>
      <c r="R38" s="56"/>
      <c r="S38" s="56"/>
      <c r="T38" s="56"/>
      <c r="V38" s="21" t="s">
        <v>144</v>
      </c>
      <c r="W38" s="21" t="s">
        <v>361</v>
      </c>
      <c r="X38" s="21" t="s">
        <v>361</v>
      </c>
      <c r="Y38" s="75">
        <v>650611.21810376388</v>
      </c>
      <c r="Z38" s="75">
        <v>693111.97492053208</v>
      </c>
      <c r="AA38" s="75">
        <f t="shared" si="9"/>
        <v>650611.21810376388</v>
      </c>
      <c r="AB38" s="75">
        <f t="shared" si="10"/>
        <v>650611.21810376388</v>
      </c>
    </row>
    <row r="39" spans="2:28" ht="15" customHeight="1">
      <c r="C39" s="56"/>
      <c r="D39" s="56"/>
      <c r="E39" s="56"/>
      <c r="F39" s="56"/>
      <c r="G39" s="124"/>
      <c r="H39" s="124"/>
      <c r="I39" s="56"/>
      <c r="J39" s="56"/>
      <c r="M39" s="56"/>
      <c r="N39" s="56"/>
      <c r="O39" s="56"/>
      <c r="P39" s="56"/>
      <c r="Q39" s="56"/>
      <c r="R39" s="56"/>
      <c r="S39" s="56"/>
      <c r="T39" s="56"/>
      <c r="V39" s="21" t="s">
        <v>144</v>
      </c>
      <c r="W39" s="21" t="s">
        <v>362</v>
      </c>
      <c r="X39" s="21" t="s">
        <v>363</v>
      </c>
      <c r="Y39" s="75">
        <v>69528.629811378007</v>
      </c>
      <c r="Z39" s="75">
        <v>77413.600982413016</v>
      </c>
      <c r="AA39" s="75">
        <f t="shared" si="9"/>
        <v>69528.629811378007</v>
      </c>
      <c r="AB39" s="75">
        <f t="shared" si="10"/>
        <v>69528.629811378007</v>
      </c>
    </row>
    <row r="40" spans="2:28" ht="15" customHeight="1">
      <c r="C40" s="56"/>
      <c r="D40" s="56"/>
      <c r="E40" s="56"/>
      <c r="F40" s="56"/>
      <c r="G40" s="56"/>
      <c r="H40" s="56"/>
      <c r="I40" s="56"/>
      <c r="J40" s="56"/>
      <c r="M40" s="56"/>
      <c r="N40" s="56"/>
      <c r="O40" s="56"/>
      <c r="P40" s="56"/>
      <c r="Q40" s="56"/>
      <c r="R40" s="56"/>
      <c r="S40" s="56"/>
      <c r="T40" s="56"/>
      <c r="Z40" s="75"/>
      <c r="AA40" s="75"/>
      <c r="AB40" s="75"/>
    </row>
    <row r="41" spans="2:28" ht="15.5">
      <c r="V41" s="20" t="s">
        <v>415</v>
      </c>
      <c r="W41" s="20" t="s">
        <v>364</v>
      </c>
      <c r="Y41" s="75">
        <v>824.49997799000005</v>
      </c>
      <c r="Z41" s="75">
        <v>1002.740463523</v>
      </c>
      <c r="AA41" s="75">
        <f t="shared" si="9"/>
        <v>824.49997799000005</v>
      </c>
      <c r="AB41" s="75">
        <f t="shared" si="10"/>
        <v>824.49997799000005</v>
      </c>
    </row>
  </sheetData>
  <mergeCells count="12">
    <mergeCell ref="Y21:Z21"/>
    <mergeCell ref="AA21:AB21"/>
    <mergeCell ref="C30:J30"/>
    <mergeCell ref="C31:D31"/>
    <mergeCell ref="E31:F31"/>
    <mergeCell ref="G31:H31"/>
    <mergeCell ref="I31:J31"/>
    <mergeCell ref="B2:D2"/>
    <mergeCell ref="E3:K3"/>
    <mergeCell ref="Q20:S20"/>
    <mergeCell ref="AC20:AD20"/>
    <mergeCell ref="T20:V20"/>
  </mergeCells>
  <pageMargins left="0.7" right="0.7" top="0.75" bottom="0.75" header="0.3" footer="0.3"/>
  <pageSetup orientation="portrait" horizontalDpi="1200" verticalDpi="1200" r:id="rId1"/>
  <headerFooter>
    <oddHeader>&amp;R&amp;F</oddHeader>
    <oddFooter xml:space="preserve">&amp;C_x000D_&amp;1#&amp;"Aptos"&amp;12&amp;K000000 Public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F1F96-9944-4C42-91EE-47ACF1AFDE58}">
  <sheetPr>
    <tabColor rgb="FF00B0F0"/>
    <pageSetUpPr autoPageBreaks="0"/>
  </sheetPr>
  <dimension ref="B1:AN75"/>
  <sheetViews>
    <sheetView tabSelected="1" topLeftCell="F1" workbookViewId="0"/>
  </sheetViews>
  <sheetFormatPr defaultColWidth="8.81640625" defaultRowHeight="15.5"/>
  <cols>
    <col min="1" max="1" width="3.54296875" style="139" customWidth="1"/>
    <col min="2" max="2" width="20.54296875" style="139" customWidth="1"/>
    <col min="3" max="3" width="19.453125" style="139" customWidth="1"/>
    <col min="4" max="4" width="17.453125" style="139" customWidth="1"/>
    <col min="5" max="5" width="10.54296875" style="139" customWidth="1"/>
    <col min="6" max="6" width="23.7265625" style="139" customWidth="1"/>
    <col min="7" max="7" width="18.26953125" style="139" customWidth="1"/>
    <col min="8" max="8" width="18.54296875" style="139" customWidth="1"/>
    <col min="9" max="9" width="13.54296875" style="139" customWidth="1"/>
    <col min="10" max="10" width="15.81640625" style="139" customWidth="1"/>
    <col min="11" max="11" width="16.81640625" style="139" customWidth="1"/>
    <col min="12" max="12" width="16.1796875" style="139" customWidth="1"/>
    <col min="13" max="14" width="15.453125" style="139" customWidth="1"/>
    <col min="15" max="15" width="16.1796875" style="139" customWidth="1"/>
    <col min="16" max="16" width="15.54296875" style="139" customWidth="1"/>
    <col min="17" max="17" width="19.7265625" style="139" customWidth="1"/>
    <col min="18" max="18" width="14" style="139" customWidth="1"/>
    <col min="19" max="19" width="15.81640625" style="139" customWidth="1"/>
    <col min="20" max="21" width="15" style="139" customWidth="1"/>
    <col min="22" max="22" width="16.26953125" style="139" bestFit="1" customWidth="1"/>
    <col min="23" max="23" width="13.453125" style="139" bestFit="1" customWidth="1"/>
    <col min="24" max="24" width="15.453125" style="139" customWidth="1"/>
    <col min="25" max="26" width="20.1796875" style="139" customWidth="1"/>
    <col min="27" max="27" width="15.7265625" style="139" bestFit="1" customWidth="1"/>
    <col min="28" max="28" width="22.453125" style="139" customWidth="1"/>
    <col min="29" max="29" width="16.1796875" style="139" customWidth="1"/>
    <col min="30" max="30" width="17.7265625" style="139" customWidth="1"/>
    <col min="31" max="31" width="13.7265625" style="139" customWidth="1"/>
    <col min="32" max="32" width="12.81640625" style="139" bestFit="1" customWidth="1"/>
    <col min="33" max="34" width="8.81640625" style="139"/>
    <col min="35" max="35" width="14.7265625" style="139" bestFit="1" customWidth="1"/>
    <col min="36" max="36" width="16.1796875" style="139" bestFit="1" customWidth="1"/>
    <col min="37" max="38" width="8.81640625" style="139"/>
    <col min="39" max="39" width="15.81640625" style="139" bestFit="1" customWidth="1"/>
    <col min="40" max="40" width="13.54296875" style="139" customWidth="1"/>
    <col min="41" max="16384" width="8.81640625" style="139"/>
  </cols>
  <sheetData>
    <row r="1" spans="2:29">
      <c r="B1" s="348"/>
      <c r="C1" s="348"/>
      <c r="D1" s="348"/>
      <c r="E1" s="348"/>
      <c r="F1" s="348"/>
      <c r="G1" s="348"/>
      <c r="H1" s="348"/>
      <c r="I1" s="348"/>
      <c r="J1" s="348"/>
      <c r="K1" s="348"/>
      <c r="L1" s="348"/>
      <c r="M1" s="348"/>
      <c r="N1" s="348"/>
      <c r="O1" s="348"/>
      <c r="P1" s="348"/>
      <c r="Q1" s="348"/>
      <c r="R1" s="348"/>
      <c r="S1" s="348"/>
      <c r="T1" s="348"/>
      <c r="U1" s="348"/>
      <c r="V1" s="348"/>
      <c r="W1" s="348"/>
    </row>
    <row r="2" spans="2:29">
      <c r="B2" s="57"/>
      <c r="C2" s="542" t="s">
        <v>13</v>
      </c>
      <c r="D2" s="542"/>
      <c r="E2" s="57"/>
      <c r="F2" s="57"/>
      <c r="H2" s="205"/>
      <c r="J2" s="205"/>
      <c r="R2" s="57"/>
      <c r="S2" s="57"/>
      <c r="T2" s="57"/>
      <c r="U2" s="57"/>
      <c r="V2" s="57"/>
      <c r="W2" s="57"/>
    </row>
    <row r="3" spans="2:29">
      <c r="B3" s="206"/>
      <c r="C3" s="207" t="s">
        <v>169</v>
      </c>
      <c r="D3" s="207" t="s">
        <v>171</v>
      </c>
      <c r="R3" s="208"/>
      <c r="S3" s="208"/>
      <c r="T3" s="208"/>
      <c r="U3" s="208"/>
      <c r="V3" s="208"/>
      <c r="W3" s="208"/>
    </row>
    <row r="4" spans="2:29">
      <c r="B4" s="209" t="s">
        <v>3</v>
      </c>
      <c r="C4" s="210">
        <f>'SAR and RAR'!C4</f>
        <v>3075727.8217516071</v>
      </c>
      <c r="D4" s="210">
        <f>'SAR and RAR'!D4</f>
        <v>3075763.4970791722</v>
      </c>
      <c r="G4" s="545" t="s">
        <v>172</v>
      </c>
      <c r="H4" s="545"/>
      <c r="I4" s="545"/>
      <c r="J4" s="545"/>
      <c r="K4" s="545"/>
      <c r="L4" s="545"/>
      <c r="M4" s="545"/>
      <c r="N4" s="545"/>
      <c r="O4" s="545"/>
      <c r="P4" s="545"/>
      <c r="Q4" s="545"/>
      <c r="R4" s="545"/>
      <c r="S4" s="545"/>
      <c r="T4" s="545"/>
      <c r="U4" s="211"/>
      <c r="V4" s="211"/>
      <c r="W4" s="211"/>
      <c r="X4" s="211"/>
      <c r="Y4" s="211"/>
    </row>
    <row r="5" spans="2:29" ht="31">
      <c r="B5" s="209" t="s">
        <v>14</v>
      </c>
      <c r="C5" s="210">
        <f>'SAR and RAR'!C5</f>
        <v>244371.67766520652</v>
      </c>
      <c r="D5" s="210">
        <f>'SAR and RAR'!D5</f>
        <v>244371.67766520652</v>
      </c>
      <c r="F5" s="5"/>
      <c r="G5" s="6" t="s">
        <v>3</v>
      </c>
      <c r="H5" s="6" t="s">
        <v>5</v>
      </c>
      <c r="I5" s="6" t="s">
        <v>16</v>
      </c>
      <c r="J5" s="6" t="s">
        <v>173</v>
      </c>
      <c r="K5" s="6" t="s">
        <v>14</v>
      </c>
      <c r="L5" s="6" t="s">
        <v>10</v>
      </c>
      <c r="M5" s="6" t="s">
        <v>66</v>
      </c>
      <c r="N5" s="6" t="s">
        <v>127</v>
      </c>
      <c r="O5" s="6" t="s">
        <v>134</v>
      </c>
      <c r="P5" s="6" t="s">
        <v>174</v>
      </c>
      <c r="Q5" s="209" t="s">
        <v>656</v>
      </c>
      <c r="R5" s="6" t="s">
        <v>275</v>
      </c>
      <c r="S5" s="58" t="s">
        <v>207</v>
      </c>
      <c r="T5" s="349" t="s">
        <v>292</v>
      </c>
      <c r="AB5" s="350"/>
    </row>
    <row r="6" spans="2:29">
      <c r="B6" s="209" t="s">
        <v>5</v>
      </c>
      <c r="C6" s="210">
        <f>'SAR and RAR'!C6</f>
        <v>8275899.2031662753</v>
      </c>
      <c r="D6" s="210">
        <f>'SAR and RAR'!D6</f>
        <v>10481110.386925217</v>
      </c>
      <c r="F6" s="5" t="s">
        <v>570</v>
      </c>
      <c r="G6" s="71">
        <f>VLOOKUP(Summary!$D$3,$F$35:$T$38,G$33,FALSE)</f>
        <v>8.9153080100449936E-2</v>
      </c>
      <c r="H6" s="71">
        <f>VLOOKUP(Summary!$D$3,$F$35:$T$38,H$33,FALSE)</f>
        <v>8.8178328740731421E-2</v>
      </c>
      <c r="I6" s="71">
        <f>VLOOKUP(Summary!$D$3,$F$35:$T$38,I$33,FALSE)</f>
        <v>9.1230427642993647E-2</v>
      </c>
      <c r="J6" s="71">
        <f>VLOOKUP(Summary!$D$3,$F$35:$T$38,J$33,FALSE)</f>
        <v>9.6829659032863891E-2</v>
      </c>
      <c r="K6" s="71">
        <f>VLOOKUP(Summary!$D$3,$F$35:$T$38,K$33,FALSE)</f>
        <v>7.4447945021573092E-2</v>
      </c>
      <c r="L6" s="71">
        <f>VLOOKUP(Summary!$D$3,$F$35:$T$38,L$33,FALSE)</f>
        <v>9.5419616938551333E-2</v>
      </c>
      <c r="M6" s="71">
        <f>VLOOKUP(Summary!$D$3,$F$35:$T$38,M$33,FALSE)</f>
        <v>9.8653623351451475E-2</v>
      </c>
      <c r="N6" s="71">
        <f>VLOOKUP(Summary!$D$3,$F$35:$T$38,N$33,FALSE)</f>
        <v>9.2255828373502713E-2</v>
      </c>
      <c r="O6" s="71">
        <f>VLOOKUP(Summary!$D$3,$F$35:$T$38,O$33,FALSE)</f>
        <v>9.3824372765518013E-2</v>
      </c>
      <c r="P6" s="71">
        <f>VLOOKUP(Summary!$D$3,$F$35:$T$38,P$33,FALSE)</f>
        <v>4.2059080591135356E-3</v>
      </c>
      <c r="Q6" s="71">
        <f>VLOOKUP(Summary!$D$3,$F$35:$T$38,Q$33,FALSE)</f>
        <v>0.10338653541029645</v>
      </c>
      <c r="R6" s="71">
        <f>VLOOKUP(Summary!$D$3,$F$35:$T$38,R$33,FALSE)</f>
        <v>0.10671001785047793</v>
      </c>
      <c r="S6" s="71">
        <f>VLOOKUP(Summary!$D$3,$F$35:$T$38,S$33,FALSE)</f>
        <v>0.11528495516710488</v>
      </c>
      <c r="T6" s="71">
        <f>VLOOKUP(Summary!$D$3,$F$35:$T$38,T$33,FALSE)</f>
        <v>9.8691523526039687E-2</v>
      </c>
      <c r="U6" s="351"/>
    </row>
    <row r="7" spans="2:29">
      <c r="B7" s="209" t="s">
        <v>129</v>
      </c>
      <c r="C7" s="210">
        <f>'SAR and RAR'!C7</f>
        <v>-475276.50099999999</v>
      </c>
      <c r="D7" s="210">
        <f>'SAR and RAR'!D7</f>
        <v>-475276.50099999999</v>
      </c>
      <c r="F7" s="5"/>
      <c r="G7" s="80"/>
      <c r="H7" s="80"/>
      <c r="I7" s="80"/>
      <c r="J7" s="80"/>
      <c r="K7" s="80"/>
      <c r="L7" s="80"/>
      <c r="M7" s="80"/>
      <c r="N7" s="80"/>
      <c r="O7" s="80"/>
      <c r="P7" s="80"/>
      <c r="Q7" s="80"/>
    </row>
    <row r="8" spans="2:29" ht="15.75" customHeight="1">
      <c r="B8" s="209" t="s">
        <v>66</v>
      </c>
      <c r="C8" s="210">
        <f>'SAR and RAR'!C8</f>
        <v>-3377.8111523794842</v>
      </c>
      <c r="D8" s="210">
        <f>'SAR and RAR'!D8</f>
        <v>-3377.8111523794842</v>
      </c>
      <c r="F8" s="211"/>
      <c r="G8" s="545" t="s">
        <v>175</v>
      </c>
      <c r="H8" s="545"/>
      <c r="I8" s="545"/>
      <c r="J8" s="545"/>
      <c r="K8" s="545"/>
      <c r="L8" s="545"/>
      <c r="M8" s="545"/>
      <c r="N8" s="545"/>
      <c r="O8" s="545"/>
      <c r="P8" s="545"/>
      <c r="Q8" s="545"/>
      <c r="R8" s="545"/>
      <c r="S8" s="545"/>
      <c r="T8" s="545"/>
    </row>
    <row r="9" spans="2:29" ht="31">
      <c r="B9" s="209" t="s">
        <v>16</v>
      </c>
      <c r="C9" s="210">
        <f>'SAR and RAR'!C9</f>
        <v>0</v>
      </c>
      <c r="D9" s="210">
        <f>'SAR and RAR'!D9</f>
        <v>0</v>
      </c>
      <c r="F9" s="59" t="s">
        <v>169</v>
      </c>
      <c r="G9" s="6" t="s">
        <v>3</v>
      </c>
      <c r="H9" s="6" t="s">
        <v>5</v>
      </c>
      <c r="I9" s="6" t="s">
        <v>16</v>
      </c>
      <c r="J9" s="6" t="s">
        <v>15</v>
      </c>
      <c r="K9" s="6" t="s">
        <v>14</v>
      </c>
      <c r="L9" s="6" t="s">
        <v>10</v>
      </c>
      <c r="M9" s="6" t="s">
        <v>66</v>
      </c>
      <c r="N9" s="6" t="s">
        <v>127</v>
      </c>
      <c r="O9" s="6" t="s">
        <v>134</v>
      </c>
      <c r="P9" s="6" t="s">
        <v>129</v>
      </c>
      <c r="Q9" s="209" t="s">
        <v>656</v>
      </c>
      <c r="R9" s="6" t="s">
        <v>275</v>
      </c>
      <c r="S9" s="58" t="s">
        <v>207</v>
      </c>
      <c r="T9" s="349" t="s">
        <v>292</v>
      </c>
      <c r="U9" s="6" t="s">
        <v>132</v>
      </c>
    </row>
    <row r="10" spans="2:29">
      <c r="B10" s="209" t="s">
        <v>15</v>
      </c>
      <c r="C10" s="210">
        <f>'SAR and RAR'!C10</f>
        <v>928080.45522745408</v>
      </c>
      <c r="D10" s="210">
        <f>'SAR and RAR'!D10</f>
        <v>1026345.6548407136</v>
      </c>
      <c r="F10" s="5" t="s">
        <v>570</v>
      </c>
      <c r="G10" s="60">
        <f t="shared" ref="G10:T10" si="0">G6*G11</f>
        <v>274210.60885980341</v>
      </c>
      <c r="H10" s="60">
        <f t="shared" si="0"/>
        <v>729754.96056195302</v>
      </c>
      <c r="I10" s="60">
        <f t="shared" si="0"/>
        <v>0</v>
      </c>
      <c r="J10" s="60">
        <f t="shared" si="0"/>
        <v>89865.714034739474</v>
      </c>
      <c r="K10" s="60">
        <f t="shared" si="0"/>
        <v>18192.969223648877</v>
      </c>
      <c r="L10" s="60">
        <f t="shared" si="0"/>
        <v>246200.72803469267</v>
      </c>
      <c r="M10" s="60">
        <f t="shared" si="0"/>
        <v>-333.23330917917792</v>
      </c>
      <c r="N10" s="60">
        <f t="shared" si="0"/>
        <v>0</v>
      </c>
      <c r="O10" s="60">
        <f t="shared" si="0"/>
        <v>35566.190764839746</v>
      </c>
      <c r="P10" s="60">
        <f t="shared" si="0"/>
        <v>-1998.9692658631823</v>
      </c>
      <c r="Q10" s="60">
        <f t="shared" si="0"/>
        <v>41543.820412786103</v>
      </c>
      <c r="R10" s="60">
        <f t="shared" si="0"/>
        <v>23858.532419122843</v>
      </c>
      <c r="S10" s="60">
        <f t="shared" si="0"/>
        <v>61647.208009360984</v>
      </c>
      <c r="T10" s="60">
        <f t="shared" si="0"/>
        <v>121286.71473866836</v>
      </c>
      <c r="U10" s="352">
        <f>SUM(G10:T10)</f>
        <v>1639795.2444845734</v>
      </c>
      <c r="W10" s="212"/>
      <c r="X10" s="212"/>
    </row>
    <row r="11" spans="2:29">
      <c r="B11" s="209" t="s">
        <v>656</v>
      </c>
      <c r="C11" s="210">
        <f>'SAR and RAR'!C11</f>
        <v>401830.0859770244</v>
      </c>
      <c r="D11" s="210">
        <f>'SAR and RAR'!D11</f>
        <v>401830.0859770244</v>
      </c>
      <c r="F11" s="5" t="s">
        <v>22</v>
      </c>
      <c r="G11" s="61">
        <f t="shared" ref="G11:M11" si="1">VLOOKUP(G9,$B$4:$D$17,2,FALSE)</f>
        <v>3075727.8217516071</v>
      </c>
      <c r="H11" s="61">
        <f t="shared" si="1"/>
        <v>8275899.2031662753</v>
      </c>
      <c r="I11" s="61">
        <f t="shared" si="1"/>
        <v>0</v>
      </c>
      <c r="J11" s="61">
        <f t="shared" si="1"/>
        <v>928080.45522745408</v>
      </c>
      <c r="K11" s="61">
        <f t="shared" si="1"/>
        <v>244371.67766520652</v>
      </c>
      <c r="L11" s="61">
        <f t="shared" si="1"/>
        <v>2580189.8596306657</v>
      </c>
      <c r="M11" s="61">
        <f t="shared" si="1"/>
        <v>-3377.8111523794842</v>
      </c>
      <c r="N11" s="61">
        <f>VLOOKUP(N9,$B$4:$D$16,2,FALSE)</f>
        <v>0</v>
      </c>
      <c r="O11" s="61">
        <f>VLOOKUP(O9,$B$4:$D$16,2,FALSE)</f>
        <v>379071.98008906806</v>
      </c>
      <c r="P11" s="61">
        <f>VLOOKUP(P9,$B$4:$D$17,2,FALSE)</f>
        <v>-475276.50099999999</v>
      </c>
      <c r="Q11" s="61">
        <f>VLOOKUP(Q9,$B$4:$D$17,2,FALSE)</f>
        <v>401830.0859770244</v>
      </c>
      <c r="R11" s="61">
        <f>VLOOKUP(R9,$B$4:$D$17,2,FALSE)</f>
        <v>223582.8734707309</v>
      </c>
      <c r="S11" s="63">
        <f>VLOOKUP(S9,$B$4:$D$17,2,FALSE)</f>
        <v>534737.66737388854</v>
      </c>
      <c r="T11" s="61">
        <f>VLOOKUP(T9,$B$4:$D$17,2,FALSE)</f>
        <v>1228947.638108626</v>
      </c>
      <c r="U11" s="84">
        <f>SUM(G11:T11)</f>
        <v>17393784.950308163</v>
      </c>
      <c r="X11" s="205"/>
    </row>
    <row r="12" spans="2:29">
      <c r="B12" s="209" t="s">
        <v>127</v>
      </c>
      <c r="C12" s="210">
        <f>'SAR and RAR'!C12</f>
        <v>0</v>
      </c>
      <c r="D12" s="210">
        <f>'SAR and RAR'!D12</f>
        <v>0</v>
      </c>
      <c r="F12" s="59" t="s">
        <v>170</v>
      </c>
      <c r="U12" s="351"/>
    </row>
    <row r="13" spans="2:29">
      <c r="B13" s="209" t="s">
        <v>10</v>
      </c>
      <c r="C13" s="210">
        <f>'SAR and RAR'!C13</f>
        <v>2580189.8596306657</v>
      </c>
      <c r="D13" s="210">
        <f>'SAR and RAR'!D13</f>
        <v>2580189.8596306657</v>
      </c>
      <c r="F13" s="5" t="s">
        <v>570</v>
      </c>
      <c r="G13" s="60">
        <f t="shared" ref="G13:T13" si="2">G6*G14</f>
        <v>274213.78942513943</v>
      </c>
      <c r="H13" s="60">
        <f t="shared" si="2"/>
        <v>924206.79726618645</v>
      </c>
      <c r="I13" s="60">
        <f t="shared" si="2"/>
        <v>0</v>
      </c>
      <c r="J13" s="60">
        <f t="shared" si="2"/>
        <v>99380.699808087709</v>
      </c>
      <c r="K13" s="60">
        <f t="shared" si="2"/>
        <v>18192.969223648877</v>
      </c>
      <c r="L13" s="60">
        <f t="shared" si="2"/>
        <v>246200.72803469267</v>
      </c>
      <c r="M13" s="60">
        <f t="shared" si="2"/>
        <v>-333.23330917917792</v>
      </c>
      <c r="N13" s="60">
        <f t="shared" si="2"/>
        <v>0</v>
      </c>
      <c r="O13" s="60">
        <f t="shared" si="2"/>
        <v>35566.190764839746</v>
      </c>
      <c r="P13" s="60">
        <f t="shared" si="2"/>
        <v>-1998.9692658631823</v>
      </c>
      <c r="Q13" s="60">
        <f t="shared" si="2"/>
        <v>41543.820412786103</v>
      </c>
      <c r="R13" s="60">
        <f t="shared" si="2"/>
        <v>36296.028725094009</v>
      </c>
      <c r="S13" s="60">
        <f t="shared" si="2"/>
        <v>104803.73899250408</v>
      </c>
      <c r="T13" s="60">
        <f t="shared" si="2"/>
        <v>159025.27808712079</v>
      </c>
      <c r="U13" s="352">
        <f>SUM(G13:T13)</f>
        <v>1937097.8381650576</v>
      </c>
    </row>
    <row r="14" spans="2:29">
      <c r="B14" s="209" t="s">
        <v>134</v>
      </c>
      <c r="C14" s="210">
        <f>'SAR and RAR'!C14</f>
        <v>379071.98008906806</v>
      </c>
      <c r="D14" s="210">
        <f>'SAR and RAR'!D14</f>
        <v>379071.98008906806</v>
      </c>
      <c r="F14" s="5" t="s">
        <v>22</v>
      </c>
      <c r="G14" s="61">
        <f t="shared" ref="G14:S14" si="3">VLOOKUP(G9,$B$4:$D$16,3,FALSE)</f>
        <v>3075763.4970791722</v>
      </c>
      <c r="H14" s="61">
        <f t="shared" si="3"/>
        <v>10481110.386925217</v>
      </c>
      <c r="I14" s="61">
        <f t="shared" si="3"/>
        <v>0</v>
      </c>
      <c r="J14" s="61">
        <f t="shared" si="3"/>
        <v>1026345.6548407136</v>
      </c>
      <c r="K14" s="61">
        <f t="shared" si="3"/>
        <v>244371.67766520652</v>
      </c>
      <c r="L14" s="61">
        <f t="shared" si="3"/>
        <v>2580189.8596306657</v>
      </c>
      <c r="M14" s="61">
        <f t="shared" si="3"/>
        <v>-3377.8111523794842</v>
      </c>
      <c r="N14" s="61">
        <f t="shared" si="3"/>
        <v>0</v>
      </c>
      <c r="O14" s="61">
        <f t="shared" si="3"/>
        <v>379071.98008906806</v>
      </c>
      <c r="P14" s="61">
        <f t="shared" si="3"/>
        <v>-475276.50099999999</v>
      </c>
      <c r="Q14" s="61">
        <f t="shared" si="3"/>
        <v>401830.0859770244</v>
      </c>
      <c r="R14" s="61">
        <f t="shared" si="3"/>
        <v>340137.03170729481</v>
      </c>
      <c r="S14" s="61">
        <f t="shared" si="3"/>
        <v>909084.26724538044</v>
      </c>
      <c r="T14" s="61">
        <f>VLOOKUP(T9,$B$4:$D$17,3,FALSE)</f>
        <v>1611336.7430705647</v>
      </c>
      <c r="U14" s="84">
        <f>SUM(G14:T14)</f>
        <v>20570586.872077931</v>
      </c>
    </row>
    <row r="15" spans="2:29">
      <c r="B15" s="209" t="s">
        <v>207</v>
      </c>
      <c r="C15" s="210">
        <f>'SAR and RAR'!C15</f>
        <v>534737.66737388854</v>
      </c>
      <c r="D15" s="210">
        <f>'SAR and RAR'!D15</f>
        <v>909084.26724538044</v>
      </c>
      <c r="F15" s="228"/>
      <c r="G15" s="213"/>
      <c r="H15" s="213"/>
      <c r="I15" s="213"/>
      <c r="J15" s="211"/>
      <c r="AA15" s="5"/>
    </row>
    <row r="16" spans="2:29">
      <c r="B16" s="209" t="s">
        <v>275</v>
      </c>
      <c r="C16" s="210">
        <f>'SAR and RAR'!C16</f>
        <v>223582.8734707309</v>
      </c>
      <c r="D16" s="210">
        <f>'SAR and RAR'!D16</f>
        <v>340137.03170729481</v>
      </c>
      <c r="U16" s="540" t="s">
        <v>169</v>
      </c>
      <c r="V16" s="541"/>
      <c r="W16" s="540" t="s">
        <v>170</v>
      </c>
      <c r="X16" s="541"/>
      <c r="AA16" s="82"/>
      <c r="AB16" s="83"/>
      <c r="AC16" s="83"/>
    </row>
    <row r="17" spans="2:40">
      <c r="B17" s="139" t="s">
        <v>292</v>
      </c>
      <c r="C17" s="210">
        <f>'SAR and RAR'!C17</f>
        <v>1228947.638108626</v>
      </c>
      <c r="D17" s="210">
        <f>'SAR and RAR'!D17</f>
        <v>1611336.7430705647</v>
      </c>
      <c r="F17" s="211"/>
      <c r="G17" s="546" t="s">
        <v>176</v>
      </c>
      <c r="H17" s="546"/>
      <c r="I17" s="546"/>
      <c r="J17" s="546"/>
      <c r="K17" s="546"/>
      <c r="L17" s="546"/>
      <c r="M17" s="546"/>
      <c r="N17" s="546"/>
      <c r="O17" s="546"/>
      <c r="P17" s="546"/>
      <c r="Q17" s="546"/>
      <c r="R17" s="546"/>
      <c r="S17" s="546"/>
      <c r="T17" s="544"/>
      <c r="U17" s="543" t="s">
        <v>177</v>
      </c>
      <c r="V17" s="544"/>
      <c r="W17" s="543" t="s">
        <v>177</v>
      </c>
      <c r="X17" s="544"/>
      <c r="AA17" s="82"/>
      <c r="AB17" s="62" t="s">
        <v>169</v>
      </c>
      <c r="AC17" s="62" t="s">
        <v>170</v>
      </c>
      <c r="AF17" s="350"/>
    </row>
    <row r="18" spans="2:40" ht="31">
      <c r="B18" s="209" t="s">
        <v>132</v>
      </c>
      <c r="C18" s="214">
        <f>SUM(C4:C17)</f>
        <v>17393784.950308166</v>
      </c>
      <c r="D18" s="214">
        <f>SUM(D4:D17)</f>
        <v>20570586.872077931</v>
      </c>
      <c r="E18" s="211"/>
      <c r="G18" s="58" t="s">
        <v>3</v>
      </c>
      <c r="H18" s="6" t="s">
        <v>5</v>
      </c>
      <c r="I18" s="6" t="s">
        <v>16</v>
      </c>
      <c r="J18" s="6" t="s">
        <v>173</v>
      </c>
      <c r="K18" s="6" t="s">
        <v>14</v>
      </c>
      <c r="L18" s="6" t="s">
        <v>10</v>
      </c>
      <c r="M18" s="6" t="s">
        <v>66</v>
      </c>
      <c r="N18" s="6" t="s">
        <v>127</v>
      </c>
      <c r="O18" s="6" t="s">
        <v>134</v>
      </c>
      <c r="P18" s="6" t="s">
        <v>174</v>
      </c>
      <c r="Q18" s="209" t="s">
        <v>656</v>
      </c>
      <c r="R18" s="6" t="s">
        <v>275</v>
      </c>
      <c r="S18" s="58" t="s">
        <v>207</v>
      </c>
      <c r="T18" s="353" t="s">
        <v>292</v>
      </c>
      <c r="U18" s="43" t="s">
        <v>132</v>
      </c>
      <c r="V18" s="43" t="s">
        <v>178</v>
      </c>
      <c r="W18" s="354" t="s">
        <v>132</v>
      </c>
      <c r="X18" s="355" t="s">
        <v>178</v>
      </c>
      <c r="AA18" s="82" t="s">
        <v>192</v>
      </c>
      <c r="AB18" s="61">
        <v>956600.99267794215</v>
      </c>
      <c r="AC18" s="61">
        <v>955920.82964510052</v>
      </c>
    </row>
    <row r="19" spans="2:40">
      <c r="B19" s="7"/>
      <c r="C19" s="210"/>
      <c r="D19" s="5"/>
      <c r="F19" s="5" t="s">
        <v>570</v>
      </c>
      <c r="G19" s="106">
        <f>VLOOKUP(Summary!$D$3,$F$41:$Q$44,G$33,FALSE)</f>
        <v>1</v>
      </c>
      <c r="H19" s="106">
        <f>VLOOKUP(Summary!$D$3,$F$41:$T$44,H$33,FALSE)</f>
        <v>0.29787907773430822</v>
      </c>
      <c r="I19" s="106">
        <f>VLOOKUP(Summary!$D$3,$F$41:$T$44,I$33,FALSE)</f>
        <v>0.29787907773430822</v>
      </c>
      <c r="J19" s="106">
        <f>VLOOKUP(Summary!$D$3,$F$41:$T$44,J$33,FALSE)</f>
        <v>0.29787907773430822</v>
      </c>
      <c r="K19" s="106">
        <f>VLOOKUP(Summary!$D$3,$F$41:$T$44,K$33,FALSE)</f>
        <v>0.29787907773430822</v>
      </c>
      <c r="L19" s="106">
        <f>VLOOKUP(Summary!$D$3,$F$41:$T$44,L$33,FALSE)</f>
        <v>0.29787907773430822</v>
      </c>
      <c r="M19" s="106">
        <f>VLOOKUP(Summary!$D$3,$F$41:$T$44,M$33,FALSE)</f>
        <v>0.29787907773430822</v>
      </c>
      <c r="N19" s="106">
        <f>VLOOKUP(Summary!$D$3,$F$41:$T$44,N$33,FALSE)</f>
        <v>0.29787907773430822</v>
      </c>
      <c r="O19" s="106">
        <f>VLOOKUP(Summary!$D$3,$F$41:$T$44,O$33,FALSE)</f>
        <v>0.29787907773430822</v>
      </c>
      <c r="P19" s="106">
        <f>VLOOKUP(Summary!$D$3,$F$41:$T$44,P$33,FALSE)</f>
        <v>0.29787907773430822</v>
      </c>
      <c r="Q19" s="106">
        <f>VLOOKUP(Summary!$D$3,$F$41:$T$44,Q$33,FALSE)</f>
        <v>0.29787907773430822</v>
      </c>
      <c r="R19" s="106">
        <f>VLOOKUP(Summary!$D$3,$F$41:$T$44,R$33,FALSE)</f>
        <v>0.29787907773430822</v>
      </c>
      <c r="S19" s="106">
        <f>VLOOKUP(Summary!$D$3,$F$41:$T$44,S$33,FALSE)</f>
        <v>0.23928408280911648</v>
      </c>
      <c r="T19" s="81">
        <f>VLOOKUP(Summary!$D$3,$F$41:$T$44,T$33,FALSE)</f>
        <v>0.29787907773430822</v>
      </c>
      <c r="U19" s="63">
        <f>SUMPRODUCT(G10:T10,G19:T19)</f>
        <v>677377.48284739035</v>
      </c>
      <c r="V19" s="63">
        <f>U19+AB21*H19</f>
        <v>706589.62623234454</v>
      </c>
      <c r="W19" s="84">
        <f>SUMPRODUCT(G13:T13,G19:T19)</f>
        <v>763411.18168847181</v>
      </c>
      <c r="X19" s="85">
        <f>W19+AC21*H19</f>
        <v>792602.55463706586</v>
      </c>
      <c r="AA19" s="82" t="s">
        <v>680</v>
      </c>
      <c r="AB19" s="60">
        <f>VLOOKUP(Summary!$D$3,$F$51:$O$54,10,FALSE)</f>
        <v>6950164.8136040373</v>
      </c>
      <c r="AC19" s="86">
        <f>AB19</f>
        <v>6950164.8136040373</v>
      </c>
      <c r="AF19" s="350"/>
    </row>
    <row r="20" spans="2:40">
      <c r="B20" s="7"/>
      <c r="C20" s="7"/>
      <c r="D20" s="5"/>
      <c r="F20" s="5" t="s">
        <v>22</v>
      </c>
      <c r="G20" s="106">
        <f>VLOOKUP(Summary!$D$3,$F$45:$T$48,G$33,FALSE)</f>
        <v>1</v>
      </c>
      <c r="H20" s="106">
        <f>VLOOKUP(Summary!$D$3,$F$45:$T$48,H$33,FALSE)</f>
        <v>0.32886186544742674</v>
      </c>
      <c r="I20" s="106">
        <f>VLOOKUP(Summary!$D$3,$F$45:$T$48,I$33,FALSE)</f>
        <v>0.32886186544742674</v>
      </c>
      <c r="J20" s="106">
        <f>VLOOKUP(Summary!$D$3,$F$45:$T$48,J$33,FALSE)</f>
        <v>0.32886186544742674</v>
      </c>
      <c r="K20" s="106">
        <f>VLOOKUP(Summary!$D$3,$F$45:$T$48,K$33,FALSE)</f>
        <v>0.32886186544742674</v>
      </c>
      <c r="L20" s="106">
        <f>VLOOKUP(Summary!$D$3,$F$45:$T$48,L$33,FALSE)</f>
        <v>0.32886186544742674</v>
      </c>
      <c r="M20" s="106">
        <f>VLOOKUP(Summary!$D$3,$F$45:$T$48,M$33,FALSE)</f>
        <v>0.32886186544742674</v>
      </c>
      <c r="N20" s="106">
        <f>VLOOKUP(Summary!$D$3,$F$45:$T$48,N$33,FALSE)</f>
        <v>0.32886186544742674</v>
      </c>
      <c r="O20" s="106">
        <f>VLOOKUP(Summary!$D$3,$F$45:$T$48,O$33,FALSE)</f>
        <v>0.32886186544742674</v>
      </c>
      <c r="P20" s="106">
        <f>VLOOKUP(Summary!$D$3,$F$45:$T$48,P$33,FALSE)</f>
        <v>0.32886186544742674</v>
      </c>
      <c r="Q20" s="106">
        <f>VLOOKUP(Summary!$D$3,$F$45:$T$48,Q$33,FALSE)</f>
        <v>0.32886186544742674</v>
      </c>
      <c r="R20" s="106">
        <f>VLOOKUP(Summary!$D$3,$F$45:$T$48,R$33,FALSE)</f>
        <v>0.32886186544742674</v>
      </c>
      <c r="S20" s="106">
        <f>VLOOKUP(Summary!$D$3,$F$45:$T$48,S$33,FALSE)</f>
        <v>0.28144412281858089</v>
      </c>
      <c r="T20" s="81">
        <f>VLOOKUP(Summary!$D$3,$F$45:$T$48,T$33,FALSE)</f>
        <v>0.32886186544742674</v>
      </c>
      <c r="U20" s="63">
        <f>SUMPRODUCT(G11:T11,G20:T20)</f>
        <v>7759034.7455460588</v>
      </c>
      <c r="V20" s="63">
        <f>U20</f>
        <v>7759034.7455460588</v>
      </c>
      <c r="W20" s="84">
        <f>SUMPRODUCT(G14:T14,G20:T20)</f>
        <v>8786037.0240423344</v>
      </c>
      <c r="X20" s="85">
        <f>W20</f>
        <v>8786037.0240423344</v>
      </c>
      <c r="AA20" s="82" t="s">
        <v>227</v>
      </c>
      <c r="AB20" s="60">
        <f>VLOOKUP(Summary!$D$3,$F$55:$O$58,2,FALSE)</f>
        <v>67795755.926224142</v>
      </c>
      <c r="AC20" s="86">
        <f>AB20</f>
        <v>67795755.926224142</v>
      </c>
    </row>
    <row r="21" spans="2:40">
      <c r="B21" s="7"/>
      <c r="C21" s="7"/>
      <c r="D21" s="5"/>
      <c r="G21" s="205"/>
      <c r="H21" s="205"/>
      <c r="I21" s="205"/>
      <c r="J21" s="205"/>
      <c r="K21" s="205"/>
      <c r="L21" s="205"/>
      <c r="M21" s="205"/>
      <c r="N21" s="205"/>
      <c r="O21" s="205"/>
      <c r="P21" s="205"/>
      <c r="Q21" s="205"/>
      <c r="S21" s="205"/>
      <c r="U21" s="5"/>
      <c r="V21" s="63"/>
      <c r="AA21" s="82" t="s">
        <v>679</v>
      </c>
      <c r="AB21" s="61">
        <f>AB18*AB19/AB20</f>
        <v>98067.120413907804</v>
      </c>
      <c r="AC21" s="61">
        <f>AC18*AC19/AC20</f>
        <v>97997.392668951114</v>
      </c>
    </row>
    <row r="22" spans="2:40">
      <c r="B22" s="7"/>
      <c r="C22" s="7"/>
      <c r="D22" s="5"/>
      <c r="F22" s="211" t="str">
        <f>"Notes: Allocation and bundled/unbundled split based on "&amp;Summary!L4&amp;" sales forecast"</f>
        <v>Notes: Allocation and bundled/unbundled split based on 2029 sales forecast</v>
      </c>
      <c r="R22" s="205"/>
      <c r="S22" s="488"/>
      <c r="T22" s="5"/>
      <c r="V22" s="225" t="s">
        <v>678</v>
      </c>
      <c r="W22" s="212">
        <f>P10*P19</f>
        <v>-595.45112133455189</v>
      </c>
      <c r="X22" s="212">
        <f>P13*P19</f>
        <v>-595.45112133455189</v>
      </c>
      <c r="Y22" s="356"/>
    </row>
    <row r="23" spans="2:40">
      <c r="B23" s="7"/>
      <c r="C23" s="7"/>
      <c r="E23" s="5"/>
      <c r="F23" s="5"/>
      <c r="G23" s="7"/>
      <c r="H23" s="7"/>
      <c r="I23" s="7"/>
      <c r="J23" s="7"/>
      <c r="K23" s="7"/>
      <c r="L23" s="7"/>
      <c r="M23" s="7"/>
      <c r="N23" s="7"/>
      <c r="O23" s="7"/>
      <c r="P23" s="7"/>
      <c r="Q23" s="7"/>
      <c r="R23" s="7"/>
      <c r="S23" s="11"/>
      <c r="T23" s="11"/>
      <c r="U23" s="5"/>
      <c r="V23" s="225" t="s">
        <v>575</v>
      </c>
      <c r="W23" s="212">
        <f>P11*P20</f>
        <v>-156300.31672218579</v>
      </c>
      <c r="X23" s="70">
        <f>P14*P20</f>
        <v>-156300.31672218579</v>
      </c>
      <c r="Y23" s="5"/>
    </row>
    <row r="24" spans="2:40" ht="16" thickBot="1">
      <c r="B24" s="7"/>
      <c r="C24" s="7"/>
      <c r="E24" s="43"/>
      <c r="F24" s="43"/>
      <c r="G24" s="64"/>
      <c r="H24" s="43"/>
      <c r="I24" s="43"/>
      <c r="J24" s="43"/>
      <c r="K24" s="43"/>
      <c r="L24" s="43"/>
      <c r="M24" s="43"/>
      <c r="N24" s="43"/>
      <c r="O24" s="43"/>
      <c r="P24" s="43"/>
      <c r="Q24" s="43"/>
      <c r="R24" s="43"/>
      <c r="S24" s="11"/>
      <c r="T24" s="11"/>
      <c r="U24" s="215"/>
      <c r="V24" s="215"/>
      <c r="X24" s="5"/>
      <c r="Y24" s="129"/>
    </row>
    <row r="25" spans="2:40" ht="16" thickBot="1">
      <c r="B25" s="7"/>
      <c r="C25" s="7"/>
      <c r="E25" s="43"/>
      <c r="F25" s="43"/>
      <c r="G25" s="43"/>
      <c r="H25" s="43"/>
      <c r="I25" s="43"/>
      <c r="J25" s="43"/>
      <c r="K25" s="43"/>
      <c r="L25" s="43"/>
      <c r="M25" s="43"/>
      <c r="N25" s="43"/>
      <c r="O25" s="43"/>
      <c r="P25" s="43"/>
      <c r="Q25" s="43"/>
      <c r="R25" s="43"/>
      <c r="S25" s="216"/>
      <c r="T25" s="5"/>
      <c r="U25" s="5"/>
      <c r="V25" s="5"/>
      <c r="X25" s="5"/>
      <c r="Y25" s="357"/>
      <c r="AA25" s="533">
        <v>2026</v>
      </c>
      <c r="AB25" s="534"/>
      <c r="AC25" s="534"/>
      <c r="AD25" s="534"/>
      <c r="AE25" s="534"/>
      <c r="AF25" s="535"/>
      <c r="AI25" s="533">
        <v>2027</v>
      </c>
      <c r="AJ25" s="534"/>
      <c r="AK25" s="534"/>
      <c r="AL25" s="534"/>
      <c r="AM25" s="534"/>
      <c r="AN25" s="535"/>
    </row>
    <row r="26" spans="2:40">
      <c r="B26" s="7"/>
      <c r="C26" s="7"/>
      <c r="D26" s="5"/>
      <c r="E26" s="5"/>
      <c r="F26" s="537" t="s">
        <v>23</v>
      </c>
      <c r="G26" s="538"/>
      <c r="H26" s="538"/>
      <c r="I26" s="538"/>
      <c r="J26" s="538"/>
      <c r="K26" s="539"/>
      <c r="O26" s="5"/>
      <c r="P26" s="537" t="s">
        <v>25</v>
      </c>
      <c r="Q26" s="538"/>
      <c r="R26" s="538"/>
      <c r="S26" s="538"/>
      <c r="T26" s="538"/>
      <c r="U26" s="539"/>
      <c r="V26" s="217"/>
      <c r="Z26" s="5"/>
      <c r="AA26" s="358"/>
      <c r="AB26" s="218">
        <v>500000000</v>
      </c>
      <c r="AC26" s="359"/>
      <c r="AD26" s="368"/>
      <c r="AE26" s="369"/>
      <c r="AF26" s="361"/>
      <c r="AI26" s="360"/>
      <c r="AJ26" s="219">
        <v>500000000</v>
      </c>
      <c r="AK26" s="361"/>
      <c r="AL26" s="368"/>
      <c r="AM26" s="369"/>
      <c r="AN26" s="361"/>
    </row>
    <row r="27" spans="2:40" ht="46.5">
      <c r="B27" s="7"/>
      <c r="C27" s="7"/>
      <c r="D27" s="5"/>
      <c r="E27" s="5"/>
      <c r="F27" s="6" t="str">
        <f>Summary!D3&amp;" Sales"</f>
        <v>2029 Sales</v>
      </c>
      <c r="G27" s="6" t="str">
        <f>TEXT(Summary!L3,"mm/d/yyyy")&amp;" Avg Rates"</f>
        <v>03/1/2026 Avg Rates</v>
      </c>
      <c r="H27" s="6" t="s">
        <v>180</v>
      </c>
      <c r="I27" s="6" t="s">
        <v>181</v>
      </c>
      <c r="J27" s="6" t="s">
        <v>182</v>
      </c>
      <c r="K27" s="6" t="s">
        <v>183</v>
      </c>
      <c r="O27" s="5"/>
      <c r="P27" s="6" t="str">
        <f>F27</f>
        <v>2029 Sales</v>
      </c>
      <c r="Q27" s="6" t="str">
        <f>G27</f>
        <v>03/1/2026 Avg Rates</v>
      </c>
      <c r="R27" s="6" t="s">
        <v>180</v>
      </c>
      <c r="S27" s="6" t="s">
        <v>181</v>
      </c>
      <c r="T27" s="6" t="s">
        <v>182</v>
      </c>
      <c r="U27" s="6" t="s">
        <v>183</v>
      </c>
      <c r="V27" s="217"/>
      <c r="Z27" s="5"/>
      <c r="AA27" s="362" t="s">
        <v>673</v>
      </c>
      <c r="AB27" s="218">
        <f>(SUMIF('Authorized Rev Req'!L:L, "Distribution (Wildfire)", 'Authorized Rev Req'!H:H)+SUMIF('Authorized Rev Req'!L:L, "WHC", 'Authorized Rev Req'!H:H))*1000</f>
        <v>2216164203.6611958</v>
      </c>
      <c r="AC27" s="359"/>
      <c r="AD27" s="372"/>
      <c r="AF27" s="359"/>
      <c r="AI27" s="362" t="s">
        <v>673</v>
      </c>
      <c r="AJ27" s="218">
        <f>('Incremental Rev Req'!T113+'Incremental Rev Req'!T112)*1000</f>
        <v>1658636481.9172735</v>
      </c>
      <c r="AK27" s="359"/>
      <c r="AL27" s="372"/>
      <c r="AN27" s="359"/>
    </row>
    <row r="28" spans="2:40" ht="16" thickBot="1">
      <c r="B28" s="7"/>
      <c r="C28" s="7"/>
      <c r="D28" s="5"/>
      <c r="E28" s="363" t="s">
        <v>570</v>
      </c>
      <c r="F28" s="111">
        <f>VLOOKUP(Summary!$D$3,$J$51:$K$54,2,FALSE)</f>
        <v>2070308.6847778107</v>
      </c>
      <c r="G28" s="64">
        <f>IF(Summary!I3 ="Y",AB50,AC50)</f>
        <v>35.462275720449355</v>
      </c>
      <c r="H28" s="11">
        <f>IF(Summary!I3="Y",V19/$F$28*100,SUM(V19-W22)/$F$28*100)</f>
        <v>34.12967502999085</v>
      </c>
      <c r="I28" s="11">
        <f>IF(Summary!$I$3="Y",X19/$F$28*100,SUM(X19-X22)/$F$28*100)</f>
        <v>38.284269416670554</v>
      </c>
      <c r="J28" s="125">
        <f>H28/G28-1</f>
        <v>-3.7577980075600759E-2</v>
      </c>
      <c r="K28" s="125">
        <f>I28/G28-1</f>
        <v>7.957734349783685E-2</v>
      </c>
      <c r="O28" s="363" t="s">
        <v>570</v>
      </c>
      <c r="P28" s="111">
        <f>VLOOKUP(Summary!$D$3,$N$51:$O$54,2,FALSE)</f>
        <v>6950164.8136040373</v>
      </c>
      <c r="Q28" s="64">
        <f>IF(Summary!$I$3="Y",AE50,AF50)</f>
        <v>28.911532082509854</v>
      </c>
      <c r="R28" s="11">
        <f>IF(Summary!$I$3="Y",U10/P28*100,(U10-P10)/P28)</f>
        <v>23.593616676181391</v>
      </c>
      <c r="S28" s="11">
        <f>IF(Summary!$I$3="Y",U13/P28*100,(U13-P13)/P28)</f>
        <v>27.87125039644301</v>
      </c>
      <c r="T28" s="125">
        <f>R28/Q28-1</f>
        <v>-0.18393751639144562</v>
      </c>
      <c r="U28" s="125">
        <f>S28/Q28-1</f>
        <v>-3.5981548231273641E-2</v>
      </c>
      <c r="V28" s="217"/>
      <c r="W28" s="205"/>
      <c r="X28" s="61"/>
      <c r="AA28" s="364"/>
      <c r="AB28" s="365"/>
      <c r="AC28" s="366"/>
      <c r="AD28" s="372"/>
      <c r="AF28" s="359"/>
      <c r="AI28" s="367"/>
      <c r="AJ28" s="259"/>
      <c r="AK28" s="489"/>
      <c r="AL28" s="372"/>
      <c r="AN28" s="359"/>
    </row>
    <row r="29" spans="2:40" ht="16" thickBot="1">
      <c r="E29" s="363" t="s">
        <v>22</v>
      </c>
      <c r="F29" s="111">
        <f>VLOOKUP(Summary!$D$3,$J$55:$K$58,2,FALSE)</f>
        <v>24784494.935273737</v>
      </c>
      <c r="G29" s="64">
        <f>IF(Summary!$I$3="Y",AB51,AC51)</f>
        <v>32.596708001946226</v>
      </c>
      <c r="H29" s="11">
        <f>IF(Summary!$I$3="Y",V20/$F$29*100,SUM(V20-W23)/$F$29*100)</f>
        <v>31.306003070908904</v>
      </c>
      <c r="I29" s="11">
        <f>IF(Summary!$I$3="Y",W20/$F$29*100,SUM(W20-X23)/$F$29*100)</f>
        <v>35.449731967456358</v>
      </c>
      <c r="J29" s="125">
        <f>H29/G29-1</f>
        <v>-3.9596174281165353E-2</v>
      </c>
      <c r="K29" s="125">
        <f>I29/G29-1</f>
        <v>8.7524910961554347E-2</v>
      </c>
      <c r="O29" s="363" t="s">
        <v>22</v>
      </c>
      <c r="P29" s="111">
        <f>VLOOKUP(Summary!$D$3,$N$55:$O$58,2,FALSE)</f>
        <v>75364454.013400629</v>
      </c>
      <c r="Q29" s="64">
        <f>IF(Summary!$I$3="Y",AE51,AF51)</f>
        <v>26.65073540105055</v>
      </c>
      <c r="R29" s="11">
        <f>IF(Summary!$I$3="Y",U11/P29*100,(U11-P11)/P29)</f>
        <v>23.079560753157391</v>
      </c>
      <c r="S29" s="11">
        <f>IF(Summary!$I$3="Y",U14/P29*100,(U14-P14)/P29)</f>
        <v>27.294813107012299</v>
      </c>
      <c r="T29" s="125">
        <f>R29/Q29-1</f>
        <v>-0.13399910337004761</v>
      </c>
      <c r="U29" s="125">
        <f>S29/Q29-1</f>
        <v>2.4167352092518968E-2</v>
      </c>
      <c r="V29" s="220"/>
      <c r="AA29" s="368"/>
      <c r="AB29" s="369" t="s">
        <v>5</v>
      </c>
      <c r="AC29" s="361" t="s">
        <v>287</v>
      </c>
      <c r="AD29" s="372"/>
      <c r="AE29" s="370" t="s">
        <v>293</v>
      </c>
      <c r="AF29" s="371" t="s">
        <v>294</v>
      </c>
      <c r="AI29" s="372"/>
      <c r="AJ29" s="139" t="s">
        <v>5</v>
      </c>
      <c r="AK29" s="359" t="s">
        <v>287</v>
      </c>
      <c r="AL29" s="372"/>
      <c r="AM29" s="370" t="s">
        <v>293</v>
      </c>
      <c r="AN29" s="371" t="s">
        <v>294</v>
      </c>
    </row>
    <row r="30" spans="2:40">
      <c r="H30" s="490"/>
      <c r="I30" s="490"/>
      <c r="J30" s="262"/>
      <c r="K30" s="262"/>
      <c r="L30" s="490"/>
      <c r="M30" s="490"/>
      <c r="N30" s="490"/>
      <c r="O30" s="490"/>
      <c r="P30" s="490"/>
      <c r="Q30" s="490"/>
      <c r="R30" s="490"/>
      <c r="S30" s="491"/>
      <c r="T30" s="262"/>
      <c r="U30" s="262"/>
      <c r="V30" s="217"/>
      <c r="AA30" s="372" t="s">
        <v>288</v>
      </c>
      <c r="AB30" s="200">
        <f>'SAR and RAR'!AB30</f>
        <v>0.47554953632916569</v>
      </c>
      <c r="AC30" s="201">
        <f>'SAR and RAR'!AC30</f>
        <v>0.37373788819706122</v>
      </c>
      <c r="AD30" s="372"/>
      <c r="AF30" s="359"/>
      <c r="AI30" s="368" t="s">
        <v>288</v>
      </c>
      <c r="AJ30" s="492">
        <f>'SAR and RAR'!AJ30</f>
        <v>0.46466189261562585</v>
      </c>
      <c r="AK30" s="493">
        <f>'SAR and RAR'!AK30</f>
        <v>0.37373788819706122</v>
      </c>
      <c r="AL30" s="372"/>
      <c r="AN30" s="359"/>
    </row>
    <row r="31" spans="2:40">
      <c r="H31" s="490"/>
      <c r="I31" s="490"/>
      <c r="J31" s="262"/>
      <c r="K31" s="262"/>
      <c r="L31" s="490"/>
      <c r="M31" s="490"/>
      <c r="N31" s="490"/>
      <c r="O31" s="490"/>
      <c r="P31" s="490"/>
      <c r="Q31" s="490"/>
      <c r="R31" s="490"/>
      <c r="S31" s="491"/>
      <c r="T31" s="262"/>
      <c r="U31" s="262"/>
      <c r="V31" s="220"/>
      <c r="AA31" s="372" t="s">
        <v>357</v>
      </c>
      <c r="AB31" s="200">
        <f>'SAR and RAR'!AB31</f>
        <v>0.10604111471814805</v>
      </c>
      <c r="AC31" s="201">
        <f>'SAR and RAR'!AC31</f>
        <v>9.2040201092834811E-2</v>
      </c>
      <c r="AD31" s="372"/>
      <c r="AE31" s="217"/>
      <c r="AF31" s="359"/>
      <c r="AI31" s="372" t="s">
        <v>357</v>
      </c>
      <c r="AJ31" s="200">
        <f>'SAR and RAR'!AJ31</f>
        <v>0.10501978944326278</v>
      </c>
      <c r="AK31" s="201">
        <f>'SAR and RAR'!AK31</f>
        <v>9.2040201092834811E-2</v>
      </c>
      <c r="AL31" s="372"/>
      <c r="AM31" s="217"/>
      <c r="AN31" s="359"/>
    </row>
    <row r="32" spans="2:40">
      <c r="B32" s="7"/>
      <c r="C32" s="7"/>
      <c r="D32" s="5"/>
      <c r="E32" s="5"/>
      <c r="F32" s="375"/>
      <c r="G32" s="375"/>
      <c r="H32" s="375"/>
      <c r="I32" s="43"/>
      <c r="J32" s="43"/>
      <c r="K32" s="43"/>
      <c r="L32" s="5"/>
      <c r="M32" s="5"/>
      <c r="N32" s="5"/>
      <c r="O32" s="5"/>
      <c r="P32" s="5"/>
      <c r="Q32" s="5"/>
      <c r="R32" s="5"/>
      <c r="S32" s="216"/>
      <c r="T32" s="5"/>
      <c r="U32" s="216"/>
      <c r="V32" s="220"/>
      <c r="W32" s="220"/>
      <c r="X32" s="217"/>
      <c r="AA32" s="372" t="s">
        <v>374</v>
      </c>
      <c r="AB32" s="200">
        <f>'SAR and RAR'!AB32</f>
        <v>3.3324052864361096E-2</v>
      </c>
      <c r="AC32" s="201">
        <f>'SAR and RAR'!AC32</f>
        <v>2.9394853387822543E-2</v>
      </c>
      <c r="AD32" s="372"/>
      <c r="AE32" s="217"/>
      <c r="AF32" s="359"/>
      <c r="AI32" s="372" t="s">
        <v>374</v>
      </c>
      <c r="AJ32" s="200">
        <f>'SAR and RAR'!AJ32</f>
        <v>3.3418461993119791E-2</v>
      </c>
      <c r="AK32" s="201">
        <f>'SAR and RAR'!AK32</f>
        <v>2.9394853387822543E-2</v>
      </c>
      <c r="AL32" s="372"/>
      <c r="AM32" s="217"/>
      <c r="AN32" s="359"/>
    </row>
    <row r="33" spans="2:40">
      <c r="B33" s="7"/>
      <c r="C33" s="7"/>
      <c r="D33" s="5"/>
      <c r="E33" s="43"/>
      <c r="F33" s="70"/>
      <c r="G33" s="6">
        <v>2</v>
      </c>
      <c r="H33" s="6">
        <v>3</v>
      </c>
      <c r="I33" s="43">
        <v>4</v>
      </c>
      <c r="J33" s="43">
        <v>5</v>
      </c>
      <c r="K33" s="43">
        <v>6</v>
      </c>
      <c r="L33" s="6">
        <v>7</v>
      </c>
      <c r="M33" s="6">
        <v>8</v>
      </c>
      <c r="N33" s="6">
        <v>9</v>
      </c>
      <c r="O33" s="6">
        <v>10</v>
      </c>
      <c r="P33" s="6">
        <v>11</v>
      </c>
      <c r="Q33" s="6">
        <v>12</v>
      </c>
      <c r="R33" s="6">
        <v>13</v>
      </c>
      <c r="S33" s="6">
        <v>14</v>
      </c>
      <c r="T33" s="6">
        <v>15</v>
      </c>
      <c r="U33" s="216"/>
      <c r="V33" s="217"/>
      <c r="W33" s="220"/>
      <c r="X33" s="217"/>
      <c r="AA33" s="372" t="s">
        <v>570</v>
      </c>
      <c r="AB33" s="200">
        <f>'SAR and RAR'!AB33</f>
        <v>8.8178328740731421E-2</v>
      </c>
      <c r="AC33" s="201">
        <f>'SAR and RAR'!AC33</f>
        <v>0.10147953048583333</v>
      </c>
      <c r="AD33" s="372"/>
      <c r="AE33" s="494">
        <f>AVERAGE(AB33:AC33)</f>
        <v>9.4828929613282376E-2</v>
      </c>
      <c r="AF33" s="201">
        <f>(0.125*AB33)+(0.875*AC33)</f>
        <v>9.9816880267695585E-2</v>
      </c>
      <c r="AI33" s="372" t="s">
        <v>570</v>
      </c>
      <c r="AJ33" s="200">
        <f>'SAR and RAR'!AJ33</f>
        <v>8.6909234434938309E-2</v>
      </c>
      <c r="AK33" s="201">
        <f>'SAR and RAR'!AK33</f>
        <v>0.10147953048583333</v>
      </c>
      <c r="AL33" s="372"/>
      <c r="AM33" s="494">
        <f>AVERAGE(AJ33:AK33)</f>
        <v>9.419438246038582E-2</v>
      </c>
      <c r="AN33" s="201">
        <f>(0.125*AJ33)+(0.875*AK33)</f>
        <v>9.9658243479471442E-2</v>
      </c>
    </row>
    <row r="34" spans="2:40" ht="31">
      <c r="B34" s="7"/>
      <c r="C34" s="7"/>
      <c r="D34" s="211"/>
      <c r="E34" s="59"/>
      <c r="F34" s="59" t="s">
        <v>677</v>
      </c>
      <c r="G34" s="6" t="s">
        <v>3</v>
      </c>
      <c r="H34" s="6" t="s">
        <v>5</v>
      </c>
      <c r="I34" s="6" t="s">
        <v>16</v>
      </c>
      <c r="J34" s="6" t="s">
        <v>173</v>
      </c>
      <c r="K34" s="6" t="s">
        <v>14</v>
      </c>
      <c r="L34" s="6" t="s">
        <v>10</v>
      </c>
      <c r="M34" s="6" t="s">
        <v>66</v>
      </c>
      <c r="N34" s="6" t="s">
        <v>127</v>
      </c>
      <c r="O34" s="6" t="s">
        <v>134</v>
      </c>
      <c r="P34" s="6" t="s">
        <v>174</v>
      </c>
      <c r="Q34" s="209" t="s">
        <v>656</v>
      </c>
      <c r="R34" s="6" t="s">
        <v>275</v>
      </c>
      <c r="S34" s="6" t="s">
        <v>207</v>
      </c>
      <c r="T34" s="6" t="s">
        <v>292</v>
      </c>
      <c r="U34" s="5"/>
      <c r="V34" s="215"/>
      <c r="W34" s="220"/>
      <c r="AA34" s="372" t="s">
        <v>571</v>
      </c>
      <c r="AB34" s="200">
        <f>'SAR and RAR'!AB34</f>
        <v>0.14648830449316744</v>
      </c>
      <c r="AC34" s="201">
        <f>'SAR and RAR'!AC34</f>
        <v>0.18401660606871539</v>
      </c>
      <c r="AD34" s="372"/>
      <c r="AE34" s="217"/>
      <c r="AF34" s="359"/>
      <c r="AI34" s="372" t="s">
        <v>571</v>
      </c>
      <c r="AJ34" s="200">
        <f>'SAR and RAR'!AJ34</f>
        <v>0.15333183083440122</v>
      </c>
      <c r="AK34" s="201">
        <f>'SAR and RAR'!AK34</f>
        <v>0.18401660606871539</v>
      </c>
      <c r="AL34" s="372"/>
      <c r="AM34" s="217"/>
      <c r="AN34" s="359"/>
    </row>
    <row r="35" spans="2:40">
      <c r="E35" s="5"/>
      <c r="F35" s="376">
        <v>2026</v>
      </c>
      <c r="G35" s="71">
        <v>8.9153080100449936E-2</v>
      </c>
      <c r="H35" s="377">
        <v>8.8178328740731421E-2</v>
      </c>
      <c r="I35" s="71">
        <v>9.1230427642993647E-2</v>
      </c>
      <c r="J35" s="71">
        <v>9.6829659032863891E-2</v>
      </c>
      <c r="K35" s="71">
        <v>7.4447945021573092E-2</v>
      </c>
      <c r="L35" s="71">
        <v>9.5419616938551333E-2</v>
      </c>
      <c r="M35" s="71">
        <v>9.8653623351451475E-2</v>
      </c>
      <c r="N35" s="71">
        <v>9.2255828373502713E-2</v>
      </c>
      <c r="O35" s="71">
        <v>9.3824372765518013E-2</v>
      </c>
      <c r="P35" s="71">
        <v>4.2059080591135356E-3</v>
      </c>
      <c r="Q35" s="71">
        <v>0.10338653541029645</v>
      </c>
      <c r="R35" s="71">
        <v>0.10671001785047793</v>
      </c>
      <c r="S35" s="71">
        <v>0.11528495516710488</v>
      </c>
      <c r="T35" s="71">
        <f>((AB26*AE33)+((AB27-AB26)*(AF33)))/AB27</f>
        <v>9.8691523526039687E-2</v>
      </c>
      <c r="U35" s="5"/>
      <c r="V35" s="71"/>
      <c r="W35" s="221"/>
      <c r="AA35" s="372" t="s">
        <v>289</v>
      </c>
      <c r="AB35" s="200">
        <f>'SAR and RAR'!AB35</f>
        <v>3.4289500953912258E-3</v>
      </c>
      <c r="AC35" s="201">
        <f>'SAR and RAR'!AC35</f>
        <v>3.9605516879272504E-3</v>
      </c>
      <c r="AD35" s="372"/>
      <c r="AE35" s="217"/>
      <c r="AF35" s="359"/>
      <c r="AI35" s="372" t="s">
        <v>289</v>
      </c>
      <c r="AJ35" s="200">
        <f>'SAR and RAR'!AJ35</f>
        <v>3.3706310832522807E-3</v>
      </c>
      <c r="AK35" s="201">
        <f>'SAR and RAR'!AK35</f>
        <v>3.9605516879272504E-3</v>
      </c>
      <c r="AL35" s="372"/>
      <c r="AM35" s="217"/>
      <c r="AN35" s="359"/>
    </row>
    <row r="36" spans="2:40">
      <c r="E36" s="5"/>
      <c r="F36" s="376">
        <f>F35+1</f>
        <v>2027</v>
      </c>
      <c r="G36" s="71">
        <v>8.8198997864200823E-2</v>
      </c>
      <c r="H36" s="71">
        <v>8.6909234434938309E-2</v>
      </c>
      <c r="I36" s="71">
        <v>8.9517640480715338E-2</v>
      </c>
      <c r="J36" s="71">
        <v>9.6186883310971708E-2</v>
      </c>
      <c r="K36" s="71">
        <v>7.3205631021472858E-2</v>
      </c>
      <c r="L36" s="71">
        <v>9.5646292739244104E-2</v>
      </c>
      <c r="M36" s="71">
        <v>9.6579991545640217E-2</v>
      </c>
      <c r="N36" s="71">
        <v>9.0500968027766748E-2</v>
      </c>
      <c r="O36" s="71">
        <v>9.2061995440236508E-2</v>
      </c>
      <c r="P36" s="71">
        <v>3.478559591355099E-3</v>
      </c>
      <c r="Q36" s="71">
        <v>0.10132054318720267</v>
      </c>
      <c r="R36" s="71">
        <v>0.10546818627513735</v>
      </c>
      <c r="S36" s="71">
        <v>0.10422126722549835</v>
      </c>
      <c r="T36" s="71">
        <f>((AJ26*AM33)+((AJ27-AJ26)*(AN33)))/AJ27</f>
        <v>9.8011149291367686E-2</v>
      </c>
      <c r="U36" s="216"/>
      <c r="V36" s="5"/>
      <c r="X36" s="5"/>
      <c r="AA36" s="372" t="s">
        <v>290</v>
      </c>
      <c r="AB36" s="200">
        <f>'SAR and RAR'!AB36</f>
        <v>1.3902994449942997E-3</v>
      </c>
      <c r="AC36" s="201">
        <f>'SAR and RAR'!AC36</f>
        <v>3.8893033581186244E-3</v>
      </c>
      <c r="AD36" s="372"/>
      <c r="AE36" s="217"/>
      <c r="AF36" s="359"/>
      <c r="AI36" s="372" t="s">
        <v>290</v>
      </c>
      <c r="AJ36" s="200">
        <f>'SAR and RAR'!AJ36</f>
        <v>2.7712874998459289E-3</v>
      </c>
      <c r="AK36" s="201">
        <f>'SAR and RAR'!AK36</f>
        <v>3.8893033581186244E-3</v>
      </c>
      <c r="AL36" s="372"/>
      <c r="AM36" s="217"/>
      <c r="AN36" s="359"/>
    </row>
    <row r="37" spans="2:40">
      <c r="B37" s="7"/>
      <c r="C37" s="7"/>
      <c r="E37" s="5"/>
      <c r="F37" s="376">
        <f>F36+1</f>
        <v>2028</v>
      </c>
      <c r="G37" s="71">
        <f>G35</f>
        <v>8.9153080100449936E-2</v>
      </c>
      <c r="H37" s="71">
        <f t="shared" ref="H37:S37" si="4">H35</f>
        <v>8.8178328740731421E-2</v>
      </c>
      <c r="I37" s="71">
        <f t="shared" si="4"/>
        <v>9.1230427642993647E-2</v>
      </c>
      <c r="J37" s="71">
        <f t="shared" si="4"/>
        <v>9.6829659032863891E-2</v>
      </c>
      <c r="K37" s="71">
        <f t="shared" si="4"/>
        <v>7.4447945021573092E-2</v>
      </c>
      <c r="L37" s="71">
        <f t="shared" si="4"/>
        <v>9.5419616938551333E-2</v>
      </c>
      <c r="M37" s="71">
        <f t="shared" si="4"/>
        <v>9.8653623351451475E-2</v>
      </c>
      <c r="N37" s="71">
        <f t="shared" si="4"/>
        <v>9.2255828373502713E-2</v>
      </c>
      <c r="O37" s="71">
        <f t="shared" si="4"/>
        <v>9.3824372765518013E-2</v>
      </c>
      <c r="P37" s="71">
        <f t="shared" si="4"/>
        <v>4.2059080591135356E-3</v>
      </c>
      <c r="Q37" s="71">
        <f t="shared" si="4"/>
        <v>0.10338653541029645</v>
      </c>
      <c r="R37" s="71">
        <f t="shared" si="4"/>
        <v>0.10671001785047793</v>
      </c>
      <c r="S37" s="71">
        <f t="shared" si="4"/>
        <v>0.11528495516710488</v>
      </c>
      <c r="T37" s="71">
        <f>T35</f>
        <v>9.8691523526039687E-2</v>
      </c>
      <c r="U37" s="216"/>
      <c r="V37" s="220"/>
      <c r="W37" s="222"/>
      <c r="X37" s="217"/>
      <c r="AA37" s="372" t="s">
        <v>291</v>
      </c>
      <c r="AB37" s="200">
        <f>'SAR and RAR'!AB37</f>
        <v>8.8633537850768884E-2</v>
      </c>
      <c r="AC37" s="201">
        <f>'SAR and RAR'!AC37</f>
        <v>8.0695912474960468E-2</v>
      </c>
      <c r="AD37" s="372"/>
      <c r="AE37" s="217"/>
      <c r="AF37" s="359"/>
      <c r="AI37" s="372" t="s">
        <v>291</v>
      </c>
      <c r="AJ37" s="200">
        <f>'SAR and RAR'!AJ37</f>
        <v>9.28839376085831E-2</v>
      </c>
      <c r="AK37" s="201">
        <f>'SAR and RAR'!AK37</f>
        <v>8.0695912474960468E-2</v>
      </c>
      <c r="AL37" s="372"/>
      <c r="AM37" s="217"/>
      <c r="AN37" s="359"/>
    </row>
    <row r="38" spans="2:40">
      <c r="B38" s="7"/>
      <c r="C38" s="7"/>
      <c r="E38" s="5"/>
      <c r="F38" s="376">
        <f>F37+1</f>
        <v>2029</v>
      </c>
      <c r="G38" s="71">
        <f>G37</f>
        <v>8.9153080100449936E-2</v>
      </c>
      <c r="H38" s="71">
        <f t="shared" ref="H38:S38" si="5">H37</f>
        <v>8.8178328740731421E-2</v>
      </c>
      <c r="I38" s="71">
        <f t="shared" si="5"/>
        <v>9.1230427642993647E-2</v>
      </c>
      <c r="J38" s="71">
        <f t="shared" si="5"/>
        <v>9.6829659032863891E-2</v>
      </c>
      <c r="K38" s="71">
        <f t="shared" si="5"/>
        <v>7.4447945021573092E-2</v>
      </c>
      <c r="L38" s="71">
        <f t="shared" si="5"/>
        <v>9.5419616938551333E-2</v>
      </c>
      <c r="M38" s="71">
        <f t="shared" si="5"/>
        <v>9.8653623351451475E-2</v>
      </c>
      <c r="N38" s="71">
        <f t="shared" si="5"/>
        <v>9.2255828373502713E-2</v>
      </c>
      <c r="O38" s="71">
        <f t="shared" si="5"/>
        <v>9.3824372765518013E-2</v>
      </c>
      <c r="P38" s="71">
        <f t="shared" si="5"/>
        <v>4.2059080591135356E-3</v>
      </c>
      <c r="Q38" s="71">
        <f t="shared" si="5"/>
        <v>0.10338653541029645</v>
      </c>
      <c r="R38" s="71">
        <f t="shared" si="5"/>
        <v>0.10671001785047793</v>
      </c>
      <c r="S38" s="71">
        <f t="shared" si="5"/>
        <v>0.11528495516710488</v>
      </c>
      <c r="T38" s="71">
        <f>T37</f>
        <v>9.8691523526039687E-2</v>
      </c>
      <c r="U38" s="216"/>
      <c r="V38" s="220"/>
      <c r="W38" s="217"/>
      <c r="X38" s="217"/>
      <c r="AA38" s="372" t="s">
        <v>572</v>
      </c>
      <c r="AB38" s="200">
        <f>'SAR and RAR'!AB38</f>
        <v>3.9755327840354467E-2</v>
      </c>
      <c r="AC38" s="201">
        <f>'SAR and RAR'!AC38</f>
        <v>6.7877531643634414E-2</v>
      </c>
      <c r="AD38" s="372"/>
      <c r="AE38" s="217"/>
      <c r="AF38" s="359"/>
      <c r="AI38" s="372" t="s">
        <v>572</v>
      </c>
      <c r="AJ38" s="200">
        <f>'SAR and RAR'!AJ38</f>
        <v>3.9707161897810692E-2</v>
      </c>
      <c r="AK38" s="201">
        <f>'SAR and RAR'!AK38</f>
        <v>6.7877531643634414E-2</v>
      </c>
      <c r="AL38" s="372"/>
      <c r="AM38" s="217"/>
      <c r="AN38" s="359"/>
    </row>
    <row r="39" spans="2:40">
      <c r="B39" s="7"/>
      <c r="C39" s="7"/>
      <c r="E39" s="5"/>
      <c r="F39" s="8"/>
      <c r="G39" s="9"/>
      <c r="H39" s="126"/>
      <c r="I39" s="43"/>
      <c r="J39" s="43"/>
      <c r="K39" s="43"/>
      <c r="L39" s="5"/>
      <c r="M39" s="5"/>
      <c r="N39" s="5"/>
      <c r="O39" s="5"/>
      <c r="P39" s="5"/>
      <c r="Q39" s="5"/>
      <c r="S39" s="71"/>
      <c r="T39" s="5"/>
      <c r="U39" s="216"/>
      <c r="V39" s="220"/>
      <c r="W39" s="222"/>
      <c r="X39" s="220"/>
      <c r="AA39" s="372" t="s">
        <v>573</v>
      </c>
      <c r="AB39" s="200">
        <f>'SAR and RAR'!AB39</f>
        <v>1.5716952856348013E-2</v>
      </c>
      <c r="AC39" s="201">
        <f>'SAR and RAR'!AC39</f>
        <v>2.2712125739292564E-2</v>
      </c>
      <c r="AD39" s="372"/>
      <c r="AE39" s="217"/>
      <c r="AF39" s="359"/>
      <c r="AI39" s="372" t="s">
        <v>573</v>
      </c>
      <c r="AJ39" s="200">
        <f>'SAR and RAR'!AJ39</f>
        <v>1.685713420315451E-2</v>
      </c>
      <c r="AK39" s="201">
        <f>'SAR and RAR'!AK39</f>
        <v>2.2712125739292564E-2</v>
      </c>
      <c r="AL39" s="372"/>
      <c r="AM39" s="217"/>
      <c r="AN39" s="359"/>
    </row>
    <row r="40" spans="2:40" ht="16" thickBot="1">
      <c r="B40" s="7"/>
      <c r="C40" s="7"/>
      <c r="D40" s="5"/>
      <c r="E40" s="5"/>
      <c r="F40" s="59" t="s">
        <v>176</v>
      </c>
      <c r="G40" s="43"/>
      <c r="H40" s="43"/>
      <c r="I40" s="43"/>
      <c r="J40" s="43"/>
      <c r="K40" s="43"/>
      <c r="L40" s="5"/>
      <c r="M40" s="5"/>
      <c r="N40" s="5"/>
      <c r="O40" s="5"/>
      <c r="P40" s="5"/>
      <c r="Q40" s="5"/>
      <c r="S40" s="71"/>
      <c r="T40" s="5"/>
      <c r="U40" s="216"/>
      <c r="V40" s="220"/>
      <c r="W40" s="220"/>
      <c r="X40" s="217"/>
      <c r="AA40" s="364" t="s">
        <v>574</v>
      </c>
      <c r="AB40" s="202">
        <f>'SAR and RAR'!AB40</f>
        <v>1.4935947665695741E-3</v>
      </c>
      <c r="AC40" s="203">
        <f>'SAR and RAR'!AC40</f>
        <v>4.0195495863799224E-2</v>
      </c>
      <c r="AD40" s="364"/>
      <c r="AE40" s="495"/>
      <c r="AF40" s="366"/>
      <c r="AI40" s="364" t="s">
        <v>574</v>
      </c>
      <c r="AJ40" s="202">
        <f>'SAR and RAR'!AJ40</f>
        <v>1.0686383860052963E-3</v>
      </c>
      <c r="AK40" s="203">
        <f>'SAR and RAR'!AK40</f>
        <v>4.0195495863799224E-2</v>
      </c>
      <c r="AL40" s="364"/>
      <c r="AM40" s="495"/>
      <c r="AN40" s="366"/>
    </row>
    <row r="41" spans="2:40">
      <c r="B41" s="7"/>
      <c r="C41" s="7"/>
      <c r="D41" s="5"/>
      <c r="E41" s="363" t="s">
        <v>570</v>
      </c>
      <c r="F41" s="376">
        <f>F35</f>
        <v>2026</v>
      </c>
      <c r="G41" s="71">
        <v>1</v>
      </c>
      <c r="H41" s="71">
        <f t="shared" ref="H41:R41" si="6">$K51/$O51</f>
        <v>0.29787907773430822</v>
      </c>
      <c r="I41" s="71">
        <f t="shared" si="6"/>
        <v>0.29787907773430822</v>
      </c>
      <c r="J41" s="71">
        <f t="shared" si="6"/>
        <v>0.29787907773430822</v>
      </c>
      <c r="K41" s="71">
        <f t="shared" si="6"/>
        <v>0.29787907773430822</v>
      </c>
      <c r="L41" s="71">
        <f t="shared" si="6"/>
        <v>0.29787907773430822</v>
      </c>
      <c r="M41" s="71">
        <f t="shared" si="6"/>
        <v>0.29787907773430822</v>
      </c>
      <c r="N41" s="71">
        <f t="shared" si="6"/>
        <v>0.29787907773430822</v>
      </c>
      <c r="O41" s="71">
        <f t="shared" si="6"/>
        <v>0.29787907773430822</v>
      </c>
      <c r="P41" s="71">
        <f t="shared" si="6"/>
        <v>0.29787907773430822</v>
      </c>
      <c r="Q41" s="71">
        <f t="shared" si="6"/>
        <v>0.29787907773430822</v>
      </c>
      <c r="R41" s="71">
        <f t="shared" si="6"/>
        <v>0.29787907773430822</v>
      </c>
      <c r="S41" s="71">
        <v>-0.14383483840820835</v>
      </c>
      <c r="T41" s="71">
        <f t="shared" ref="T41:T48" si="7">$K51/$O51</f>
        <v>0.29787907773430822</v>
      </c>
      <c r="U41" s="216"/>
      <c r="V41" s="220"/>
      <c r="W41" s="215"/>
      <c r="X41" s="215"/>
      <c r="AJ41" s="378"/>
      <c r="AK41" s="378"/>
    </row>
    <row r="42" spans="2:40">
      <c r="B42" s="7"/>
      <c r="C42" s="7"/>
      <c r="D42" s="5"/>
      <c r="E42" s="363" t="s">
        <v>570</v>
      </c>
      <c r="F42" s="376">
        <f>F36</f>
        <v>2027</v>
      </c>
      <c r="G42" s="71">
        <v>1</v>
      </c>
      <c r="H42" s="71">
        <f t="shared" ref="H42:R42" si="8">$K52/$O52</f>
        <v>0.28217504734838456</v>
      </c>
      <c r="I42" s="71">
        <f t="shared" si="8"/>
        <v>0.28217504734838456</v>
      </c>
      <c r="J42" s="71">
        <f t="shared" si="8"/>
        <v>0.28217504734838456</v>
      </c>
      <c r="K42" s="71">
        <f t="shared" si="8"/>
        <v>0.28217504734838456</v>
      </c>
      <c r="L42" s="71">
        <f t="shared" si="8"/>
        <v>0.28217504734838456</v>
      </c>
      <c r="M42" s="71">
        <f t="shared" si="8"/>
        <v>0.28217504734838456</v>
      </c>
      <c r="N42" s="71">
        <f t="shared" si="8"/>
        <v>0.28217504734838456</v>
      </c>
      <c r="O42" s="71">
        <f t="shared" si="8"/>
        <v>0.28217504734838456</v>
      </c>
      <c r="P42" s="71">
        <f t="shared" si="8"/>
        <v>0.28217504734838456</v>
      </c>
      <c r="Q42" s="71">
        <f t="shared" si="8"/>
        <v>0.28217504734838456</v>
      </c>
      <c r="R42" s="71">
        <f t="shared" si="8"/>
        <v>0.28217504734838456</v>
      </c>
      <c r="S42" s="71">
        <v>0.24696583485575022</v>
      </c>
      <c r="T42" s="71">
        <f t="shared" si="7"/>
        <v>0.28217504734838456</v>
      </c>
      <c r="U42" s="5"/>
      <c r="V42" s="215"/>
      <c r="X42" s="217"/>
      <c r="AB42" s="379"/>
      <c r="AC42" s="379"/>
    </row>
    <row r="43" spans="2:40" ht="66" customHeight="1">
      <c r="B43" s="7"/>
      <c r="C43" s="7"/>
      <c r="D43" s="5"/>
      <c r="E43" s="363" t="s">
        <v>570</v>
      </c>
      <c r="F43" s="376">
        <f>F37</f>
        <v>2028</v>
      </c>
      <c r="G43" s="71">
        <f t="shared" ref="G43" si="9">G42</f>
        <v>1</v>
      </c>
      <c r="H43" s="71">
        <f>H41</f>
        <v>0.29787907773430822</v>
      </c>
      <c r="I43" s="71">
        <f t="shared" ref="I43:R43" si="10">I41</f>
        <v>0.29787907773430822</v>
      </c>
      <c r="J43" s="71">
        <f t="shared" si="10"/>
        <v>0.29787907773430822</v>
      </c>
      <c r="K43" s="71">
        <f t="shared" si="10"/>
        <v>0.29787907773430822</v>
      </c>
      <c r="L43" s="71">
        <f t="shared" si="10"/>
        <v>0.29787907773430822</v>
      </c>
      <c r="M43" s="71">
        <f t="shared" si="10"/>
        <v>0.29787907773430822</v>
      </c>
      <c r="N43" s="71">
        <f t="shared" si="10"/>
        <v>0.29787907773430822</v>
      </c>
      <c r="O43" s="71">
        <f t="shared" si="10"/>
        <v>0.29787907773430822</v>
      </c>
      <c r="P43" s="71">
        <f t="shared" si="10"/>
        <v>0.29787907773430822</v>
      </c>
      <c r="Q43" s="71">
        <f t="shared" si="10"/>
        <v>0.29787907773430822</v>
      </c>
      <c r="R43" s="71">
        <f t="shared" si="10"/>
        <v>0.29787907773430822</v>
      </c>
      <c r="S43" s="71">
        <v>0.23928408280911648</v>
      </c>
      <c r="T43" s="71">
        <f t="shared" si="7"/>
        <v>0.29787907773430822</v>
      </c>
      <c r="U43" s="216"/>
      <c r="V43" s="220"/>
      <c r="W43" s="160"/>
      <c r="X43" s="5"/>
      <c r="AA43" s="154"/>
      <c r="AB43" s="250" t="str">
        <f>'SAR and RAR'!AB43</f>
        <v>1/1/26  Bundled
w/Credit</v>
      </c>
      <c r="AC43" s="250" t="str">
        <f>'SAR and RAR'!AC43</f>
        <v>1/1/26  Bundled
w/out Credit</v>
      </c>
      <c r="AD43" s="250"/>
      <c r="AE43" s="250" t="str">
        <f>'SAR and RAR'!AE43</f>
        <v>1/1/26  System
w/Credit</v>
      </c>
      <c r="AF43" s="250" t="str">
        <f>'SAR and RAR'!AF43</f>
        <v>1/1/26  System
w/out Credit</v>
      </c>
    </row>
    <row r="44" spans="2:40">
      <c r="B44" s="7"/>
      <c r="C44" s="7"/>
      <c r="D44" s="5"/>
      <c r="E44" s="363" t="s">
        <v>570</v>
      </c>
      <c r="F44" s="376">
        <f>F38</f>
        <v>2029</v>
      </c>
      <c r="G44" s="71">
        <f t="shared" ref="G44" si="11">G42</f>
        <v>1</v>
      </c>
      <c r="H44" s="71">
        <f>H43</f>
        <v>0.29787907773430822</v>
      </c>
      <c r="I44" s="71">
        <f t="shared" ref="I44:R44" si="12">I43</f>
        <v>0.29787907773430822</v>
      </c>
      <c r="J44" s="71">
        <f t="shared" si="12"/>
        <v>0.29787907773430822</v>
      </c>
      <c r="K44" s="71">
        <f t="shared" si="12"/>
        <v>0.29787907773430822</v>
      </c>
      <c r="L44" s="71">
        <f t="shared" si="12"/>
        <v>0.29787907773430822</v>
      </c>
      <c r="M44" s="71">
        <f t="shared" si="12"/>
        <v>0.29787907773430822</v>
      </c>
      <c r="N44" s="71">
        <f t="shared" si="12"/>
        <v>0.29787907773430822</v>
      </c>
      <c r="O44" s="71">
        <f t="shared" si="12"/>
        <v>0.29787907773430822</v>
      </c>
      <c r="P44" s="71">
        <f t="shared" si="12"/>
        <v>0.29787907773430822</v>
      </c>
      <c r="Q44" s="71">
        <f t="shared" si="12"/>
        <v>0.29787907773430822</v>
      </c>
      <c r="R44" s="71">
        <f t="shared" si="12"/>
        <v>0.29787907773430822</v>
      </c>
      <c r="S44" s="71">
        <f>S43</f>
        <v>0.23928408280911648</v>
      </c>
      <c r="T44" s="71">
        <f t="shared" si="7"/>
        <v>0.29787907773430822</v>
      </c>
      <c r="U44" s="5"/>
      <c r="V44" s="5"/>
      <c r="W44" s="5"/>
      <c r="X44" s="5"/>
      <c r="AA44" s="155"/>
      <c r="AB44" s="164"/>
      <c r="AC44" s="164"/>
      <c r="AD44" s="165"/>
      <c r="AE44" s="164"/>
      <c r="AF44" s="164"/>
    </row>
    <row r="45" spans="2:40">
      <c r="B45" s="7"/>
      <c r="C45" s="7"/>
      <c r="D45" s="5"/>
      <c r="E45" s="363" t="s">
        <v>22</v>
      </c>
      <c r="F45" s="376">
        <f>F41</f>
        <v>2026</v>
      </c>
      <c r="G45" s="71">
        <v>1</v>
      </c>
      <c r="H45" s="71">
        <f t="shared" ref="H45:R45" si="13">$K55/$O55</f>
        <v>0.32886186544742674</v>
      </c>
      <c r="I45" s="71">
        <f t="shared" si="13"/>
        <v>0.32886186544742674</v>
      </c>
      <c r="J45" s="71">
        <f t="shared" si="13"/>
        <v>0.32886186544742674</v>
      </c>
      <c r="K45" s="71">
        <f t="shared" si="13"/>
        <v>0.32886186544742674</v>
      </c>
      <c r="L45" s="71">
        <f t="shared" si="13"/>
        <v>0.32886186544742674</v>
      </c>
      <c r="M45" s="71">
        <f t="shared" si="13"/>
        <v>0.32886186544742674</v>
      </c>
      <c r="N45" s="71">
        <f t="shared" si="13"/>
        <v>0.32886186544742674</v>
      </c>
      <c r="O45" s="71">
        <f t="shared" si="13"/>
        <v>0.32886186544742674</v>
      </c>
      <c r="P45" s="71">
        <f t="shared" si="13"/>
        <v>0.32886186544742674</v>
      </c>
      <c r="Q45" s="71">
        <f t="shared" si="13"/>
        <v>0.32886186544742674</v>
      </c>
      <c r="R45" s="71">
        <f t="shared" si="13"/>
        <v>0.32886186544742674</v>
      </c>
      <c r="S45" s="71">
        <f>'SAR and RAR'!S45</f>
        <v>-0.18596781844616742</v>
      </c>
      <c r="T45" s="71">
        <f t="shared" si="7"/>
        <v>0.32886186544742674</v>
      </c>
      <c r="U45" s="216"/>
      <c r="V45" s="220"/>
      <c r="W45" s="217"/>
      <c r="X45" s="217"/>
      <c r="AA45" s="155" t="s">
        <v>570</v>
      </c>
      <c r="AB45" s="254">
        <v>35.942956259159708</v>
      </c>
      <c r="AC45" s="254">
        <v>35.988298294216605</v>
      </c>
      <c r="AD45" s="165" t="s">
        <v>570</v>
      </c>
      <c r="AE45" s="254">
        <v>29.379007664825036</v>
      </c>
      <c r="AF45" s="254">
        <v>29.399828893124074</v>
      </c>
    </row>
    <row r="46" spans="2:40">
      <c r="B46" s="7"/>
      <c r="C46" s="7"/>
      <c r="D46" s="5"/>
      <c r="E46" s="363" t="s">
        <v>22</v>
      </c>
      <c r="F46" s="376">
        <f>F42</f>
        <v>2027</v>
      </c>
      <c r="G46" s="71">
        <v>1</v>
      </c>
      <c r="H46" s="71">
        <f t="shared" ref="H46:R46" si="14">$K56/$O56</f>
        <v>0.3059173018484998</v>
      </c>
      <c r="I46" s="71">
        <f t="shared" si="14"/>
        <v>0.3059173018484998</v>
      </c>
      <c r="J46" s="71">
        <f t="shared" si="14"/>
        <v>0.3059173018484998</v>
      </c>
      <c r="K46" s="71">
        <f t="shared" si="14"/>
        <v>0.3059173018484998</v>
      </c>
      <c r="L46" s="71">
        <f t="shared" si="14"/>
        <v>0.3059173018484998</v>
      </c>
      <c r="M46" s="71">
        <f t="shared" si="14"/>
        <v>0.3059173018484998</v>
      </c>
      <c r="N46" s="71">
        <f t="shared" si="14"/>
        <v>0.3059173018484998</v>
      </c>
      <c r="O46" s="71">
        <f t="shared" si="14"/>
        <v>0.3059173018484998</v>
      </c>
      <c r="P46" s="71">
        <f t="shared" si="14"/>
        <v>0.3059173018484998</v>
      </c>
      <c r="Q46" s="71">
        <f t="shared" si="14"/>
        <v>0.3059173018484998</v>
      </c>
      <c r="R46" s="71">
        <f t="shared" si="14"/>
        <v>0.3059173018484998</v>
      </c>
      <c r="S46" s="71">
        <f>'SAR and RAR'!S46</f>
        <v>0.28509085374089826</v>
      </c>
      <c r="T46" s="71">
        <f t="shared" si="7"/>
        <v>0.3059173018484998</v>
      </c>
      <c r="U46" s="216"/>
      <c r="V46" s="220"/>
      <c r="W46" s="217"/>
      <c r="X46" s="217"/>
      <c r="AA46" s="155" t="s">
        <v>28</v>
      </c>
      <c r="AB46" s="254">
        <v>33.416008222733581</v>
      </c>
      <c r="AC46" s="254">
        <v>34.072433607860397</v>
      </c>
      <c r="AD46" s="165" t="s">
        <v>22</v>
      </c>
      <c r="AE46" s="254">
        <v>27.143640625458705</v>
      </c>
      <c r="AF46" s="254">
        <v>27.73770240701548</v>
      </c>
    </row>
    <row r="47" spans="2:40">
      <c r="B47" s="7"/>
      <c r="C47" s="7"/>
      <c r="D47" s="5"/>
      <c r="E47" s="363" t="s">
        <v>22</v>
      </c>
      <c r="F47" s="376">
        <f>F43</f>
        <v>2028</v>
      </c>
      <c r="G47" s="71">
        <f t="shared" ref="G47" si="15">G46</f>
        <v>1</v>
      </c>
      <c r="H47" s="71">
        <f>H45</f>
        <v>0.32886186544742674</v>
      </c>
      <c r="I47" s="71">
        <f t="shared" ref="I47:R47" si="16">I45</f>
        <v>0.32886186544742674</v>
      </c>
      <c r="J47" s="71">
        <f t="shared" si="16"/>
        <v>0.32886186544742674</v>
      </c>
      <c r="K47" s="71">
        <f t="shared" si="16"/>
        <v>0.32886186544742674</v>
      </c>
      <c r="L47" s="71">
        <f t="shared" si="16"/>
        <v>0.32886186544742674</v>
      </c>
      <c r="M47" s="71">
        <f t="shared" si="16"/>
        <v>0.32886186544742674</v>
      </c>
      <c r="N47" s="71">
        <f t="shared" si="16"/>
        <v>0.32886186544742674</v>
      </c>
      <c r="O47" s="71">
        <f t="shared" si="16"/>
        <v>0.32886186544742674</v>
      </c>
      <c r="P47" s="71">
        <f t="shared" si="16"/>
        <v>0.32886186544742674</v>
      </c>
      <c r="Q47" s="71">
        <f t="shared" si="16"/>
        <v>0.32886186544742674</v>
      </c>
      <c r="R47" s="71">
        <f t="shared" si="16"/>
        <v>0.32886186544742674</v>
      </c>
      <c r="S47" s="71">
        <f>'SAR and RAR'!S47</f>
        <v>0.28144412281858089</v>
      </c>
      <c r="T47" s="71">
        <f t="shared" si="7"/>
        <v>0.32886186544742674</v>
      </c>
      <c r="U47" s="5"/>
      <c r="V47" s="215"/>
      <c r="W47" s="220"/>
      <c r="X47" s="217"/>
      <c r="AA47" s="156"/>
      <c r="AB47" s="166"/>
      <c r="AC47" s="166"/>
      <c r="AD47" s="166"/>
      <c r="AE47" s="166"/>
      <c r="AF47" s="167"/>
    </row>
    <row r="48" spans="2:40" ht="59.25" customHeight="1">
      <c r="B48" s="7"/>
      <c r="C48" s="7"/>
      <c r="D48" s="5"/>
      <c r="E48" s="363" t="s">
        <v>22</v>
      </c>
      <c r="F48" s="376">
        <f>F44</f>
        <v>2029</v>
      </c>
      <c r="G48" s="71">
        <f t="shared" ref="G48" si="17">G46</f>
        <v>1</v>
      </c>
      <c r="H48" s="71">
        <f>H47</f>
        <v>0.32886186544742674</v>
      </c>
      <c r="I48" s="71">
        <f t="shared" ref="I48:R48" si="18">I47</f>
        <v>0.32886186544742674</v>
      </c>
      <c r="J48" s="71">
        <f t="shared" si="18"/>
        <v>0.32886186544742674</v>
      </c>
      <c r="K48" s="71">
        <f t="shared" si="18"/>
        <v>0.32886186544742674</v>
      </c>
      <c r="L48" s="71">
        <f t="shared" si="18"/>
        <v>0.32886186544742674</v>
      </c>
      <c r="M48" s="71">
        <f t="shared" si="18"/>
        <v>0.32886186544742674</v>
      </c>
      <c r="N48" s="71">
        <f t="shared" si="18"/>
        <v>0.32886186544742674</v>
      </c>
      <c r="O48" s="71">
        <f t="shared" si="18"/>
        <v>0.32886186544742674</v>
      </c>
      <c r="P48" s="71">
        <f t="shared" si="18"/>
        <v>0.32886186544742674</v>
      </c>
      <c r="Q48" s="71">
        <f t="shared" si="18"/>
        <v>0.32886186544742674</v>
      </c>
      <c r="R48" s="71">
        <f t="shared" si="18"/>
        <v>0.32886186544742674</v>
      </c>
      <c r="S48" s="71">
        <f>'SAR and RAR'!S48</f>
        <v>0.28144412281858089</v>
      </c>
      <c r="T48" s="71">
        <f t="shared" si="7"/>
        <v>0.32886186544742674</v>
      </c>
      <c r="U48" s="216"/>
      <c r="V48" s="220"/>
      <c r="W48" s="220"/>
      <c r="X48" s="217"/>
      <c r="AA48" s="154"/>
      <c r="AB48" s="246" t="str">
        <f>'SAR and RAR'!AB48</f>
        <v>3/1/26 Bundled
w/Credit</v>
      </c>
      <c r="AC48" s="246" t="str">
        <f>'SAR and RAR'!AC48</f>
        <v>3/1/26 Bundled
w/out Credit</v>
      </c>
      <c r="AD48" s="246"/>
      <c r="AE48" s="246" t="str">
        <f>'SAR and RAR'!AE48</f>
        <v>3/1/26 System
w/Credit</v>
      </c>
      <c r="AF48" s="246" t="str">
        <f>'SAR and RAR'!AF48</f>
        <v>3/1/26 System
w/out Credit</v>
      </c>
      <c r="AM48" s="380"/>
    </row>
    <row r="49" spans="2:32">
      <c r="B49" s="7"/>
      <c r="C49" s="7"/>
      <c r="D49" s="5"/>
      <c r="E49" s="5"/>
      <c r="F49" s="43"/>
      <c r="G49" s="43"/>
      <c r="H49" s="43"/>
      <c r="I49" s="43"/>
      <c r="J49" s="43"/>
      <c r="K49" s="43"/>
      <c r="L49" s="5"/>
      <c r="M49" s="5"/>
      <c r="N49" s="5"/>
      <c r="O49" s="5"/>
      <c r="P49" s="5"/>
      <c r="Q49" s="5"/>
      <c r="R49" s="5"/>
      <c r="S49" s="216"/>
      <c r="T49" s="5"/>
      <c r="U49" s="5"/>
      <c r="V49" s="5"/>
      <c r="W49" s="217"/>
      <c r="X49" s="217"/>
      <c r="AA49" s="155"/>
      <c r="AB49" s="164"/>
      <c r="AC49" s="164"/>
      <c r="AD49" s="165"/>
      <c r="AE49" s="164"/>
      <c r="AF49" s="164"/>
    </row>
    <row r="50" spans="2:32">
      <c r="B50" s="7"/>
      <c r="C50" s="7"/>
      <c r="D50" s="5"/>
      <c r="E50" s="5"/>
      <c r="F50" s="59" t="s">
        <v>276</v>
      </c>
      <c r="G50" s="43"/>
      <c r="H50" s="43"/>
      <c r="I50" s="43"/>
      <c r="J50" s="59" t="s">
        <v>131</v>
      </c>
      <c r="K50" s="43"/>
      <c r="L50" s="127"/>
      <c r="M50" s="223"/>
      <c r="N50" s="59" t="s">
        <v>130</v>
      </c>
      <c r="O50" s="5"/>
      <c r="P50" s="5"/>
      <c r="Q50" s="5"/>
      <c r="R50" s="5"/>
      <c r="S50" s="216"/>
      <c r="T50" s="536"/>
      <c r="U50" s="536"/>
      <c r="V50" s="5"/>
      <c r="W50" s="215"/>
      <c r="X50" s="215"/>
      <c r="AA50" s="155" t="s">
        <v>570</v>
      </c>
      <c r="AB50" s="254">
        <v>35.462275720449355</v>
      </c>
      <c r="AC50" s="254">
        <v>35.507617755506253</v>
      </c>
      <c r="AD50" s="165" t="s">
        <v>570</v>
      </c>
      <c r="AE50" s="254">
        <v>28.911532082509854</v>
      </c>
      <c r="AF50" s="254">
        <v>28.932353310808896</v>
      </c>
    </row>
    <row r="51" spans="2:32">
      <c r="B51" s="5"/>
      <c r="C51" s="5"/>
      <c r="D51" s="5"/>
      <c r="E51" s="363" t="s">
        <v>570</v>
      </c>
      <c r="F51" s="376">
        <f t="shared" ref="F51:F58" si="19">F41</f>
        <v>2026</v>
      </c>
      <c r="G51" s="111">
        <v>6922488.7429538043</v>
      </c>
      <c r="H51" s="43"/>
      <c r="I51" s="363" t="s">
        <v>570</v>
      </c>
      <c r="J51" s="376">
        <f t="shared" ref="J51:J58" si="20">F51</f>
        <v>2026</v>
      </c>
      <c r="K51" s="111">
        <v>2070308.6847778107</v>
      </c>
      <c r="L51" s="70"/>
      <c r="M51" s="363" t="s">
        <v>570</v>
      </c>
      <c r="N51" s="376">
        <f t="shared" ref="N51:N58" si="21">F51</f>
        <v>2026</v>
      </c>
      <c r="O51" s="60">
        <v>6950164.8136040373</v>
      </c>
      <c r="P51" s="261"/>
      <c r="Q51" s="5"/>
      <c r="R51" s="5"/>
      <c r="S51" s="381"/>
      <c r="T51" s="5"/>
      <c r="U51" s="216"/>
      <c r="V51" s="220"/>
      <c r="W51" s="5"/>
      <c r="X51" s="5"/>
      <c r="AA51" s="155" t="s">
        <v>28</v>
      </c>
      <c r="AB51" s="254">
        <v>32.596708001946226</v>
      </c>
      <c r="AC51" s="254">
        <v>33.253133387073035</v>
      </c>
      <c r="AD51" s="165" t="s">
        <v>22</v>
      </c>
      <c r="AE51" s="255">
        <v>26.65073540105055</v>
      </c>
      <c r="AF51" s="255">
        <v>27.244797182607329</v>
      </c>
    </row>
    <row r="52" spans="2:32">
      <c r="B52" s="5"/>
      <c r="C52" s="5"/>
      <c r="D52" s="5"/>
      <c r="E52" s="363" t="s">
        <v>570</v>
      </c>
      <c r="F52" s="376">
        <f t="shared" si="19"/>
        <v>2027</v>
      </c>
      <c r="G52" s="111">
        <v>6747755.8660446052</v>
      </c>
      <c r="H52" s="224"/>
      <c r="I52" s="363" t="s">
        <v>570</v>
      </c>
      <c r="J52" s="376">
        <f t="shared" si="20"/>
        <v>2027</v>
      </c>
      <c r="K52" s="111">
        <v>1912270.1128597553</v>
      </c>
      <c r="L52" s="247"/>
      <c r="M52" s="363" t="s">
        <v>570</v>
      </c>
      <c r="N52" s="376">
        <f t="shared" si="21"/>
        <v>2027</v>
      </c>
      <c r="O52" s="60">
        <v>6776893.0344106238</v>
      </c>
      <c r="P52" s="261"/>
      <c r="Q52" s="7"/>
      <c r="R52" s="162"/>
      <c r="S52" s="216"/>
      <c r="T52" s="5"/>
      <c r="U52" s="216"/>
      <c r="V52" s="217"/>
      <c r="W52" s="5"/>
      <c r="X52" s="5"/>
    </row>
    <row r="53" spans="2:32">
      <c r="B53" s="5"/>
      <c r="C53" s="5"/>
      <c r="D53" s="5"/>
      <c r="E53" s="363" t="s">
        <v>570</v>
      </c>
      <c r="F53" s="376">
        <f t="shared" si="19"/>
        <v>2028</v>
      </c>
      <c r="G53" s="111">
        <f>G51</f>
        <v>6922488.7429538043</v>
      </c>
      <c r="H53" s="43"/>
      <c r="I53" s="363" t="s">
        <v>570</v>
      </c>
      <c r="J53" s="376">
        <f t="shared" si="20"/>
        <v>2028</v>
      </c>
      <c r="K53" s="111">
        <f>K51</f>
        <v>2070308.6847778107</v>
      </c>
      <c r="L53" s="5"/>
      <c r="M53" s="363" t="s">
        <v>570</v>
      </c>
      <c r="N53" s="376">
        <f t="shared" si="21"/>
        <v>2028</v>
      </c>
      <c r="O53" s="111">
        <f>O51</f>
        <v>6950164.8136040373</v>
      </c>
      <c r="P53" s="5"/>
      <c r="Q53" s="5"/>
      <c r="R53" s="5"/>
      <c r="S53" s="216"/>
      <c r="T53" s="5"/>
      <c r="U53" s="216"/>
      <c r="V53" s="220"/>
      <c r="W53" s="220"/>
      <c r="X53" s="217"/>
    </row>
    <row r="54" spans="2:32">
      <c r="B54" s="5"/>
      <c r="C54" s="5"/>
      <c r="D54" s="5"/>
      <c r="E54" s="363" t="s">
        <v>570</v>
      </c>
      <c r="F54" s="376">
        <f t="shared" si="19"/>
        <v>2029</v>
      </c>
      <c r="G54" s="111">
        <f>G53</f>
        <v>6922488.7429538043</v>
      </c>
      <c r="H54" s="43"/>
      <c r="I54" s="363" t="s">
        <v>570</v>
      </c>
      <c r="J54" s="376">
        <f t="shared" si="20"/>
        <v>2029</v>
      </c>
      <c r="K54" s="111">
        <f>K53</f>
        <v>2070308.6847778107</v>
      </c>
      <c r="L54" s="5"/>
      <c r="M54" s="363" t="s">
        <v>570</v>
      </c>
      <c r="N54" s="376">
        <f t="shared" si="21"/>
        <v>2029</v>
      </c>
      <c r="O54" s="111">
        <f>$O$53</f>
        <v>6950164.8136040373</v>
      </c>
      <c r="P54" s="5"/>
      <c r="Q54" s="5"/>
      <c r="R54" s="5"/>
      <c r="S54" s="216"/>
      <c r="T54" s="5"/>
      <c r="U54" s="216"/>
      <c r="V54" s="220"/>
      <c r="W54" s="220"/>
      <c r="X54" s="217"/>
    </row>
    <row r="55" spans="2:32">
      <c r="B55" s="5"/>
      <c r="C55" s="5"/>
      <c r="D55" s="5"/>
      <c r="E55" s="363" t="s">
        <v>22</v>
      </c>
      <c r="F55" s="376">
        <f t="shared" si="19"/>
        <v>2026</v>
      </c>
      <c r="G55" s="111">
        <f>'SAR and RAR'!G55</f>
        <v>67795755.926224142</v>
      </c>
      <c r="H55" s="43"/>
      <c r="I55" s="363" t="s">
        <v>22</v>
      </c>
      <c r="J55" s="376">
        <f t="shared" si="20"/>
        <v>2026</v>
      </c>
      <c r="K55" s="111">
        <f>'SAR and RAR'!K55</f>
        <v>24784494.935273737</v>
      </c>
      <c r="L55" s="5"/>
      <c r="M55" s="363" t="s">
        <v>22</v>
      </c>
      <c r="N55" s="376">
        <f t="shared" si="21"/>
        <v>2026</v>
      </c>
      <c r="O55" s="60">
        <f>'SAR and RAR'!O55</f>
        <v>75364454.013400629</v>
      </c>
      <c r="P55" s="128"/>
      <c r="Q55" s="5"/>
      <c r="R55" s="5"/>
      <c r="S55" s="216"/>
      <c r="T55" s="5"/>
      <c r="U55" s="216"/>
      <c r="V55" s="217"/>
      <c r="W55" s="220"/>
      <c r="X55" s="217"/>
      <c r="AB55" s="144"/>
    </row>
    <row r="56" spans="2:32">
      <c r="B56" s="5"/>
      <c r="C56" s="5"/>
      <c r="D56" s="5"/>
      <c r="E56" s="363" t="s">
        <v>22</v>
      </c>
      <c r="F56" s="376">
        <f t="shared" si="19"/>
        <v>2027</v>
      </c>
      <c r="G56" s="111">
        <f>'SAR and RAR'!G56</f>
        <v>67051910.402557842</v>
      </c>
      <c r="H56" s="224"/>
      <c r="I56" s="363" t="s">
        <v>22</v>
      </c>
      <c r="J56" s="376">
        <f t="shared" si="20"/>
        <v>2027</v>
      </c>
      <c r="K56" s="111">
        <f>'SAR and RAR'!K56</f>
        <v>22918685.439028699</v>
      </c>
      <c r="L56" s="224"/>
      <c r="M56" s="363" t="s">
        <v>22</v>
      </c>
      <c r="N56" s="376">
        <f t="shared" si="21"/>
        <v>2027</v>
      </c>
      <c r="O56" s="60">
        <f>'SAR and RAR'!O56</f>
        <v>74917911.803428426</v>
      </c>
      <c r="P56" s="224"/>
      <c r="Q56" s="5"/>
      <c r="R56" s="5"/>
      <c r="S56" s="216"/>
      <c r="T56" s="5"/>
      <c r="U56" s="5"/>
      <c r="V56" s="5"/>
      <c r="W56" s="5"/>
      <c r="X56" s="5"/>
    </row>
    <row r="57" spans="2:32">
      <c r="B57" s="5"/>
      <c r="C57" s="5"/>
      <c r="D57" s="5"/>
      <c r="E57" s="363" t="s">
        <v>22</v>
      </c>
      <c r="F57" s="376">
        <f t="shared" si="19"/>
        <v>2028</v>
      </c>
      <c r="G57" s="111">
        <f>'SAR and RAR'!G57</f>
        <v>67795755.926224142</v>
      </c>
      <c r="H57" s="43"/>
      <c r="I57" s="363" t="s">
        <v>22</v>
      </c>
      <c r="J57" s="376">
        <f t="shared" si="20"/>
        <v>2028</v>
      </c>
      <c r="K57" s="111">
        <f>'SAR and RAR'!K57</f>
        <v>24784494.935273737</v>
      </c>
      <c r="L57" s="5"/>
      <c r="M57" s="363" t="s">
        <v>22</v>
      </c>
      <c r="N57" s="376">
        <f t="shared" si="21"/>
        <v>2028</v>
      </c>
      <c r="O57" s="60">
        <f>'SAR and RAR'!O57</f>
        <v>75364454.013400629</v>
      </c>
      <c r="P57" s="5"/>
      <c r="Q57" s="5"/>
      <c r="R57" s="5"/>
      <c r="S57" s="216"/>
      <c r="T57" s="5"/>
      <c r="U57" s="5"/>
      <c r="V57" s="5"/>
      <c r="W57" s="5"/>
      <c r="X57" s="5"/>
    </row>
    <row r="58" spans="2:32">
      <c r="B58" s="5"/>
      <c r="C58" s="5"/>
      <c r="D58" s="5"/>
      <c r="E58" s="363" t="s">
        <v>22</v>
      </c>
      <c r="F58" s="376">
        <f t="shared" si="19"/>
        <v>2029</v>
      </c>
      <c r="G58" s="111">
        <f>'SAR and RAR'!G58</f>
        <v>67795755.926224142</v>
      </c>
      <c r="H58" s="43"/>
      <c r="I58" s="363" t="s">
        <v>22</v>
      </c>
      <c r="J58" s="376">
        <f t="shared" si="20"/>
        <v>2029</v>
      </c>
      <c r="K58" s="111">
        <f>'SAR and RAR'!K58</f>
        <v>24784494.935273737</v>
      </c>
      <c r="L58" s="5"/>
      <c r="M58" s="363" t="s">
        <v>22</v>
      </c>
      <c r="N58" s="376">
        <f t="shared" si="21"/>
        <v>2029</v>
      </c>
      <c r="O58" s="60">
        <f>'SAR and RAR'!O58</f>
        <v>75364454.013400629</v>
      </c>
      <c r="P58" s="5"/>
      <c r="Q58" s="5"/>
      <c r="R58" s="5"/>
      <c r="S58" s="216"/>
      <c r="T58" s="5"/>
      <c r="U58" s="216"/>
      <c r="V58" s="217"/>
      <c r="W58" s="220"/>
      <c r="X58" s="217"/>
    </row>
    <row r="59" spans="2:32">
      <c r="B59" s="5"/>
      <c r="C59" s="5"/>
      <c r="D59" s="5"/>
      <c r="E59" s="5"/>
      <c r="F59" s="43"/>
      <c r="G59" s="43"/>
      <c r="H59" s="43"/>
      <c r="I59" s="43"/>
      <c r="J59" s="43"/>
      <c r="K59" s="43"/>
      <c r="L59" s="5"/>
      <c r="M59" s="5"/>
      <c r="N59" s="5"/>
      <c r="O59" s="5"/>
      <c r="P59" s="5"/>
      <c r="Q59" s="5"/>
      <c r="R59" s="5"/>
      <c r="S59" s="216"/>
      <c r="T59" s="5"/>
      <c r="U59" s="5"/>
      <c r="V59" s="215"/>
      <c r="W59" s="220"/>
      <c r="X59" s="217"/>
    </row>
    <row r="60" spans="2:32">
      <c r="B60" s="5"/>
      <c r="C60" s="5"/>
      <c r="D60" s="5"/>
      <c r="E60" s="382" t="s">
        <v>61</v>
      </c>
      <c r="F60" s="43"/>
      <c r="G60" s="43"/>
      <c r="H60" s="43"/>
      <c r="I60" s="43"/>
      <c r="J60" s="43"/>
      <c r="K60" s="43"/>
      <c r="L60" s="5"/>
      <c r="M60" s="5"/>
      <c r="N60" s="5"/>
      <c r="O60" s="5"/>
      <c r="P60" s="5"/>
      <c r="Q60" s="5"/>
      <c r="R60" s="5"/>
      <c r="S60" s="216"/>
      <c r="T60" s="536"/>
      <c r="U60" s="536"/>
      <c r="V60" s="5"/>
      <c r="W60" s="220"/>
      <c r="X60" s="217"/>
    </row>
    <row r="61" spans="2:32">
      <c r="B61" s="5"/>
      <c r="C61" s="5"/>
      <c r="D61" s="5"/>
      <c r="E61" s="5"/>
      <c r="F61" s="43"/>
      <c r="G61" s="43"/>
      <c r="H61" s="43"/>
      <c r="I61" s="43"/>
      <c r="J61" s="43"/>
      <c r="K61" s="43"/>
      <c r="L61" s="5"/>
      <c r="M61" s="5"/>
      <c r="N61" s="5"/>
      <c r="O61" s="5"/>
      <c r="P61" s="5"/>
      <c r="Q61" s="5"/>
      <c r="R61" s="5"/>
      <c r="S61" s="216"/>
      <c r="T61" s="5"/>
      <c r="U61" s="216"/>
      <c r="V61" s="5"/>
      <c r="W61" s="220"/>
      <c r="X61" s="220"/>
    </row>
    <row r="62" spans="2:32">
      <c r="B62" s="5"/>
      <c r="C62" s="5"/>
      <c r="D62" s="5"/>
      <c r="E62" s="5" t="str">
        <f>'SAR and RAR (B-1)'!E62</f>
        <v>2026 Forecast adopted in D.25-12-027</v>
      </c>
      <c r="F62" s="43"/>
      <c r="G62" s="43"/>
      <c r="H62" s="43"/>
      <c r="I62" s="43"/>
      <c r="J62" s="43"/>
      <c r="K62" s="43"/>
      <c r="L62" s="5"/>
      <c r="M62" s="5"/>
      <c r="N62" s="5"/>
      <c r="O62" s="5"/>
      <c r="P62" s="5"/>
      <c r="Q62" s="5"/>
      <c r="R62" s="5"/>
      <c r="S62" s="216"/>
      <c r="T62" s="5"/>
      <c r="U62" s="216"/>
      <c r="V62" s="5"/>
      <c r="W62" s="220"/>
      <c r="X62" s="217"/>
    </row>
    <row r="63" spans="2:32">
      <c r="B63" s="5"/>
      <c r="C63" s="5"/>
      <c r="D63" s="5"/>
      <c r="E63" s="5" t="str">
        <f>'SAR and RAR (B-1)'!E63</f>
        <v>2027 Forecast proposed in A.26-05-007</v>
      </c>
      <c r="F63" s="43"/>
      <c r="G63" s="43"/>
      <c r="H63" s="60"/>
      <c r="I63" s="43"/>
      <c r="J63" s="43"/>
      <c r="K63" s="43"/>
      <c r="L63" s="5"/>
      <c r="M63" s="5"/>
      <c r="N63" s="5"/>
      <c r="O63" s="5"/>
      <c r="P63" s="5"/>
      <c r="Q63" s="5"/>
      <c r="R63" s="5"/>
      <c r="S63" s="216"/>
      <c r="T63" s="5"/>
      <c r="U63" s="5"/>
      <c r="V63" s="5"/>
      <c r="W63" s="5"/>
      <c r="X63" s="5"/>
    </row>
    <row r="64" spans="2:32">
      <c r="B64" s="5"/>
      <c r="C64" s="5"/>
      <c r="D64" s="5"/>
      <c r="E64" s="5" t="str">
        <f>'SAR and RAR (B-1)'!E64</f>
        <v>2028 Forecast: Set equal to the 2026</v>
      </c>
      <c r="F64" s="43"/>
      <c r="G64" s="43"/>
      <c r="H64" s="60"/>
      <c r="I64" s="43"/>
      <c r="J64" s="43"/>
      <c r="K64" s="43"/>
      <c r="L64" s="5"/>
      <c r="M64" s="5"/>
      <c r="N64" s="5"/>
      <c r="O64" s="5"/>
      <c r="P64" s="5"/>
      <c r="Q64" s="5"/>
      <c r="R64" s="5"/>
      <c r="S64" s="216"/>
      <c r="T64" s="5"/>
      <c r="U64" s="5"/>
      <c r="V64" s="215"/>
      <c r="W64" s="5"/>
      <c r="X64" s="5"/>
    </row>
    <row r="65" spans="2:24">
      <c r="B65" s="5"/>
      <c r="C65" s="5"/>
      <c r="D65" s="5"/>
      <c r="E65" s="5" t="str">
        <f>'SAR and RAR (B-1)'!E65</f>
        <v>2029 Forecast: Set equal to the 2026</v>
      </c>
      <c r="F65" s="43"/>
      <c r="G65" s="43"/>
      <c r="H65" s="43"/>
      <c r="I65" s="43"/>
      <c r="J65" s="43"/>
      <c r="K65" s="43"/>
      <c r="L65" s="5"/>
      <c r="M65" s="5"/>
      <c r="N65" s="5"/>
      <c r="O65" s="5"/>
      <c r="P65" s="5"/>
      <c r="Q65" s="5"/>
      <c r="R65" s="5"/>
      <c r="S65" s="216"/>
      <c r="T65" s="536"/>
      <c r="U65" s="536"/>
      <c r="V65" s="217"/>
      <c r="W65" s="217"/>
      <c r="X65" s="217"/>
    </row>
    <row r="66" spans="2:24">
      <c r="B66" s="5"/>
      <c r="C66" s="5"/>
      <c r="D66" s="5"/>
      <c r="E66" s="5"/>
      <c r="F66" s="43"/>
      <c r="G66" s="111"/>
      <c r="H66" s="43"/>
      <c r="I66" s="43"/>
      <c r="J66" s="43"/>
      <c r="K66" s="496"/>
      <c r="L66" s="5"/>
      <c r="M66" s="5"/>
      <c r="N66" s="5"/>
      <c r="O66" s="5"/>
      <c r="P66" s="5"/>
      <c r="Q66" s="5"/>
      <c r="R66" s="5"/>
      <c r="S66" s="5"/>
      <c r="T66" s="5"/>
      <c r="U66" s="5"/>
      <c r="V66" s="5"/>
      <c r="W66" s="215"/>
      <c r="X66" s="215"/>
    </row>
    <row r="67" spans="2:24">
      <c r="B67" s="5"/>
      <c r="C67" s="5"/>
      <c r="D67" s="5"/>
      <c r="W67" s="5"/>
      <c r="X67" s="5"/>
    </row>
    <row r="68" spans="2:24">
      <c r="B68" s="5"/>
      <c r="C68" s="5"/>
      <c r="D68" s="5"/>
      <c r="W68" s="5"/>
      <c r="X68" s="5"/>
    </row>
    <row r="69" spans="2:24">
      <c r="B69" s="5"/>
      <c r="C69" s="5"/>
      <c r="D69" s="5"/>
      <c r="W69" s="5"/>
      <c r="X69" s="5"/>
    </row>
    <row r="70" spans="2:24">
      <c r="B70" s="5"/>
      <c r="C70" s="5"/>
      <c r="D70" s="5"/>
      <c r="W70" s="215"/>
      <c r="X70" s="215"/>
    </row>
    <row r="71" spans="2:24">
      <c r="B71" s="5"/>
      <c r="C71" s="5"/>
      <c r="D71" s="5"/>
      <c r="W71" s="5"/>
      <c r="X71" s="5"/>
    </row>
    <row r="72" spans="2:24">
      <c r="B72" s="5"/>
      <c r="C72" s="5"/>
      <c r="D72" s="5"/>
      <c r="W72" s="5"/>
      <c r="X72" s="5"/>
    </row>
    <row r="73" spans="2:24">
      <c r="B73" s="5"/>
      <c r="C73" s="5"/>
      <c r="D73" s="5"/>
      <c r="W73" s="215"/>
      <c r="X73" s="215"/>
    </row>
    <row r="74" spans="2:24">
      <c r="B74" s="5"/>
      <c r="C74" s="5"/>
      <c r="D74" s="5"/>
      <c r="W74" s="217"/>
      <c r="X74" s="217"/>
    </row>
    <row r="75" spans="2:24">
      <c r="B75" s="5"/>
      <c r="C75" s="5"/>
      <c r="D75" s="5"/>
      <c r="W75" s="5"/>
      <c r="X75" s="5"/>
    </row>
  </sheetData>
  <mergeCells count="15">
    <mergeCell ref="C2:D2"/>
    <mergeCell ref="G4:T4"/>
    <mergeCell ref="G8:T8"/>
    <mergeCell ref="U16:V16"/>
    <mergeCell ref="W16:X16"/>
    <mergeCell ref="G17:T17"/>
    <mergeCell ref="U17:V17"/>
    <mergeCell ref="W17:X17"/>
    <mergeCell ref="T65:U65"/>
    <mergeCell ref="AA25:AF25"/>
    <mergeCell ref="AI25:AN25"/>
    <mergeCell ref="F26:K26"/>
    <mergeCell ref="P26:U26"/>
    <mergeCell ref="T50:U50"/>
    <mergeCell ref="T60:U60"/>
  </mergeCells>
  <pageMargins left="0.7" right="0.7" top="0.75" bottom="0.75" header="0.3" footer="0.3"/>
  <pageSetup orientation="portrait" horizontalDpi="1200" verticalDpi="1200" r:id="rId1"/>
  <headerFooter>
    <oddHeader>&amp;R&amp;F</oddHeader>
    <oddFooter xml:space="preserve">&amp;C_x000D_&amp;1#&amp;"Aptos"&amp;12&amp;K000000 Public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B537B-9F45-4A2C-8781-5EF9947AB472}">
  <sheetPr>
    <tabColor rgb="FF00B0F0"/>
    <pageSetUpPr autoPageBreaks="0"/>
  </sheetPr>
  <dimension ref="B1:AN75"/>
  <sheetViews>
    <sheetView tabSelected="1" topLeftCell="I1" workbookViewId="0"/>
  </sheetViews>
  <sheetFormatPr defaultColWidth="16.453125" defaultRowHeight="15.5"/>
  <cols>
    <col min="1" max="2" width="16.453125" style="139"/>
    <col min="3" max="3" width="18" style="139" bestFit="1" customWidth="1"/>
    <col min="4" max="4" width="17.26953125" style="139" bestFit="1" customWidth="1"/>
    <col min="5" max="6" width="16.453125" style="139"/>
    <col min="7" max="7" width="17.81640625" style="139" bestFit="1" customWidth="1"/>
    <col min="8" max="16" width="16.453125" style="139"/>
    <col min="17" max="17" width="20" style="139" customWidth="1"/>
    <col min="18" max="16384" width="16.453125" style="139"/>
  </cols>
  <sheetData>
    <row r="1" spans="2:29">
      <c r="B1" s="348"/>
      <c r="C1" s="348"/>
      <c r="D1" s="348"/>
      <c r="E1" s="348"/>
      <c r="F1" s="348"/>
      <c r="G1" s="348"/>
      <c r="H1" s="348"/>
      <c r="I1" s="348"/>
      <c r="J1" s="348"/>
      <c r="K1" s="348"/>
      <c r="L1" s="348"/>
      <c r="M1" s="348"/>
      <c r="N1" s="348"/>
      <c r="O1" s="348"/>
      <c r="P1" s="348"/>
      <c r="Q1" s="348"/>
      <c r="R1" s="348"/>
      <c r="S1" s="348"/>
      <c r="T1" s="348"/>
      <c r="U1" s="348"/>
      <c r="V1" s="348"/>
      <c r="W1" s="348"/>
    </row>
    <row r="2" spans="2:29">
      <c r="B2" s="57"/>
      <c r="C2" s="542" t="s">
        <v>13</v>
      </c>
      <c r="D2" s="542"/>
      <c r="E2" s="57"/>
      <c r="F2" s="57"/>
      <c r="H2" s="205"/>
      <c r="J2" s="205"/>
      <c r="R2" s="57"/>
      <c r="S2" s="57"/>
      <c r="T2" s="57"/>
      <c r="U2" s="57"/>
      <c r="V2" s="57"/>
      <c r="W2" s="57"/>
    </row>
    <row r="3" spans="2:29">
      <c r="B3" s="206"/>
      <c r="C3" s="207" t="s">
        <v>169</v>
      </c>
      <c r="D3" s="207" t="s">
        <v>171</v>
      </c>
      <c r="R3" s="208"/>
      <c r="S3" s="208"/>
      <c r="T3" s="208"/>
      <c r="U3" s="208"/>
      <c r="V3" s="208"/>
      <c r="W3" s="208"/>
    </row>
    <row r="4" spans="2:29">
      <c r="B4" s="209" t="s">
        <v>3</v>
      </c>
      <c r="C4" s="210">
        <f>INDEX('Incremental Rev Req'!$R$9:$V$24,MATCH(B4,'Incremental Rev Req'!$R$9:$R$24,0),MATCH(Summary!$D$3,'Incremental Rev Req'!$R$9:$V$9,0))</f>
        <v>3075727.8217516071</v>
      </c>
      <c r="D4" s="210">
        <f>'SAR and RAR'!D4</f>
        <v>3075763.4970791722</v>
      </c>
      <c r="G4" s="545" t="s">
        <v>172</v>
      </c>
      <c r="H4" s="545"/>
      <c r="I4" s="545"/>
      <c r="J4" s="545"/>
      <c r="K4" s="545"/>
      <c r="L4" s="545"/>
      <c r="M4" s="545"/>
      <c r="N4" s="545"/>
      <c r="O4" s="545"/>
      <c r="P4" s="545"/>
      <c r="Q4" s="545"/>
      <c r="R4" s="545"/>
      <c r="S4" s="545"/>
      <c r="T4" s="545"/>
      <c r="U4" s="211"/>
      <c r="V4" s="211"/>
      <c r="W4" s="211"/>
      <c r="X4" s="211"/>
      <c r="Y4" s="211"/>
    </row>
    <row r="5" spans="2:29" ht="31">
      <c r="B5" s="209" t="s">
        <v>14</v>
      </c>
      <c r="C5" s="210">
        <f>INDEX('Incremental Rev Req'!$R$9:$V$24,MATCH(B5,'Incremental Rev Req'!$R$9:$R$24,0),MATCH(Summary!$D$3,'Incremental Rev Req'!$R$9:$V$9,0))</f>
        <v>244371.67766520652</v>
      </c>
      <c r="D5" s="210">
        <f>'SAR and RAR'!D5</f>
        <v>244371.67766520652</v>
      </c>
      <c r="F5" s="5"/>
      <c r="G5" s="6" t="s">
        <v>3</v>
      </c>
      <c r="H5" s="6" t="s">
        <v>5</v>
      </c>
      <c r="I5" s="6" t="s">
        <v>16</v>
      </c>
      <c r="J5" s="6" t="s">
        <v>173</v>
      </c>
      <c r="K5" s="6" t="s">
        <v>14</v>
      </c>
      <c r="L5" s="6" t="s">
        <v>10</v>
      </c>
      <c r="M5" s="6" t="s">
        <v>66</v>
      </c>
      <c r="N5" s="6" t="s">
        <v>127</v>
      </c>
      <c r="O5" s="6" t="s">
        <v>134</v>
      </c>
      <c r="P5" s="6" t="s">
        <v>174</v>
      </c>
      <c r="Q5" s="209" t="s">
        <v>656</v>
      </c>
      <c r="R5" s="6" t="s">
        <v>275</v>
      </c>
      <c r="S5" s="58" t="s">
        <v>207</v>
      </c>
      <c r="T5" s="349" t="s">
        <v>292</v>
      </c>
      <c r="AB5" s="350"/>
    </row>
    <row r="6" spans="2:29">
      <c r="B6" s="209" t="s">
        <v>5</v>
      </c>
      <c r="C6" s="210">
        <f>INDEX('Incremental Rev Req'!$R$9:$V$24,MATCH(B6,'Incremental Rev Req'!$R$9:$R$24,0),MATCH(Summary!$D$3,'Incremental Rev Req'!$R$9:$V$9,0))</f>
        <v>8275899.2031662753</v>
      </c>
      <c r="D6" s="210">
        <f>'SAR and RAR'!D6</f>
        <v>10481110.386925217</v>
      </c>
      <c r="F6" s="5" t="s">
        <v>571</v>
      </c>
      <c r="G6" s="71">
        <f>VLOOKUP(Summary!$D$3,$F$35:$T$38,G$33,FALSE)</f>
        <v>0.134661679791093</v>
      </c>
      <c r="H6" s="71">
        <f>VLOOKUP(Summary!$D$3,$F$35:$T$38,H$33,FALSE)</f>
        <v>0.14648830449316744</v>
      </c>
      <c r="I6" s="71">
        <f>VLOOKUP(Summary!$D$3,$F$35:$T$38,I$33,FALSE)</f>
        <v>0.18908973166606322</v>
      </c>
      <c r="J6" s="71">
        <f>VLOOKUP(Summary!$D$3,$F$35:$T$38,J$33,FALSE)</f>
        <v>0.19318384165867444</v>
      </c>
      <c r="K6" s="71">
        <f>VLOOKUP(Summary!$D$3,$F$35:$T$38,K$33,FALSE)</f>
        <v>0.15537319494525273</v>
      </c>
      <c r="L6" s="71">
        <f>VLOOKUP(Summary!$D$3,$F$35:$T$38,L$33,FALSE)</f>
        <v>0.1416416015559108</v>
      </c>
      <c r="M6" s="71">
        <f>VLOOKUP(Summary!$D$3,$F$35:$T$38,M$33,FALSE)</f>
        <v>0.19485531896890587</v>
      </c>
      <c r="N6" s="71">
        <f>VLOOKUP(Summary!$D$3,$F$35:$T$38,N$33,FALSE)</f>
        <v>0.19320951383684842</v>
      </c>
      <c r="O6" s="71">
        <f>VLOOKUP(Summary!$D$3,$F$35:$T$38,O$33,FALSE)</f>
        <v>0.19465815169013542</v>
      </c>
      <c r="P6" s="71">
        <f>VLOOKUP(Summary!$D$3,$F$35:$T$38,P$33,FALSE)</f>
        <v>1.3506989377548533E-2</v>
      </c>
      <c r="Q6" s="71">
        <f>VLOOKUP(Summary!$D$3,$F$35:$T$38,Q$33,FALSE)</f>
        <v>0.21380475870673479</v>
      </c>
      <c r="R6" s="71">
        <f>VLOOKUP(Summary!$D$3,$F$35:$T$38,R$33,FALSE)</f>
        <v>0.18980155932876278</v>
      </c>
      <c r="S6" s="71">
        <f>VLOOKUP(Summary!$D$3,$F$35:$T$38,S$33,FALSE)</f>
        <v>0.23142435073703105</v>
      </c>
      <c r="T6" s="71">
        <f>VLOOKUP(Summary!$D$3,$F$35:$T$38,T$33,FALSE)</f>
        <v>0.17615046224299741</v>
      </c>
      <c r="U6" s="351"/>
    </row>
    <row r="7" spans="2:29">
      <c r="B7" s="209" t="s">
        <v>129</v>
      </c>
      <c r="C7" s="210">
        <f>INDEX('Incremental Rev Req'!$R$9:$V$24,MATCH(B7,'Incremental Rev Req'!$R$9:$R$24,0),MATCH(Summary!$D$3,'Incremental Rev Req'!$R$9:$V$9,0))</f>
        <v>-475276.50099999999</v>
      </c>
      <c r="D7" s="210">
        <f>'SAR and RAR'!D7</f>
        <v>-475276.50099999999</v>
      </c>
      <c r="F7" s="5"/>
      <c r="G7" s="80"/>
      <c r="H7" s="80"/>
      <c r="I7" s="80"/>
      <c r="J7" s="80"/>
      <c r="K7" s="80"/>
      <c r="L7" s="80"/>
      <c r="M7" s="80"/>
      <c r="N7" s="80"/>
      <c r="O7" s="80"/>
      <c r="P7" s="80"/>
      <c r="Q7" s="80"/>
    </row>
    <row r="8" spans="2:29" ht="15.75" customHeight="1">
      <c r="B8" s="209" t="s">
        <v>66</v>
      </c>
      <c r="C8" s="210">
        <f>INDEX('Incremental Rev Req'!$R$9:$V$24,MATCH(B8,'Incremental Rev Req'!$R$9:$R$24,0),MATCH(Summary!$D$3,'Incremental Rev Req'!$R$9:$V$9,0))</f>
        <v>-3377.8111523794842</v>
      </c>
      <c r="D8" s="210">
        <f>'SAR and RAR'!D8</f>
        <v>-3377.8111523794842</v>
      </c>
      <c r="F8" s="211"/>
      <c r="G8" s="497" t="s">
        <v>175</v>
      </c>
      <c r="H8" s="497"/>
      <c r="I8" s="497"/>
      <c r="J8" s="497"/>
      <c r="K8" s="497"/>
      <c r="L8" s="497"/>
      <c r="M8" s="497"/>
      <c r="N8" s="497"/>
      <c r="O8" s="497"/>
      <c r="P8" s="497"/>
      <c r="Q8" s="497"/>
      <c r="R8" s="497"/>
    </row>
    <row r="9" spans="2:29" ht="34.5" customHeight="1">
      <c r="B9" s="209" t="s">
        <v>16</v>
      </c>
      <c r="C9" s="210">
        <f>INDEX('Incremental Rev Req'!$R$9:$V$24,MATCH(B9,'Incremental Rev Req'!$R$9:$R$24,0),MATCH(Summary!$D$3,'Incremental Rev Req'!$R$9:$V$9,0))</f>
        <v>0</v>
      </c>
      <c r="D9" s="210">
        <f>'SAR and RAR'!D9</f>
        <v>0</v>
      </c>
      <c r="F9" s="59" t="s">
        <v>169</v>
      </c>
      <c r="G9" s="6" t="s">
        <v>3</v>
      </c>
      <c r="H9" s="6" t="s">
        <v>5</v>
      </c>
      <c r="I9" s="6" t="s">
        <v>16</v>
      </c>
      <c r="J9" s="6" t="s">
        <v>15</v>
      </c>
      <c r="K9" s="6" t="s">
        <v>14</v>
      </c>
      <c r="L9" s="6" t="s">
        <v>10</v>
      </c>
      <c r="M9" s="6" t="s">
        <v>66</v>
      </c>
      <c r="N9" s="6" t="s">
        <v>127</v>
      </c>
      <c r="O9" s="6" t="s">
        <v>134</v>
      </c>
      <c r="P9" s="6" t="s">
        <v>129</v>
      </c>
      <c r="Q9" s="209" t="s">
        <v>656</v>
      </c>
      <c r="R9" s="6" t="s">
        <v>275</v>
      </c>
      <c r="S9" s="58" t="s">
        <v>207</v>
      </c>
      <c r="T9" s="349" t="s">
        <v>292</v>
      </c>
      <c r="U9" s="6" t="s">
        <v>132</v>
      </c>
    </row>
    <row r="10" spans="2:29">
      <c r="B10" s="209" t="s">
        <v>15</v>
      </c>
      <c r="C10" s="210">
        <f>INDEX('Incremental Rev Req'!$R$9:$V$24,MATCH(B10,'Incremental Rev Req'!$R$9:$R$24,0),MATCH(Summary!$D$3,'Incremental Rev Req'!$R$9:$V$9,0))</f>
        <v>928080.45522745408</v>
      </c>
      <c r="D10" s="210">
        <f>'SAR and RAR'!D10</f>
        <v>1026345.6548407136</v>
      </c>
      <c r="F10" s="5" t="s">
        <v>571</v>
      </c>
      <c r="G10" s="60">
        <f t="shared" ref="G10:T10" si="0">G6*G11</f>
        <v>414182.67505727091</v>
      </c>
      <c r="H10" s="60">
        <f t="shared" si="0"/>
        <v>1212322.442428183</v>
      </c>
      <c r="I10" s="60">
        <f t="shared" si="0"/>
        <v>0</v>
      </c>
      <c r="J10" s="60">
        <f t="shared" si="0"/>
        <v>179290.147709171</v>
      </c>
      <c r="K10" s="60">
        <f t="shared" si="0"/>
        <v>37968.808312974594</v>
      </c>
      <c r="L10" s="60">
        <f t="shared" si="0"/>
        <v>365462.22403640818</v>
      </c>
      <c r="M10" s="60">
        <f t="shared" si="0"/>
        <v>-658.18446951363194</v>
      </c>
      <c r="N10" s="60">
        <f t="shared" si="0"/>
        <v>0</v>
      </c>
      <c r="O10" s="60">
        <f t="shared" si="0"/>
        <v>73789.451001657799</v>
      </c>
      <c r="P10" s="60">
        <f t="shared" si="0"/>
        <v>-6419.5546504054346</v>
      </c>
      <c r="Q10" s="60">
        <f t="shared" si="0"/>
        <v>85913.184573424194</v>
      </c>
      <c r="R10" s="60">
        <f t="shared" si="0"/>
        <v>42436.378023950194</v>
      </c>
      <c r="S10" s="60">
        <f t="shared" si="0"/>
        <v>123751.31748663663</v>
      </c>
      <c r="T10" s="60">
        <f t="shared" si="0"/>
        <v>216479.69452527436</v>
      </c>
      <c r="U10" s="352">
        <f>SUM(G10:T10)</f>
        <v>2744518.584035032</v>
      </c>
      <c r="W10" s="212"/>
      <c r="X10" s="212"/>
    </row>
    <row r="11" spans="2:29">
      <c r="B11" s="209" t="s">
        <v>656</v>
      </c>
      <c r="C11" s="210">
        <f>INDEX('Incremental Rev Req'!$R$9:$V$24,MATCH(B11,'Incremental Rev Req'!$R$9:$R$24,0),MATCH(Summary!$D$3,'Incremental Rev Req'!$R$9:$V$9,0))</f>
        <v>401830.0859770244</v>
      </c>
      <c r="D11" s="210">
        <f>'SAR and RAR'!D11</f>
        <v>401830.0859770244</v>
      </c>
      <c r="F11" s="5" t="s">
        <v>22</v>
      </c>
      <c r="G11" s="61">
        <f t="shared" ref="G11:M11" si="1">VLOOKUP(G9,$B$4:$D$17,2,FALSE)</f>
        <v>3075727.8217516071</v>
      </c>
      <c r="H11" s="61">
        <f t="shared" si="1"/>
        <v>8275899.2031662753</v>
      </c>
      <c r="I11" s="61">
        <f t="shared" si="1"/>
        <v>0</v>
      </c>
      <c r="J11" s="61">
        <f t="shared" si="1"/>
        <v>928080.45522745408</v>
      </c>
      <c r="K11" s="61">
        <f t="shared" si="1"/>
        <v>244371.67766520652</v>
      </c>
      <c r="L11" s="61">
        <f t="shared" si="1"/>
        <v>2580189.8596306657</v>
      </c>
      <c r="M11" s="61">
        <f t="shared" si="1"/>
        <v>-3377.8111523794842</v>
      </c>
      <c r="N11" s="61">
        <f>VLOOKUP(N9,$B$4:$D$16,2,FALSE)</f>
        <v>0</v>
      </c>
      <c r="O11" s="61">
        <f>VLOOKUP(O9,$B$4:$D$16,2,FALSE)</f>
        <v>379071.98008906806</v>
      </c>
      <c r="P11" s="61">
        <f>VLOOKUP(P9,$B$4:$D$17,2,FALSE)</f>
        <v>-475276.50099999999</v>
      </c>
      <c r="Q11" s="61">
        <f>VLOOKUP(Q9,$B$4:$D$17,2,FALSE)</f>
        <v>401830.0859770244</v>
      </c>
      <c r="R11" s="61">
        <f>VLOOKUP(R9,$B$4:$D$17,2,FALSE)</f>
        <v>223582.8734707309</v>
      </c>
      <c r="S11" s="63">
        <f>VLOOKUP(S9,$B$4:$D$17,2,FALSE)</f>
        <v>534737.66737388854</v>
      </c>
      <c r="T11" s="61">
        <f>VLOOKUP(T9,$B$4:$D$17,2,FALSE)</f>
        <v>1228947.638108626</v>
      </c>
      <c r="U11" s="84">
        <f>SUM(G11:T11)</f>
        <v>17393784.950308163</v>
      </c>
      <c r="X11" s="205"/>
    </row>
    <row r="12" spans="2:29">
      <c r="B12" s="209" t="s">
        <v>127</v>
      </c>
      <c r="C12" s="210">
        <f>INDEX('Incremental Rev Req'!$R$9:$V$24,MATCH(B12,'Incremental Rev Req'!$R$9:$R$24,0),MATCH(Summary!$D$3,'Incremental Rev Req'!$R$9:$V$9,0))</f>
        <v>0</v>
      </c>
      <c r="D12" s="210">
        <f>'SAR and RAR'!D12</f>
        <v>0</v>
      </c>
      <c r="F12" s="59" t="s">
        <v>170</v>
      </c>
      <c r="U12" s="351"/>
    </row>
    <row r="13" spans="2:29" ht="15.65" customHeight="1">
      <c r="B13" s="209" t="s">
        <v>10</v>
      </c>
      <c r="C13" s="210">
        <f>INDEX('Incremental Rev Req'!$R$9:$V$24,MATCH(B13,'Incremental Rev Req'!$R$9:$R$24,0),MATCH(Summary!$D$3,'Incremental Rev Req'!$R$9:$V$9,0))</f>
        <v>2580189.8596306657</v>
      </c>
      <c r="D13" s="210">
        <f>'SAR and RAR'!D13</f>
        <v>2580189.8596306657</v>
      </c>
      <c r="F13" s="5" t="s">
        <v>571</v>
      </c>
      <c r="G13" s="60">
        <f t="shared" ref="G13:T13" si="2">G6*G14</f>
        <v>414187.47915680788</v>
      </c>
      <c r="H13" s="60">
        <f t="shared" si="2"/>
        <v>1535360.089786401</v>
      </c>
      <c r="I13" s="60">
        <f t="shared" si="2"/>
        <v>0</v>
      </c>
      <c r="J13" s="60">
        <f t="shared" si="2"/>
        <v>198273.39647181696</v>
      </c>
      <c r="K13" s="60">
        <f t="shared" si="2"/>
        <v>37968.808312974594</v>
      </c>
      <c r="L13" s="60">
        <f t="shared" si="2"/>
        <v>365462.22403640818</v>
      </c>
      <c r="M13" s="60">
        <f t="shared" si="2"/>
        <v>-658.18446951363194</v>
      </c>
      <c r="N13" s="60">
        <f t="shared" si="2"/>
        <v>0</v>
      </c>
      <c r="O13" s="60">
        <f t="shared" si="2"/>
        <v>73789.451001657799</v>
      </c>
      <c r="P13" s="60">
        <f t="shared" si="2"/>
        <v>-6419.5546504054346</v>
      </c>
      <c r="Q13" s="60">
        <f t="shared" si="2"/>
        <v>85913.184573424194</v>
      </c>
      <c r="R13" s="60">
        <f t="shared" si="2"/>
        <v>64558.539003501384</v>
      </c>
      <c r="S13" s="60">
        <f t="shared" si="2"/>
        <v>210384.23631251178</v>
      </c>
      <c r="T13" s="60">
        <f t="shared" si="2"/>
        <v>283837.71212100593</v>
      </c>
      <c r="U13" s="352">
        <f>SUM(G13:T13)</f>
        <v>3262657.3816565904</v>
      </c>
    </row>
    <row r="14" spans="2:29" ht="15.65" customHeight="1">
      <c r="B14" s="209" t="s">
        <v>134</v>
      </c>
      <c r="C14" s="210">
        <f>INDEX('Incremental Rev Req'!$R$9:$V$24,MATCH(B14,'Incremental Rev Req'!$R$9:$R$24,0),MATCH(Summary!$D$3,'Incremental Rev Req'!$R$9:$V$9,0))</f>
        <v>379071.98008906806</v>
      </c>
      <c r="D14" s="210">
        <f>'SAR and RAR'!D14</f>
        <v>379071.98008906806</v>
      </c>
      <c r="F14" s="5" t="s">
        <v>22</v>
      </c>
      <c r="G14" s="61">
        <f t="shared" ref="G14:S14" si="3">VLOOKUP(G9,$B$4:$D$16,3,FALSE)</f>
        <v>3075763.4970791722</v>
      </c>
      <c r="H14" s="61">
        <f t="shared" si="3"/>
        <v>10481110.386925217</v>
      </c>
      <c r="I14" s="61">
        <f t="shared" si="3"/>
        <v>0</v>
      </c>
      <c r="J14" s="61">
        <f t="shared" si="3"/>
        <v>1026345.6548407136</v>
      </c>
      <c r="K14" s="61">
        <f t="shared" si="3"/>
        <v>244371.67766520652</v>
      </c>
      <c r="L14" s="61">
        <f t="shared" si="3"/>
        <v>2580189.8596306657</v>
      </c>
      <c r="M14" s="61">
        <f t="shared" si="3"/>
        <v>-3377.8111523794842</v>
      </c>
      <c r="N14" s="61">
        <f t="shared" si="3"/>
        <v>0</v>
      </c>
      <c r="O14" s="61">
        <f t="shared" si="3"/>
        <v>379071.98008906806</v>
      </c>
      <c r="P14" s="61">
        <f t="shared" si="3"/>
        <v>-475276.50099999999</v>
      </c>
      <c r="Q14" s="61">
        <f t="shared" si="3"/>
        <v>401830.0859770244</v>
      </c>
      <c r="R14" s="61">
        <f t="shared" si="3"/>
        <v>340137.03170729481</v>
      </c>
      <c r="S14" s="61">
        <f t="shared" si="3"/>
        <v>909084.26724538044</v>
      </c>
      <c r="T14" s="61">
        <f>VLOOKUP(T9,$B$4:$D$17,3,FALSE)</f>
        <v>1611336.7430705647</v>
      </c>
      <c r="U14" s="84">
        <f>SUM(G14:T14)</f>
        <v>20570586.872077931</v>
      </c>
    </row>
    <row r="15" spans="2:29">
      <c r="B15" s="209" t="s">
        <v>207</v>
      </c>
      <c r="C15" s="210">
        <f>INDEX('Incremental Rev Req'!$R$9:$V$24,MATCH(B15,'Incremental Rev Req'!$R$9:$R$24,0),MATCH(Summary!$D$3,'Incremental Rev Req'!$R$9:$V$9,0))</f>
        <v>534737.66737388854</v>
      </c>
      <c r="D15" s="210">
        <f>'SAR and RAR'!D15</f>
        <v>909084.26724538044</v>
      </c>
      <c r="F15" s="228"/>
      <c r="G15" s="213"/>
      <c r="H15" s="213"/>
      <c r="I15" s="213"/>
      <c r="J15" s="211"/>
      <c r="AA15" s="5"/>
    </row>
    <row r="16" spans="2:29">
      <c r="B16" s="209" t="s">
        <v>275</v>
      </c>
      <c r="C16" s="210">
        <f>INDEX('Incremental Rev Req'!$R$9:$V$24,MATCH(B16,'Incremental Rev Req'!$R$9:$R$24,0),MATCH(Summary!$D$3,'Incremental Rev Req'!$R$9:$V$9,0))</f>
        <v>223582.8734707309</v>
      </c>
      <c r="D16" s="210">
        <f>'SAR and RAR'!D16</f>
        <v>340137.03170729481</v>
      </c>
      <c r="U16" s="540" t="s">
        <v>169</v>
      </c>
      <c r="V16" s="541"/>
      <c r="W16" s="540" t="s">
        <v>170</v>
      </c>
      <c r="X16" s="541"/>
      <c r="AA16" s="82"/>
      <c r="AB16" s="83"/>
      <c r="AC16" s="83"/>
    </row>
    <row r="17" spans="2:40">
      <c r="B17" s="139" t="s">
        <v>292</v>
      </c>
      <c r="C17" s="210">
        <f>INDEX('Incremental Rev Req'!$R$9:$V$24,MATCH(B17,'Incremental Rev Req'!$R$9:$R$24,0),MATCH(Summary!$D$3,'Incremental Rev Req'!$R$9:$V$9,0))</f>
        <v>1228947.638108626</v>
      </c>
      <c r="D17" s="210">
        <f>'SAR and RAR'!D17</f>
        <v>1611336.7430705647</v>
      </c>
      <c r="F17" s="211"/>
      <c r="G17" s="546" t="s">
        <v>176</v>
      </c>
      <c r="H17" s="546"/>
      <c r="I17" s="546"/>
      <c r="J17" s="546"/>
      <c r="K17" s="546"/>
      <c r="L17" s="546"/>
      <c r="M17" s="546"/>
      <c r="N17" s="546"/>
      <c r="O17" s="546"/>
      <c r="P17" s="546"/>
      <c r="Q17" s="546"/>
      <c r="R17" s="546"/>
      <c r="S17" s="546"/>
      <c r="T17" s="544"/>
      <c r="U17" s="543" t="s">
        <v>177</v>
      </c>
      <c r="V17" s="544"/>
      <c r="W17" s="543" t="s">
        <v>177</v>
      </c>
      <c r="X17" s="544"/>
      <c r="AA17" s="82"/>
      <c r="AB17" s="62" t="s">
        <v>169</v>
      </c>
      <c r="AC17" s="62" t="s">
        <v>170</v>
      </c>
      <c r="AF17" s="350"/>
    </row>
    <row r="18" spans="2:40" ht="31.5" customHeight="1">
      <c r="B18" s="209" t="s">
        <v>132</v>
      </c>
      <c r="C18" s="214">
        <f>SUM(C4:C17)</f>
        <v>17393784.950308166</v>
      </c>
      <c r="D18" s="214">
        <f>SUM(D4:D17)</f>
        <v>20570586.872077931</v>
      </c>
      <c r="E18" s="211"/>
      <c r="G18" s="58" t="s">
        <v>3</v>
      </c>
      <c r="H18" s="6" t="s">
        <v>5</v>
      </c>
      <c r="I18" s="6" t="s">
        <v>16</v>
      </c>
      <c r="J18" s="6" t="s">
        <v>173</v>
      </c>
      <c r="K18" s="6" t="s">
        <v>14</v>
      </c>
      <c r="L18" s="6" t="s">
        <v>10</v>
      </c>
      <c r="M18" s="6" t="s">
        <v>66</v>
      </c>
      <c r="N18" s="6" t="s">
        <v>127</v>
      </c>
      <c r="O18" s="6" t="s">
        <v>134</v>
      </c>
      <c r="P18" s="6" t="s">
        <v>174</v>
      </c>
      <c r="Q18" s="209" t="s">
        <v>656</v>
      </c>
      <c r="R18" s="6" t="s">
        <v>275</v>
      </c>
      <c r="S18" s="58" t="s">
        <v>207</v>
      </c>
      <c r="T18" s="353" t="s">
        <v>292</v>
      </c>
      <c r="U18" s="43" t="s">
        <v>132</v>
      </c>
      <c r="V18" s="43" t="s">
        <v>178</v>
      </c>
      <c r="W18" s="354" t="s">
        <v>132</v>
      </c>
      <c r="X18" s="355" t="s">
        <v>178</v>
      </c>
      <c r="AA18" s="82" t="s">
        <v>192</v>
      </c>
      <c r="AB18" s="61">
        <v>956600.99267794215</v>
      </c>
      <c r="AC18" s="61">
        <v>955920.82964510052</v>
      </c>
    </row>
    <row r="19" spans="2:40">
      <c r="B19" s="7"/>
      <c r="C19" s="210"/>
      <c r="D19" s="5"/>
      <c r="F19" s="5" t="s">
        <v>571</v>
      </c>
      <c r="G19" s="106">
        <f>VLOOKUP(Summary!$D$3,$F$41:$Q$44,G$33,FALSE)</f>
        <v>1</v>
      </c>
      <c r="H19" s="106">
        <f>VLOOKUP(Summary!$D$3,$F$41:$T$44,H$33,FALSE)</f>
        <v>0.22803701359593481</v>
      </c>
      <c r="I19" s="106">
        <f>VLOOKUP(Summary!$D$3,$F$41:$T$44,I$33,FALSE)</f>
        <v>0.22803701359593481</v>
      </c>
      <c r="J19" s="106">
        <f>VLOOKUP(Summary!$D$3,$F$41:$T$44,J$33,FALSE)</f>
        <v>0.22803701359593481</v>
      </c>
      <c r="K19" s="106">
        <f>VLOOKUP(Summary!$D$3,$F$41:$T$44,K$33,FALSE)</f>
        <v>0.22803701359593481</v>
      </c>
      <c r="L19" s="106">
        <f>VLOOKUP(Summary!$D$3,$F$41:$T$44,L$33,FALSE)</f>
        <v>0.22803701359593481</v>
      </c>
      <c r="M19" s="106">
        <f>VLOOKUP(Summary!$D$3,$F$41:$T$44,M$33,FALSE)</f>
        <v>0.22803701359593481</v>
      </c>
      <c r="N19" s="106">
        <f>VLOOKUP(Summary!$D$3,$F$41:$T$44,N$33,FALSE)</f>
        <v>0.22803701359593481</v>
      </c>
      <c r="O19" s="106">
        <f>VLOOKUP(Summary!$D$3,$F$41:$T$44,O$33,FALSE)</f>
        <v>0.22803701359593481</v>
      </c>
      <c r="P19" s="106">
        <f>VLOOKUP(Summary!$D$3,$F$41:$T$44,P$33,FALSE)</f>
        <v>0.22803701359593481</v>
      </c>
      <c r="Q19" s="106">
        <f>VLOOKUP(Summary!$D$3,$F$41:$T$44,Q$33,FALSE)</f>
        <v>0.22803701359593481</v>
      </c>
      <c r="R19" s="106">
        <f>VLOOKUP(Summary!$D$3,$F$41:$T$44,R$33,FALSE)</f>
        <v>0.22803701359593481</v>
      </c>
      <c r="S19" s="106">
        <f>VLOOKUP(Summary!$D$3,$F$41:$T$44,S$33,FALSE)</f>
        <v>0.19828596507452048</v>
      </c>
      <c r="T19" s="81">
        <f>VLOOKUP(Summary!$D$3,$F$41:$T$44,T$33,FALSE)</f>
        <v>0.22803701359593481</v>
      </c>
      <c r="U19" s="63">
        <f>SUMPRODUCT(G10:T10,G19:T19)</f>
        <v>941903.78496479406</v>
      </c>
      <c r="V19" s="63">
        <f>U19+AB21*H19</f>
        <v>988575.32693519688</v>
      </c>
      <c r="W19" s="84">
        <f>SUMPRODUCT(G13:T13,G19:T19)</f>
        <v>1057484.8974180878</v>
      </c>
      <c r="X19" s="85">
        <f>W19+AC21*H19</f>
        <v>1104123.2549596881</v>
      </c>
      <c r="AA19" s="82" t="s">
        <v>676</v>
      </c>
      <c r="AB19" s="60">
        <f>VLOOKUP(Summary!$D$3,$F$51:$O$54,10,FALSE)</f>
        <v>14505025.117520949</v>
      </c>
      <c r="AC19" s="86">
        <f>AB19</f>
        <v>14505025.117520949</v>
      </c>
      <c r="AF19" s="350"/>
    </row>
    <row r="20" spans="2:40">
      <c r="B20" s="7"/>
      <c r="C20" s="7"/>
      <c r="D20" s="5"/>
      <c r="F20" s="5" t="s">
        <v>22</v>
      </c>
      <c r="G20" s="106">
        <f>VLOOKUP(Summary!$D$3,$F$45:$T$48,G$33,FALSE)</f>
        <v>1</v>
      </c>
      <c r="H20" s="106">
        <f>VLOOKUP(Summary!$D$3,$F$45:$T$48,H$33,FALSE)</f>
        <v>0.32886186544742674</v>
      </c>
      <c r="I20" s="106">
        <f>VLOOKUP(Summary!$D$3,$F$45:$T$48,I$33,FALSE)</f>
        <v>0.32886186544742674</v>
      </c>
      <c r="J20" s="106">
        <f>VLOOKUP(Summary!$D$3,$F$45:$T$48,J$33,FALSE)</f>
        <v>0.32886186544742674</v>
      </c>
      <c r="K20" s="106">
        <f>VLOOKUP(Summary!$D$3,$F$45:$T$48,K$33,FALSE)</f>
        <v>0.32886186544742674</v>
      </c>
      <c r="L20" s="106">
        <f>VLOOKUP(Summary!$D$3,$F$45:$T$48,L$33,FALSE)</f>
        <v>0.32886186544742674</v>
      </c>
      <c r="M20" s="106">
        <f>VLOOKUP(Summary!$D$3,$F$45:$T$48,M$33,FALSE)</f>
        <v>0.32886186544742674</v>
      </c>
      <c r="N20" s="106">
        <f>VLOOKUP(Summary!$D$3,$F$45:$T$48,N$33,FALSE)</f>
        <v>0.32886186544742674</v>
      </c>
      <c r="O20" s="106">
        <f>VLOOKUP(Summary!$D$3,$F$45:$T$48,O$33,FALSE)</f>
        <v>0.32886186544742674</v>
      </c>
      <c r="P20" s="106">
        <f>VLOOKUP(Summary!$D$3,$F$45:$T$48,P$33,FALSE)</f>
        <v>0.32886186544742674</v>
      </c>
      <c r="Q20" s="106">
        <f>VLOOKUP(Summary!$D$3,$F$45:$T$48,Q$33,FALSE)</f>
        <v>0.32886186544742674</v>
      </c>
      <c r="R20" s="106">
        <f>VLOOKUP(Summary!$D$3,$F$45:$T$48,R$33,FALSE)</f>
        <v>0.32886186544742674</v>
      </c>
      <c r="S20" s="106">
        <f>VLOOKUP(Summary!$D$3,$F$45:$T$48,S$33,FALSE)</f>
        <v>0.28144412281858089</v>
      </c>
      <c r="T20" s="81">
        <f>VLOOKUP(Summary!$D$3,$F$45:$T$48,T$33,FALSE)</f>
        <v>0.32886186544742674</v>
      </c>
      <c r="U20" s="63">
        <f>SUMPRODUCT(G11:T11,G20:T20)</f>
        <v>7759034.7455460588</v>
      </c>
      <c r="V20" s="63">
        <f>U20</f>
        <v>7759034.7455460588</v>
      </c>
      <c r="W20" s="84">
        <f>SUMPRODUCT(G14:T14,G20:T20)</f>
        <v>8786037.0240423344</v>
      </c>
      <c r="X20" s="85">
        <f>W20</f>
        <v>8786037.0240423344</v>
      </c>
      <c r="AA20" s="82" t="s">
        <v>227</v>
      </c>
      <c r="AB20" s="60">
        <f>VLOOKUP(Summary!$D$3,$F$55:$O$58,2,FALSE)</f>
        <v>67795755.926224142</v>
      </c>
      <c r="AC20" s="86">
        <f>AB20</f>
        <v>67795755.926224142</v>
      </c>
    </row>
    <row r="21" spans="2:40">
      <c r="B21" s="7"/>
      <c r="C21" s="7"/>
      <c r="D21" s="5"/>
      <c r="G21" s="205"/>
      <c r="H21" s="205"/>
      <c r="I21" s="205"/>
      <c r="J21" s="205"/>
      <c r="K21" s="205"/>
      <c r="L21" s="205"/>
      <c r="M21" s="205"/>
      <c r="N21" s="205"/>
      <c r="O21" s="205"/>
      <c r="P21" s="205"/>
      <c r="Q21" s="205"/>
      <c r="S21" s="205"/>
      <c r="U21" s="5"/>
      <c r="V21" s="63"/>
      <c r="AA21" s="82" t="s">
        <v>675</v>
      </c>
      <c r="AB21" s="61">
        <f>AB18*AB19/AB20</f>
        <v>204666.51985322608</v>
      </c>
      <c r="AC21" s="61">
        <f>AC18*AC19/AC20</f>
        <v>204520.99773697279</v>
      </c>
    </row>
    <row r="22" spans="2:40">
      <c r="B22" s="7"/>
      <c r="C22" s="7"/>
      <c r="D22" s="5"/>
      <c r="F22" s="211" t="str">
        <f>"Notes: Allocation and bundled/unbundled split based on "&amp;Summary!L4&amp;" sales forecast"</f>
        <v>Notes: Allocation and bundled/unbundled split based on 2029 sales forecast</v>
      </c>
      <c r="R22" s="205"/>
      <c r="S22" s="6"/>
      <c r="T22" s="5"/>
      <c r="V22" s="225" t="s">
        <v>674</v>
      </c>
      <c r="W22" s="212">
        <f>P10*P19</f>
        <v>-1463.8960710943506</v>
      </c>
      <c r="X22" s="212">
        <f>P13*P19</f>
        <v>-1463.8960710943506</v>
      </c>
      <c r="Y22" s="356"/>
    </row>
    <row r="23" spans="2:40">
      <c r="B23" s="7"/>
      <c r="C23" s="7"/>
      <c r="E23" s="5"/>
      <c r="F23" s="5"/>
      <c r="G23" s="7"/>
      <c r="H23" s="7"/>
      <c r="I23" s="7"/>
      <c r="J23" s="7"/>
      <c r="K23" s="7"/>
      <c r="L23" s="7"/>
      <c r="M23" s="7"/>
      <c r="N23" s="7"/>
      <c r="O23" s="7"/>
      <c r="P23" s="7"/>
      <c r="Q23" s="7"/>
      <c r="R23" s="7"/>
      <c r="S23" s="11"/>
      <c r="T23" s="11"/>
      <c r="U23" s="5"/>
      <c r="V23" s="225" t="s">
        <v>575</v>
      </c>
      <c r="W23" s="212">
        <f>P11*P20</f>
        <v>-156300.31672218579</v>
      </c>
      <c r="X23" s="70">
        <f>P14*P20</f>
        <v>-156300.31672218579</v>
      </c>
      <c r="Y23" s="5"/>
    </row>
    <row r="24" spans="2:40" ht="16" thickBot="1">
      <c r="B24" s="7"/>
      <c r="C24" s="7"/>
      <c r="E24" s="43"/>
      <c r="F24" s="43"/>
      <c r="G24" s="64"/>
      <c r="H24" s="43"/>
      <c r="I24" s="43"/>
      <c r="J24" s="43"/>
      <c r="K24" s="43"/>
      <c r="L24" s="43"/>
      <c r="M24" s="43"/>
      <c r="N24" s="43"/>
      <c r="O24" s="43"/>
      <c r="P24" s="43"/>
      <c r="Q24" s="43"/>
      <c r="R24" s="43"/>
      <c r="S24" s="11"/>
      <c r="T24" s="11"/>
      <c r="U24" s="215"/>
      <c r="V24" s="215"/>
      <c r="X24" s="5"/>
      <c r="Y24" s="129"/>
    </row>
    <row r="25" spans="2:40" ht="16" thickBot="1">
      <c r="B25" s="7"/>
      <c r="C25" s="7"/>
      <c r="E25" s="43"/>
      <c r="F25" s="43"/>
      <c r="G25" s="43"/>
      <c r="H25" s="43"/>
      <c r="I25" s="43"/>
      <c r="J25" s="43"/>
      <c r="K25" s="43"/>
      <c r="L25" s="43"/>
      <c r="M25" s="43"/>
      <c r="N25" s="43"/>
      <c r="O25" s="43"/>
      <c r="P25" s="43"/>
      <c r="Q25" s="43"/>
      <c r="R25" s="43"/>
      <c r="S25" s="216"/>
      <c r="T25" s="5"/>
      <c r="U25" s="5"/>
      <c r="V25" s="5"/>
      <c r="X25" s="5"/>
      <c r="Y25" s="357"/>
      <c r="AA25" s="533">
        <v>2026</v>
      </c>
      <c r="AB25" s="534"/>
      <c r="AC25" s="534"/>
      <c r="AD25" s="534"/>
      <c r="AE25" s="534"/>
      <c r="AF25" s="535"/>
      <c r="AI25" s="533">
        <v>2027</v>
      </c>
      <c r="AJ25" s="534"/>
      <c r="AK25" s="534"/>
      <c r="AL25" s="534"/>
      <c r="AM25" s="534"/>
      <c r="AN25" s="535"/>
    </row>
    <row r="26" spans="2:40">
      <c r="B26" s="7"/>
      <c r="C26" s="7"/>
      <c r="D26" s="5"/>
      <c r="E26" s="5"/>
      <c r="F26" s="537" t="s">
        <v>23</v>
      </c>
      <c r="G26" s="538"/>
      <c r="H26" s="538"/>
      <c r="I26" s="538"/>
      <c r="J26" s="538"/>
      <c r="K26" s="539"/>
      <c r="O26" s="5"/>
      <c r="P26" s="537" t="s">
        <v>25</v>
      </c>
      <c r="Q26" s="538"/>
      <c r="R26" s="538"/>
      <c r="S26" s="538"/>
      <c r="T26" s="538"/>
      <c r="U26" s="539"/>
      <c r="V26" s="217"/>
      <c r="Z26" s="5"/>
      <c r="AA26" s="358"/>
      <c r="AB26" s="218">
        <v>500000000</v>
      </c>
      <c r="AC26" s="359"/>
      <c r="AD26" s="368"/>
      <c r="AE26" s="369"/>
      <c r="AF26" s="361"/>
      <c r="AI26" s="360"/>
      <c r="AJ26" s="219">
        <v>500000000</v>
      </c>
      <c r="AK26" s="361"/>
      <c r="AL26" s="368"/>
      <c r="AM26" s="369"/>
      <c r="AN26" s="361"/>
    </row>
    <row r="27" spans="2:40" ht="46.5">
      <c r="B27" s="7"/>
      <c r="C27" s="7"/>
      <c r="D27" s="5"/>
      <c r="E27" s="5"/>
      <c r="F27" s="6" t="str">
        <f>Summary!D3&amp;" Sales"</f>
        <v>2029 Sales</v>
      </c>
      <c r="G27" s="6" t="str">
        <f>TEXT(Summary!L3,"mm/d/yyyy")&amp;" Avg Rates"</f>
        <v>03/1/2026 Avg Rates</v>
      </c>
      <c r="H27" s="6" t="s">
        <v>180</v>
      </c>
      <c r="I27" s="6" t="s">
        <v>181</v>
      </c>
      <c r="J27" s="6" t="s">
        <v>182</v>
      </c>
      <c r="K27" s="6" t="s">
        <v>183</v>
      </c>
      <c r="O27" s="5"/>
      <c r="P27" s="6" t="str">
        <f>F27</f>
        <v>2029 Sales</v>
      </c>
      <c r="Q27" s="6" t="str">
        <f>G27</f>
        <v>03/1/2026 Avg Rates</v>
      </c>
      <c r="R27" s="6" t="s">
        <v>180</v>
      </c>
      <c r="S27" s="6" t="s">
        <v>181</v>
      </c>
      <c r="T27" s="6" t="s">
        <v>182</v>
      </c>
      <c r="U27" s="6" t="s">
        <v>183</v>
      </c>
      <c r="V27" s="217"/>
      <c r="Z27" s="5"/>
      <c r="AA27" s="362" t="s">
        <v>673</v>
      </c>
      <c r="AB27" s="218">
        <f>(SUMIF('Authorized Rev Req'!L:L, "Distribution (Wildfire)", 'Authorized Rev Req'!H:H)+SUMIF('Authorized Rev Req'!L:L, "WHC", 'Authorized Rev Req'!H:H))*1000</f>
        <v>2216164203.6611958</v>
      </c>
      <c r="AC27" s="359"/>
      <c r="AD27" s="372"/>
      <c r="AF27" s="359"/>
      <c r="AI27" s="362" t="s">
        <v>673</v>
      </c>
      <c r="AJ27" s="218">
        <f>('Incremental Rev Req'!T113+'Incremental Rev Req'!T112)*1000</f>
        <v>1658636481.9172735</v>
      </c>
      <c r="AK27" s="359"/>
      <c r="AL27" s="372"/>
      <c r="AN27" s="359"/>
    </row>
    <row r="28" spans="2:40" ht="16" thickBot="1">
      <c r="B28" s="7"/>
      <c r="C28" s="7"/>
      <c r="D28" s="5"/>
      <c r="E28" s="363" t="s">
        <v>571</v>
      </c>
      <c r="F28" s="111">
        <f>VLOOKUP(Summary!$D$3,$J$51:$K$54,2,FALSE)</f>
        <v>3307682.6099335006</v>
      </c>
      <c r="G28" s="64">
        <f>IF(Summary!$I$3="Y",AB50,AC50)</f>
        <v>31.167326702554444</v>
      </c>
      <c r="H28" s="11">
        <f>IF(Summary!$I$3="Y",V19/$F$28*100,SUM(V19-W22)/$F$28*100)</f>
        <v>29.887248672721707</v>
      </c>
      <c r="I28" s="11">
        <f>IF(Summary!$I$3="Y",X19/$F$28*100,SUM(X19-X22)/$F$28*100)</f>
        <v>33.380568366621063</v>
      </c>
      <c r="J28" s="125">
        <f>H28/G28-1</f>
        <v>-4.1071152558227686E-2</v>
      </c>
      <c r="K28" s="125">
        <f>I28/G28-1</f>
        <v>7.1011597664076387E-2</v>
      </c>
      <c r="O28" s="363" t="s">
        <v>571</v>
      </c>
      <c r="P28" s="111">
        <f>VLOOKUP(Summary!$D$3,$N$51:$O$54,2,FALSE)</f>
        <v>14505025.117520949</v>
      </c>
      <c r="Q28" s="64">
        <f>IF(Summary!$I$3="Y",AE50,AF50)</f>
        <v>23.678873864036913</v>
      </c>
      <c r="R28" s="11">
        <f>IF(Summary!$I$3="Y",U10/P28*100,(U10-P10)/P28)</f>
        <v>18.921157059699713</v>
      </c>
      <c r="S28" s="11">
        <f>IF(Summary!$I$3="Y",U13/P28*100,(U13-P13)/P28)</f>
        <v>22.493290119956789</v>
      </c>
      <c r="T28" s="125">
        <f>R28/Q28-1</f>
        <v>-0.20092665012938571</v>
      </c>
      <c r="U28" s="125">
        <f>S28/Q28-1</f>
        <v>-5.006926219919472E-2</v>
      </c>
      <c r="V28" s="217"/>
      <c r="W28" s="205"/>
      <c r="X28" s="61"/>
      <c r="AA28" s="364"/>
      <c r="AB28" s="365"/>
      <c r="AC28" s="366"/>
      <c r="AD28" s="372"/>
      <c r="AF28" s="359"/>
      <c r="AI28" s="372"/>
      <c r="AK28" s="359"/>
      <c r="AL28" s="372"/>
      <c r="AN28" s="359"/>
    </row>
    <row r="29" spans="2:40">
      <c r="E29" s="363" t="s">
        <v>22</v>
      </c>
      <c r="F29" s="111">
        <f>VLOOKUP(Summary!$D$3,$J$55:$K$58,2,FALSE)</f>
        <v>24784494.935273737</v>
      </c>
      <c r="G29" s="64">
        <f>IF(Summary!$I$3="Y",AB51,AC51)</f>
        <v>32.596708001946226</v>
      </c>
      <c r="H29" s="11">
        <f>IF(Summary!$I$3="Y",V20/$F$29*100,SUM(V20-W23)/$F$29*100)</f>
        <v>31.306003070908904</v>
      </c>
      <c r="I29" s="11">
        <f>IF(Summary!$I$3="Y",W20/$F$29*100,SUM(W20-X23)/$F$29*100)</f>
        <v>35.449731967456358</v>
      </c>
      <c r="J29" s="125">
        <f>H29/G29-1</f>
        <v>-3.9596174281165353E-2</v>
      </c>
      <c r="K29" s="125">
        <f>I29/G29-1</f>
        <v>8.7524910961554347E-2</v>
      </c>
      <c r="O29" s="363" t="s">
        <v>22</v>
      </c>
      <c r="P29" s="111">
        <f>VLOOKUP(Summary!$D$3,$N$55:$O$58,2,FALSE)</f>
        <v>75364454.013400629</v>
      </c>
      <c r="Q29" s="64">
        <f>IF(Summary!$I$3="Y",AE51,AF51)</f>
        <v>26.65073540105055</v>
      </c>
      <c r="R29" s="11">
        <f>IF(Summary!$I$3="Y",U11/P29*100,(U11-P11)/P29)</f>
        <v>23.079560753157391</v>
      </c>
      <c r="S29" s="11">
        <f>IF(Summary!$I$3="Y",U14/P29*100,(U14-P14)/P29)</f>
        <v>27.294813107012299</v>
      </c>
      <c r="T29" s="125">
        <f>R29/Q29-1</f>
        <v>-0.13399910337004761</v>
      </c>
      <c r="U29" s="125">
        <f>S29/Q29-1</f>
        <v>2.4167352092518968E-2</v>
      </c>
      <c r="V29" s="220"/>
      <c r="AA29" s="368"/>
      <c r="AB29" s="369" t="s">
        <v>5</v>
      </c>
      <c r="AC29" s="361" t="s">
        <v>287</v>
      </c>
      <c r="AD29" s="372"/>
      <c r="AE29" s="370" t="s">
        <v>293</v>
      </c>
      <c r="AF29" s="371" t="s">
        <v>294</v>
      </c>
      <c r="AI29" s="368"/>
      <c r="AJ29" s="369" t="s">
        <v>5</v>
      </c>
      <c r="AK29" s="361" t="s">
        <v>287</v>
      </c>
      <c r="AL29" s="372"/>
      <c r="AM29" s="370" t="s">
        <v>293</v>
      </c>
      <c r="AN29" s="371" t="s">
        <v>294</v>
      </c>
    </row>
    <row r="30" spans="2:40">
      <c r="H30" s="490"/>
      <c r="I30" s="490"/>
      <c r="J30" s="262"/>
      <c r="K30" s="262"/>
      <c r="L30" s="490"/>
      <c r="M30" s="490"/>
      <c r="N30" s="490"/>
      <c r="O30" s="490"/>
      <c r="P30" s="490"/>
      <c r="Q30" s="490"/>
      <c r="R30" s="490"/>
      <c r="S30" s="491"/>
      <c r="T30" s="262"/>
      <c r="U30" s="262"/>
      <c r="V30" s="217"/>
      <c r="AA30" s="372" t="s">
        <v>288</v>
      </c>
      <c r="AB30" s="200">
        <f>'SAR and RAR'!AB30</f>
        <v>0.47554953632916569</v>
      </c>
      <c r="AC30" s="201">
        <f>'SAR and RAR'!AC30</f>
        <v>0.37373788819706122</v>
      </c>
      <c r="AD30" s="372"/>
      <c r="AF30" s="359"/>
      <c r="AI30" s="372" t="s">
        <v>288</v>
      </c>
      <c r="AJ30" s="200">
        <f>'SAR and RAR'!AJ30</f>
        <v>0.46466189261562585</v>
      </c>
      <c r="AK30" s="201">
        <f>'SAR and RAR'!AK30</f>
        <v>0.37373788819706122</v>
      </c>
      <c r="AL30" s="372"/>
      <c r="AN30" s="359"/>
    </row>
    <row r="31" spans="2:40">
      <c r="H31" s="490"/>
      <c r="I31" s="490"/>
      <c r="J31" s="262"/>
      <c r="K31" s="262"/>
      <c r="L31" s="490"/>
      <c r="M31" s="490"/>
      <c r="N31" s="490"/>
      <c r="O31" s="490"/>
      <c r="P31" s="490"/>
      <c r="Q31" s="490"/>
      <c r="R31" s="490"/>
      <c r="S31" s="491"/>
      <c r="T31" s="262"/>
      <c r="U31" s="262"/>
      <c r="V31" s="220"/>
      <c r="AA31" s="372" t="s">
        <v>357</v>
      </c>
      <c r="AB31" s="200">
        <f>'SAR and RAR'!AB31</f>
        <v>0.10604111471814805</v>
      </c>
      <c r="AC31" s="201">
        <f>'SAR and RAR'!AC31</f>
        <v>9.2040201092834811E-2</v>
      </c>
      <c r="AD31" s="372"/>
      <c r="AE31" s="217"/>
      <c r="AF31" s="359"/>
      <c r="AI31" s="372" t="s">
        <v>357</v>
      </c>
      <c r="AJ31" s="200">
        <f>'SAR and RAR'!AJ31</f>
        <v>0.10501978944326278</v>
      </c>
      <c r="AK31" s="201">
        <f>'SAR and RAR'!AK31</f>
        <v>9.2040201092834811E-2</v>
      </c>
      <c r="AL31" s="372"/>
      <c r="AM31" s="217"/>
      <c r="AN31" s="359"/>
    </row>
    <row r="32" spans="2:40">
      <c r="B32" s="7"/>
      <c r="C32" s="7"/>
      <c r="D32" s="5"/>
      <c r="E32" s="5"/>
      <c r="F32" s="375"/>
      <c r="G32" s="375"/>
      <c r="H32" s="375"/>
      <c r="I32" s="43"/>
      <c r="J32" s="43"/>
      <c r="K32" s="43"/>
      <c r="L32" s="5"/>
      <c r="M32" s="5"/>
      <c r="N32" s="5"/>
      <c r="O32" s="5"/>
      <c r="P32" s="5"/>
      <c r="Q32" s="5"/>
      <c r="R32" s="5"/>
      <c r="S32" s="216"/>
      <c r="T32" s="5"/>
      <c r="U32" s="216"/>
      <c r="V32" s="220"/>
      <c r="W32" s="220"/>
      <c r="X32" s="217"/>
      <c r="AA32" s="372" t="s">
        <v>374</v>
      </c>
      <c r="AB32" s="200">
        <f>'SAR and RAR'!AB32</f>
        <v>3.3324052864361096E-2</v>
      </c>
      <c r="AC32" s="201">
        <f>'SAR and RAR'!AC32</f>
        <v>2.9394853387822543E-2</v>
      </c>
      <c r="AD32" s="372"/>
      <c r="AE32" s="217"/>
      <c r="AF32" s="359"/>
      <c r="AI32" s="372" t="s">
        <v>374</v>
      </c>
      <c r="AJ32" s="200">
        <f>'SAR and RAR'!AJ32</f>
        <v>3.3418461993119791E-2</v>
      </c>
      <c r="AK32" s="201">
        <f>'SAR and RAR'!AK32</f>
        <v>2.9394853387822543E-2</v>
      </c>
      <c r="AL32" s="372"/>
      <c r="AM32" s="217"/>
      <c r="AN32" s="359"/>
    </row>
    <row r="33" spans="2:40">
      <c r="B33" s="7"/>
      <c r="C33" s="7"/>
      <c r="D33" s="5"/>
      <c r="E33" s="43"/>
      <c r="F33" s="70"/>
      <c r="G33" s="6">
        <v>2</v>
      </c>
      <c r="H33" s="6">
        <v>3</v>
      </c>
      <c r="I33" s="43">
        <v>4</v>
      </c>
      <c r="J33" s="43">
        <v>5</v>
      </c>
      <c r="K33" s="43">
        <v>6</v>
      </c>
      <c r="L33" s="6">
        <v>7</v>
      </c>
      <c r="M33" s="6">
        <v>8</v>
      </c>
      <c r="N33" s="6">
        <v>9</v>
      </c>
      <c r="O33" s="6">
        <v>10</v>
      </c>
      <c r="P33" s="6">
        <v>11</v>
      </c>
      <c r="Q33" s="6">
        <v>12</v>
      </c>
      <c r="R33" s="6">
        <v>13</v>
      </c>
      <c r="S33" s="6">
        <v>14</v>
      </c>
      <c r="T33" s="6">
        <v>15</v>
      </c>
      <c r="U33" s="216"/>
      <c r="V33" s="217"/>
      <c r="W33" s="220"/>
      <c r="X33" s="217"/>
      <c r="AA33" s="372" t="s">
        <v>570</v>
      </c>
      <c r="AB33" s="200">
        <f>'SAR and RAR'!AB33</f>
        <v>8.8178328740731421E-2</v>
      </c>
      <c r="AC33" s="201">
        <f>'SAR and RAR'!AC33</f>
        <v>0.10147953048583333</v>
      </c>
      <c r="AD33" s="372"/>
      <c r="AE33" s="217"/>
      <c r="AF33" s="359"/>
      <c r="AI33" s="372" t="s">
        <v>570</v>
      </c>
      <c r="AJ33" s="200">
        <f>'SAR and RAR'!AJ33</f>
        <v>8.6909234434938309E-2</v>
      </c>
      <c r="AK33" s="201">
        <f>'SAR and RAR'!AK33</f>
        <v>0.10147953048583333</v>
      </c>
      <c r="AL33" s="372"/>
      <c r="AM33" s="217"/>
      <c r="AN33" s="359"/>
    </row>
    <row r="34" spans="2:40" ht="31">
      <c r="B34" s="7"/>
      <c r="C34" s="7"/>
      <c r="D34" s="211"/>
      <c r="E34" s="59"/>
      <c r="F34" s="498" t="s">
        <v>672</v>
      </c>
      <c r="G34" s="6" t="s">
        <v>3</v>
      </c>
      <c r="H34" s="6" t="s">
        <v>5</v>
      </c>
      <c r="I34" s="6" t="s">
        <v>16</v>
      </c>
      <c r="J34" s="6" t="s">
        <v>173</v>
      </c>
      <c r="K34" s="6" t="s">
        <v>14</v>
      </c>
      <c r="L34" s="6" t="s">
        <v>10</v>
      </c>
      <c r="M34" s="6" t="s">
        <v>66</v>
      </c>
      <c r="N34" s="6" t="s">
        <v>127</v>
      </c>
      <c r="O34" s="6" t="s">
        <v>134</v>
      </c>
      <c r="P34" s="6" t="s">
        <v>174</v>
      </c>
      <c r="Q34" s="209" t="s">
        <v>656</v>
      </c>
      <c r="R34" s="6" t="s">
        <v>275</v>
      </c>
      <c r="S34" s="6" t="s">
        <v>207</v>
      </c>
      <c r="T34" s="6" t="s">
        <v>292</v>
      </c>
      <c r="U34" s="5"/>
      <c r="V34" s="215"/>
      <c r="W34" s="220"/>
      <c r="AA34" s="372" t="s">
        <v>571</v>
      </c>
      <c r="AB34" s="200">
        <f>'SAR and RAR'!AB34</f>
        <v>0.14648830449316744</v>
      </c>
      <c r="AC34" s="201">
        <f>'SAR and RAR'!AC34</f>
        <v>0.18401660606871539</v>
      </c>
      <c r="AD34" s="372"/>
      <c r="AE34" s="499">
        <f>AVERAGE(AB34:AC34)</f>
        <v>0.1652524552809414</v>
      </c>
      <c r="AF34" s="201">
        <f>(0.125*AB34)+(0.875*AC34)</f>
        <v>0.17932556837177191</v>
      </c>
      <c r="AI34" s="372" t="s">
        <v>571</v>
      </c>
      <c r="AJ34" s="200">
        <f>'SAR and RAR'!AJ34</f>
        <v>0.15333183083440122</v>
      </c>
      <c r="AK34" s="201">
        <f>'SAR and RAR'!AK34</f>
        <v>0.18401660606871539</v>
      </c>
      <c r="AL34" s="372"/>
      <c r="AM34" s="499">
        <f>AVERAGE(AJ34:AK34)</f>
        <v>0.16867421845155831</v>
      </c>
      <c r="AN34" s="201">
        <f>(0.125*AJ34)+(0.875*AK34)</f>
        <v>0.18018100916442611</v>
      </c>
    </row>
    <row r="35" spans="2:40">
      <c r="E35" s="5"/>
      <c r="F35" s="376">
        <v>2026</v>
      </c>
      <c r="G35" s="71">
        <v>0.134661679791093</v>
      </c>
      <c r="H35" s="377">
        <v>0.14648830449316744</v>
      </c>
      <c r="I35" s="71">
        <v>0.18908973166606322</v>
      </c>
      <c r="J35" s="71">
        <v>0.19318384165867444</v>
      </c>
      <c r="K35" s="71">
        <v>0.15537319494525273</v>
      </c>
      <c r="L35" s="71">
        <v>0.1416416015559108</v>
      </c>
      <c r="M35" s="71">
        <v>0.19485531896890587</v>
      </c>
      <c r="N35" s="71">
        <v>0.19320951383684842</v>
      </c>
      <c r="O35" s="71">
        <v>0.19465815169013542</v>
      </c>
      <c r="P35" s="71">
        <v>1.3506989377548533E-2</v>
      </c>
      <c r="Q35" s="71">
        <v>0.21380475870673479</v>
      </c>
      <c r="R35" s="71">
        <v>0.18980155932876278</v>
      </c>
      <c r="S35" s="71">
        <v>0.23142435073703105</v>
      </c>
      <c r="T35" s="71">
        <f>((AB26*AE34)+((AB27-AB26)*(AF34)))/AB27</f>
        <v>0.17615046224299741</v>
      </c>
      <c r="U35" s="5"/>
      <c r="V35" s="71"/>
      <c r="W35" s="221"/>
      <c r="AA35" s="372" t="s">
        <v>289</v>
      </c>
      <c r="AB35" s="200">
        <f>'SAR and RAR'!AB35</f>
        <v>3.4289500953912258E-3</v>
      </c>
      <c r="AC35" s="201">
        <f>'SAR and RAR'!AC35</f>
        <v>3.9605516879272504E-3</v>
      </c>
      <c r="AD35" s="372"/>
      <c r="AE35" s="217"/>
      <c r="AF35" s="359"/>
      <c r="AI35" s="372" t="s">
        <v>289</v>
      </c>
      <c r="AJ35" s="200">
        <f>'SAR and RAR'!AJ35</f>
        <v>3.3706310832522807E-3</v>
      </c>
      <c r="AK35" s="201">
        <f>'SAR and RAR'!AK35</f>
        <v>3.9605516879272504E-3</v>
      </c>
      <c r="AL35" s="372"/>
      <c r="AM35" s="217"/>
      <c r="AN35" s="359"/>
    </row>
    <row r="36" spans="2:40">
      <c r="E36" s="5"/>
      <c r="F36" s="376">
        <f>F35+1</f>
        <v>2027</v>
      </c>
      <c r="G36" s="71">
        <v>0.13737319784219726</v>
      </c>
      <c r="H36" s="71">
        <v>0.15333183083440122</v>
      </c>
      <c r="I36" s="71">
        <v>0.19422592286228396</v>
      </c>
      <c r="J36" s="71">
        <v>0.19852070017996037</v>
      </c>
      <c r="K36" s="71">
        <v>0.16006725317476517</v>
      </c>
      <c r="L36" s="71">
        <v>0.14943506715790922</v>
      </c>
      <c r="M36" s="71">
        <v>0.20031045266787789</v>
      </c>
      <c r="N36" s="71">
        <v>0.19851384228513297</v>
      </c>
      <c r="O36" s="71">
        <v>0.20010343728498717</v>
      </c>
      <c r="P36" s="71">
        <v>9.9349838135132165E-3</v>
      </c>
      <c r="Q36" s="71">
        <v>0.21936904756464753</v>
      </c>
      <c r="R36" s="71">
        <v>0.1964181879282034</v>
      </c>
      <c r="S36" s="71">
        <v>0.20170110378126666</v>
      </c>
      <c r="T36" s="71">
        <f>((AJ26*AM34)+((AJ27-AJ26)*(AN34)))/AJ27</f>
        <v>0.17671225912838245</v>
      </c>
      <c r="U36" s="216"/>
      <c r="V36" s="5"/>
      <c r="X36" s="5"/>
      <c r="AA36" s="372" t="s">
        <v>290</v>
      </c>
      <c r="AB36" s="200">
        <f>'SAR and RAR'!AB36</f>
        <v>1.3902994449942997E-3</v>
      </c>
      <c r="AC36" s="201">
        <f>'SAR and RAR'!AC36</f>
        <v>3.8893033581186244E-3</v>
      </c>
      <c r="AD36" s="372"/>
      <c r="AE36" s="217"/>
      <c r="AF36" s="359"/>
      <c r="AI36" s="372" t="s">
        <v>290</v>
      </c>
      <c r="AJ36" s="200">
        <f>'SAR and RAR'!AJ36</f>
        <v>2.7712874998459289E-3</v>
      </c>
      <c r="AK36" s="201">
        <f>'SAR and RAR'!AK36</f>
        <v>3.8893033581186244E-3</v>
      </c>
      <c r="AL36" s="372"/>
      <c r="AM36" s="217"/>
      <c r="AN36" s="359"/>
    </row>
    <row r="37" spans="2:40">
      <c r="B37" s="7"/>
      <c r="C37" s="7"/>
      <c r="E37" s="5"/>
      <c r="F37" s="376">
        <f>F36+1</f>
        <v>2028</v>
      </c>
      <c r="G37" s="71">
        <f>G35</f>
        <v>0.134661679791093</v>
      </c>
      <c r="H37" s="71">
        <f t="shared" ref="H37:T37" si="4">H35</f>
        <v>0.14648830449316744</v>
      </c>
      <c r="I37" s="71">
        <f t="shared" si="4"/>
        <v>0.18908973166606322</v>
      </c>
      <c r="J37" s="71">
        <f t="shared" si="4"/>
        <v>0.19318384165867444</v>
      </c>
      <c r="K37" s="71">
        <f t="shared" si="4"/>
        <v>0.15537319494525273</v>
      </c>
      <c r="L37" s="71">
        <f t="shared" si="4"/>
        <v>0.1416416015559108</v>
      </c>
      <c r="M37" s="71">
        <f t="shared" si="4"/>
        <v>0.19485531896890587</v>
      </c>
      <c r="N37" s="71">
        <f t="shared" si="4"/>
        <v>0.19320951383684842</v>
      </c>
      <c r="O37" s="71">
        <f t="shared" si="4"/>
        <v>0.19465815169013542</v>
      </c>
      <c r="P37" s="71">
        <f t="shared" si="4"/>
        <v>1.3506989377548533E-2</v>
      </c>
      <c r="Q37" s="71">
        <f t="shared" si="4"/>
        <v>0.21380475870673479</v>
      </c>
      <c r="R37" s="71">
        <f t="shared" si="4"/>
        <v>0.18980155932876278</v>
      </c>
      <c r="S37" s="71">
        <f t="shared" si="4"/>
        <v>0.23142435073703105</v>
      </c>
      <c r="T37" s="71">
        <f t="shared" si="4"/>
        <v>0.17615046224299741</v>
      </c>
      <c r="U37" s="216"/>
      <c r="V37" s="220"/>
      <c r="W37" s="222"/>
      <c r="X37" s="217"/>
      <c r="AA37" s="372" t="s">
        <v>291</v>
      </c>
      <c r="AB37" s="200">
        <f>'SAR and RAR'!AB37</f>
        <v>8.8633537850768884E-2</v>
      </c>
      <c r="AC37" s="201">
        <f>'SAR and RAR'!AC37</f>
        <v>8.0695912474960468E-2</v>
      </c>
      <c r="AD37" s="372"/>
      <c r="AE37" s="217"/>
      <c r="AF37" s="359"/>
      <c r="AI37" s="372" t="s">
        <v>291</v>
      </c>
      <c r="AJ37" s="200">
        <f>'SAR and RAR'!AJ37</f>
        <v>9.28839376085831E-2</v>
      </c>
      <c r="AK37" s="201">
        <f>'SAR and RAR'!AK37</f>
        <v>8.0695912474960468E-2</v>
      </c>
      <c r="AL37" s="372"/>
      <c r="AM37" s="217"/>
      <c r="AN37" s="359"/>
    </row>
    <row r="38" spans="2:40">
      <c r="B38" s="7"/>
      <c r="C38" s="7"/>
      <c r="E38" s="5"/>
      <c r="F38" s="376">
        <f>F37+1</f>
        <v>2029</v>
      </c>
      <c r="G38" s="71">
        <f>G37</f>
        <v>0.134661679791093</v>
      </c>
      <c r="H38" s="71">
        <f t="shared" ref="H38:T38" si="5">H37</f>
        <v>0.14648830449316744</v>
      </c>
      <c r="I38" s="71">
        <f t="shared" si="5"/>
        <v>0.18908973166606322</v>
      </c>
      <c r="J38" s="71">
        <f t="shared" si="5"/>
        <v>0.19318384165867444</v>
      </c>
      <c r="K38" s="71">
        <f t="shared" si="5"/>
        <v>0.15537319494525273</v>
      </c>
      <c r="L38" s="71">
        <f t="shared" si="5"/>
        <v>0.1416416015559108</v>
      </c>
      <c r="M38" s="71">
        <f t="shared" si="5"/>
        <v>0.19485531896890587</v>
      </c>
      <c r="N38" s="71">
        <f t="shared" si="5"/>
        <v>0.19320951383684842</v>
      </c>
      <c r="O38" s="71">
        <f t="shared" si="5"/>
        <v>0.19465815169013542</v>
      </c>
      <c r="P38" s="71">
        <f t="shared" si="5"/>
        <v>1.3506989377548533E-2</v>
      </c>
      <c r="Q38" s="71">
        <f t="shared" si="5"/>
        <v>0.21380475870673479</v>
      </c>
      <c r="R38" s="71">
        <f t="shared" si="5"/>
        <v>0.18980155932876278</v>
      </c>
      <c r="S38" s="71">
        <f t="shared" si="5"/>
        <v>0.23142435073703105</v>
      </c>
      <c r="T38" s="71">
        <f t="shared" si="5"/>
        <v>0.17615046224299741</v>
      </c>
      <c r="U38" s="216"/>
      <c r="V38" s="220"/>
      <c r="W38" s="217"/>
      <c r="X38" s="217"/>
      <c r="AA38" s="372" t="s">
        <v>572</v>
      </c>
      <c r="AB38" s="200">
        <f>'SAR and RAR'!AB38</f>
        <v>3.9755327840354467E-2</v>
      </c>
      <c r="AC38" s="201">
        <f>'SAR and RAR'!AC38</f>
        <v>6.7877531643634414E-2</v>
      </c>
      <c r="AD38" s="372"/>
      <c r="AE38" s="217"/>
      <c r="AF38" s="359"/>
      <c r="AI38" s="372" t="s">
        <v>572</v>
      </c>
      <c r="AJ38" s="200">
        <f>'SAR and RAR'!AJ38</f>
        <v>3.9707161897810692E-2</v>
      </c>
      <c r="AK38" s="201">
        <f>'SAR and RAR'!AK38</f>
        <v>6.7877531643634414E-2</v>
      </c>
      <c r="AL38" s="372"/>
      <c r="AM38" s="217"/>
      <c r="AN38" s="359"/>
    </row>
    <row r="39" spans="2:40">
      <c r="B39" s="7"/>
      <c r="C39" s="7"/>
      <c r="E39" s="5"/>
      <c r="F39" s="8"/>
      <c r="G39" s="9"/>
      <c r="H39" s="126"/>
      <c r="I39" s="43"/>
      <c r="J39" s="43"/>
      <c r="K39" s="43"/>
      <c r="L39" s="5"/>
      <c r="M39" s="5"/>
      <c r="N39" s="5"/>
      <c r="O39" s="5"/>
      <c r="P39" s="5"/>
      <c r="Q39" s="5"/>
      <c r="S39" s="71"/>
      <c r="T39" s="5"/>
      <c r="U39" s="216"/>
      <c r="V39" s="220"/>
      <c r="W39" s="222"/>
      <c r="X39" s="220"/>
      <c r="AA39" s="372" t="s">
        <v>573</v>
      </c>
      <c r="AB39" s="200">
        <f>'SAR and RAR'!AB39</f>
        <v>1.5716952856348013E-2</v>
      </c>
      <c r="AC39" s="201">
        <f>'SAR and RAR'!AC39</f>
        <v>2.2712125739292564E-2</v>
      </c>
      <c r="AD39" s="372"/>
      <c r="AE39" s="217"/>
      <c r="AF39" s="359"/>
      <c r="AI39" s="372" t="s">
        <v>573</v>
      </c>
      <c r="AJ39" s="200">
        <f>'SAR and RAR'!AJ39</f>
        <v>1.685713420315451E-2</v>
      </c>
      <c r="AK39" s="201">
        <f>'SAR and RAR'!AK39</f>
        <v>2.2712125739292564E-2</v>
      </c>
      <c r="AL39" s="372"/>
      <c r="AM39" s="217"/>
      <c r="AN39" s="359"/>
    </row>
    <row r="40" spans="2:40" ht="18.75" customHeight="1" thickBot="1">
      <c r="B40" s="7"/>
      <c r="C40" s="7"/>
      <c r="D40" s="5"/>
      <c r="E40" s="5"/>
      <c r="F40" s="498" t="s">
        <v>176</v>
      </c>
      <c r="G40" s="43"/>
      <c r="H40" s="43"/>
      <c r="I40" s="43"/>
      <c r="J40" s="43"/>
      <c r="K40" s="43"/>
      <c r="L40" s="5"/>
      <c r="M40" s="5"/>
      <c r="N40" s="5"/>
      <c r="O40" s="5"/>
      <c r="P40" s="5"/>
      <c r="Q40" s="5"/>
      <c r="S40" s="71"/>
      <c r="T40" s="5"/>
      <c r="U40" s="216"/>
      <c r="V40" s="220"/>
      <c r="W40" s="220"/>
      <c r="X40" s="217"/>
      <c r="AA40" s="364" t="s">
        <v>574</v>
      </c>
      <c r="AB40" s="202">
        <f>'SAR and RAR'!AB40</f>
        <v>1.4935947665695741E-3</v>
      </c>
      <c r="AC40" s="203">
        <f>'SAR and RAR'!AC40</f>
        <v>4.0195495863799224E-2</v>
      </c>
      <c r="AD40" s="364"/>
      <c r="AE40" s="495"/>
      <c r="AF40" s="366"/>
      <c r="AI40" s="364" t="s">
        <v>574</v>
      </c>
      <c r="AJ40" s="202">
        <f>'SAR and RAR'!AJ40</f>
        <v>1.0686383860052963E-3</v>
      </c>
      <c r="AK40" s="203">
        <f>'SAR and RAR'!AK40</f>
        <v>4.0195495863799224E-2</v>
      </c>
      <c r="AL40" s="364"/>
      <c r="AM40" s="495"/>
      <c r="AN40" s="366"/>
    </row>
    <row r="41" spans="2:40">
      <c r="B41" s="7"/>
      <c r="C41" s="7"/>
      <c r="D41" s="5"/>
      <c r="E41" s="363" t="s">
        <v>571</v>
      </c>
      <c r="F41" s="376">
        <f>F35</f>
        <v>2026</v>
      </c>
      <c r="G41" s="71">
        <v>1</v>
      </c>
      <c r="H41" s="71">
        <f t="shared" ref="H41:R41" si="6">$K51/$O51</f>
        <v>0.22803701359593481</v>
      </c>
      <c r="I41" s="71">
        <f t="shared" si="6"/>
        <v>0.22803701359593481</v>
      </c>
      <c r="J41" s="71">
        <f t="shared" si="6"/>
        <v>0.22803701359593481</v>
      </c>
      <c r="K41" s="71">
        <f t="shared" si="6"/>
        <v>0.22803701359593481</v>
      </c>
      <c r="L41" s="71">
        <f t="shared" si="6"/>
        <v>0.22803701359593481</v>
      </c>
      <c r="M41" s="71">
        <f t="shared" si="6"/>
        <v>0.22803701359593481</v>
      </c>
      <c r="N41" s="71">
        <f t="shared" si="6"/>
        <v>0.22803701359593481</v>
      </c>
      <c r="O41" s="71">
        <f t="shared" si="6"/>
        <v>0.22803701359593481</v>
      </c>
      <c r="P41" s="71">
        <f t="shared" si="6"/>
        <v>0.22803701359593481</v>
      </c>
      <c r="Q41" s="71">
        <f t="shared" si="6"/>
        <v>0.22803701359593481</v>
      </c>
      <c r="R41" s="71">
        <f t="shared" si="6"/>
        <v>0.22803701359593481</v>
      </c>
      <c r="S41" s="71">
        <v>-0.10820234581910024</v>
      </c>
      <c r="T41" s="71">
        <f t="shared" ref="T41:T48" si="7">$K51/$O51</f>
        <v>0.22803701359593481</v>
      </c>
      <c r="U41" s="216"/>
      <c r="V41" s="220"/>
      <c r="W41" s="215"/>
      <c r="X41" s="215"/>
      <c r="AJ41" s="378"/>
      <c r="AK41" s="378"/>
    </row>
    <row r="42" spans="2:40">
      <c r="B42" s="7"/>
      <c r="C42" s="7"/>
      <c r="D42" s="5"/>
      <c r="E42" s="363" t="s">
        <v>571</v>
      </c>
      <c r="F42" s="376">
        <f>F36</f>
        <v>2027</v>
      </c>
      <c r="G42" s="71">
        <v>1</v>
      </c>
      <c r="H42" s="71">
        <f t="shared" ref="H42:R42" si="8">$K52/$O52</f>
        <v>0.21205490210046488</v>
      </c>
      <c r="I42" s="71">
        <f t="shared" si="8"/>
        <v>0.21205490210046488</v>
      </c>
      <c r="J42" s="71">
        <f t="shared" si="8"/>
        <v>0.21205490210046488</v>
      </c>
      <c r="K42" s="71">
        <f t="shared" si="8"/>
        <v>0.21205490210046488</v>
      </c>
      <c r="L42" s="71">
        <f t="shared" si="8"/>
        <v>0.21205490210046488</v>
      </c>
      <c r="M42" s="71">
        <f t="shared" si="8"/>
        <v>0.21205490210046488</v>
      </c>
      <c r="N42" s="71">
        <f t="shared" si="8"/>
        <v>0.21205490210046488</v>
      </c>
      <c r="O42" s="71">
        <f t="shared" si="8"/>
        <v>0.21205490210046488</v>
      </c>
      <c r="P42" s="71">
        <f t="shared" si="8"/>
        <v>0.21205490210046488</v>
      </c>
      <c r="Q42" s="71">
        <f t="shared" si="8"/>
        <v>0.21205490210046488</v>
      </c>
      <c r="R42" s="71">
        <f t="shared" si="8"/>
        <v>0.21205490210046488</v>
      </c>
      <c r="S42" s="71">
        <v>0.20182466304412786</v>
      </c>
      <c r="T42" s="71">
        <f t="shared" si="7"/>
        <v>0.21205490210046488</v>
      </c>
      <c r="U42" s="5"/>
      <c r="V42" s="215"/>
      <c r="X42" s="217"/>
      <c r="AB42" s="379"/>
      <c r="AC42" s="379"/>
    </row>
    <row r="43" spans="2:40" ht="31">
      <c r="B43" s="7"/>
      <c r="C43" s="7"/>
      <c r="D43" s="5"/>
      <c r="E43" s="363" t="s">
        <v>571</v>
      </c>
      <c r="F43" s="376">
        <f>F37</f>
        <v>2028</v>
      </c>
      <c r="G43" s="71">
        <f t="shared" ref="G43" si="9">G42</f>
        <v>1</v>
      </c>
      <c r="H43" s="71">
        <f>H41</f>
        <v>0.22803701359593481</v>
      </c>
      <c r="I43" s="71">
        <f t="shared" ref="I43:R43" si="10">I41</f>
        <v>0.22803701359593481</v>
      </c>
      <c r="J43" s="71">
        <f t="shared" si="10"/>
        <v>0.22803701359593481</v>
      </c>
      <c r="K43" s="71">
        <f t="shared" si="10"/>
        <v>0.22803701359593481</v>
      </c>
      <c r="L43" s="71">
        <f t="shared" si="10"/>
        <v>0.22803701359593481</v>
      </c>
      <c r="M43" s="71">
        <f t="shared" si="10"/>
        <v>0.22803701359593481</v>
      </c>
      <c r="N43" s="71">
        <f t="shared" si="10"/>
        <v>0.22803701359593481</v>
      </c>
      <c r="O43" s="71">
        <f t="shared" si="10"/>
        <v>0.22803701359593481</v>
      </c>
      <c r="P43" s="71">
        <f t="shared" si="10"/>
        <v>0.22803701359593481</v>
      </c>
      <c r="Q43" s="71">
        <f t="shared" si="10"/>
        <v>0.22803701359593481</v>
      </c>
      <c r="R43" s="71">
        <f t="shared" si="10"/>
        <v>0.22803701359593481</v>
      </c>
      <c r="S43" s="71">
        <v>0.19828596507452048</v>
      </c>
      <c r="T43" s="71">
        <f t="shared" si="7"/>
        <v>0.22803701359593481</v>
      </c>
      <c r="U43" s="216"/>
      <c r="V43" s="220"/>
      <c r="W43" s="160"/>
      <c r="X43" s="5"/>
      <c r="AA43" s="154"/>
      <c r="AB43" s="250" t="str">
        <f>'SAR and RAR'!AB43</f>
        <v>1/1/26  Bundled
w/Credit</v>
      </c>
      <c r="AC43" s="250" t="str">
        <f>'SAR and RAR'!AC43</f>
        <v>1/1/26  Bundled
w/out Credit</v>
      </c>
      <c r="AD43" s="250"/>
      <c r="AE43" s="250" t="str">
        <f>'SAR and RAR'!AE43</f>
        <v>1/1/26  System
w/Credit</v>
      </c>
      <c r="AF43" s="250" t="str">
        <f>'SAR and RAR'!AF43</f>
        <v>1/1/26  System
w/out Credit</v>
      </c>
    </row>
    <row r="44" spans="2:40">
      <c r="B44" s="7"/>
      <c r="C44" s="7"/>
      <c r="D44" s="5"/>
      <c r="E44" s="363" t="s">
        <v>571</v>
      </c>
      <c r="F44" s="376">
        <f>F38</f>
        <v>2029</v>
      </c>
      <c r="G44" s="71">
        <f t="shared" ref="G44" si="11">G42</f>
        <v>1</v>
      </c>
      <c r="H44" s="71">
        <f>H43</f>
        <v>0.22803701359593481</v>
      </c>
      <c r="I44" s="71">
        <f t="shared" ref="I44:R44" si="12">I43</f>
        <v>0.22803701359593481</v>
      </c>
      <c r="J44" s="71">
        <f t="shared" si="12"/>
        <v>0.22803701359593481</v>
      </c>
      <c r="K44" s="71">
        <f t="shared" si="12"/>
        <v>0.22803701359593481</v>
      </c>
      <c r="L44" s="71">
        <f t="shared" si="12"/>
        <v>0.22803701359593481</v>
      </c>
      <c r="M44" s="71">
        <f t="shared" si="12"/>
        <v>0.22803701359593481</v>
      </c>
      <c r="N44" s="71">
        <f t="shared" si="12"/>
        <v>0.22803701359593481</v>
      </c>
      <c r="O44" s="71">
        <f t="shared" si="12"/>
        <v>0.22803701359593481</v>
      </c>
      <c r="P44" s="71">
        <f t="shared" si="12"/>
        <v>0.22803701359593481</v>
      </c>
      <c r="Q44" s="71">
        <f t="shared" si="12"/>
        <v>0.22803701359593481</v>
      </c>
      <c r="R44" s="71">
        <f t="shared" si="12"/>
        <v>0.22803701359593481</v>
      </c>
      <c r="S44" s="71">
        <f>S43</f>
        <v>0.19828596507452048</v>
      </c>
      <c r="T44" s="71">
        <f t="shared" si="7"/>
        <v>0.22803701359593481</v>
      </c>
      <c r="U44" s="5"/>
      <c r="V44" s="5"/>
      <c r="W44" s="5"/>
      <c r="X44" s="5"/>
      <c r="AA44" s="155"/>
      <c r="AB44" s="164"/>
      <c r="AC44" s="164"/>
      <c r="AD44" s="165"/>
      <c r="AE44" s="164"/>
      <c r="AF44" s="164"/>
    </row>
    <row r="45" spans="2:40">
      <c r="B45" s="7"/>
      <c r="C45" s="7"/>
      <c r="D45" s="5"/>
      <c r="E45" s="363" t="s">
        <v>22</v>
      </c>
      <c r="F45" s="376">
        <f>F41</f>
        <v>2026</v>
      </c>
      <c r="G45" s="71">
        <v>1</v>
      </c>
      <c r="H45" s="71">
        <f t="shared" ref="H45:R45" si="13">$K55/$O55</f>
        <v>0.32886186544742674</v>
      </c>
      <c r="I45" s="71">
        <f t="shared" si="13"/>
        <v>0.32886186544742674</v>
      </c>
      <c r="J45" s="71">
        <f t="shared" si="13"/>
        <v>0.32886186544742674</v>
      </c>
      <c r="K45" s="71">
        <f t="shared" si="13"/>
        <v>0.32886186544742674</v>
      </c>
      <c r="L45" s="71">
        <f t="shared" si="13"/>
        <v>0.32886186544742674</v>
      </c>
      <c r="M45" s="71">
        <f t="shared" si="13"/>
        <v>0.32886186544742674</v>
      </c>
      <c r="N45" s="71">
        <f t="shared" si="13"/>
        <v>0.32886186544742674</v>
      </c>
      <c r="O45" s="71">
        <f t="shared" si="13"/>
        <v>0.32886186544742674</v>
      </c>
      <c r="P45" s="71">
        <f t="shared" si="13"/>
        <v>0.32886186544742674</v>
      </c>
      <c r="Q45" s="71">
        <f t="shared" si="13"/>
        <v>0.32886186544742674</v>
      </c>
      <c r="R45" s="71">
        <f t="shared" si="13"/>
        <v>0.32886186544742674</v>
      </c>
      <c r="S45" s="71">
        <f>'SAR and RAR'!S45</f>
        <v>-0.18596781844616742</v>
      </c>
      <c r="T45" s="71">
        <f t="shared" si="7"/>
        <v>0.32886186544742674</v>
      </c>
      <c r="U45" s="216"/>
      <c r="V45" s="220"/>
      <c r="W45" s="217"/>
      <c r="X45" s="217"/>
      <c r="AA45" s="155" t="s">
        <v>571</v>
      </c>
      <c r="AB45" s="254">
        <v>31.560546335954072</v>
      </c>
      <c r="AC45" s="254">
        <v>31.684352170813028</v>
      </c>
      <c r="AD45" s="165" t="s">
        <v>571</v>
      </c>
      <c r="AE45" s="254">
        <v>24.035806970273825</v>
      </c>
      <c r="AF45" s="254">
        <v>24.076662199203017</v>
      </c>
    </row>
    <row r="46" spans="2:40">
      <c r="B46" s="7"/>
      <c r="C46" s="7"/>
      <c r="D46" s="5"/>
      <c r="E46" s="363" t="s">
        <v>22</v>
      </c>
      <c r="F46" s="376">
        <f>F42</f>
        <v>2027</v>
      </c>
      <c r="G46" s="71">
        <v>1</v>
      </c>
      <c r="H46" s="71">
        <f t="shared" ref="H46:R46" si="14">$K56/$O56</f>
        <v>0.3059173018484998</v>
      </c>
      <c r="I46" s="71">
        <f t="shared" si="14"/>
        <v>0.3059173018484998</v>
      </c>
      <c r="J46" s="71">
        <f t="shared" si="14"/>
        <v>0.3059173018484998</v>
      </c>
      <c r="K46" s="71">
        <f t="shared" si="14"/>
        <v>0.3059173018484998</v>
      </c>
      <c r="L46" s="71">
        <f t="shared" si="14"/>
        <v>0.3059173018484998</v>
      </c>
      <c r="M46" s="71">
        <f t="shared" si="14"/>
        <v>0.3059173018484998</v>
      </c>
      <c r="N46" s="71">
        <f t="shared" si="14"/>
        <v>0.3059173018484998</v>
      </c>
      <c r="O46" s="71">
        <f t="shared" si="14"/>
        <v>0.3059173018484998</v>
      </c>
      <c r="P46" s="71">
        <f t="shared" si="14"/>
        <v>0.3059173018484998</v>
      </c>
      <c r="Q46" s="71">
        <f t="shared" si="14"/>
        <v>0.3059173018484998</v>
      </c>
      <c r="R46" s="71">
        <f t="shared" si="14"/>
        <v>0.3059173018484998</v>
      </c>
      <c r="S46" s="71">
        <f>'SAR and RAR'!S46</f>
        <v>0.28509085374089826</v>
      </c>
      <c r="T46" s="71">
        <f t="shared" si="7"/>
        <v>0.3059173018484998</v>
      </c>
      <c r="U46" s="216"/>
      <c r="V46" s="220"/>
      <c r="W46" s="217"/>
      <c r="X46" s="217"/>
      <c r="AA46" s="155" t="s">
        <v>28</v>
      </c>
      <c r="AB46" s="254">
        <v>33.416008222733581</v>
      </c>
      <c r="AC46" s="254">
        <v>34.072433607860397</v>
      </c>
      <c r="AD46" s="165" t="s">
        <v>22</v>
      </c>
      <c r="AE46" s="254">
        <v>27.143640625458705</v>
      </c>
      <c r="AF46" s="254">
        <v>27.73770240701548</v>
      </c>
    </row>
    <row r="47" spans="2:40">
      <c r="B47" s="7"/>
      <c r="C47" s="7"/>
      <c r="D47" s="5"/>
      <c r="E47" s="363" t="s">
        <v>22</v>
      </c>
      <c r="F47" s="376">
        <f>F43</f>
        <v>2028</v>
      </c>
      <c r="G47" s="71">
        <f t="shared" ref="G47" si="15">G46</f>
        <v>1</v>
      </c>
      <c r="H47" s="71">
        <f>H45</f>
        <v>0.32886186544742674</v>
      </c>
      <c r="I47" s="71">
        <f t="shared" ref="I47:R47" si="16">I45</f>
        <v>0.32886186544742674</v>
      </c>
      <c r="J47" s="71">
        <f t="shared" si="16"/>
        <v>0.32886186544742674</v>
      </c>
      <c r="K47" s="71">
        <f t="shared" si="16"/>
        <v>0.32886186544742674</v>
      </c>
      <c r="L47" s="71">
        <f t="shared" si="16"/>
        <v>0.32886186544742674</v>
      </c>
      <c r="M47" s="71">
        <f t="shared" si="16"/>
        <v>0.32886186544742674</v>
      </c>
      <c r="N47" s="71">
        <f t="shared" si="16"/>
        <v>0.32886186544742674</v>
      </c>
      <c r="O47" s="71">
        <f t="shared" si="16"/>
        <v>0.32886186544742674</v>
      </c>
      <c r="P47" s="71">
        <f t="shared" si="16"/>
        <v>0.32886186544742674</v>
      </c>
      <c r="Q47" s="71">
        <f t="shared" si="16"/>
        <v>0.32886186544742674</v>
      </c>
      <c r="R47" s="71">
        <f t="shared" si="16"/>
        <v>0.32886186544742674</v>
      </c>
      <c r="S47" s="71">
        <f>'SAR and RAR'!S47</f>
        <v>0.28144412281858089</v>
      </c>
      <c r="T47" s="71">
        <f t="shared" si="7"/>
        <v>0.32886186544742674</v>
      </c>
      <c r="U47" s="5"/>
      <c r="V47" s="215"/>
      <c r="W47" s="220"/>
      <c r="X47" s="217"/>
      <c r="AA47" s="156"/>
      <c r="AB47" s="166"/>
      <c r="AC47" s="166"/>
      <c r="AD47" s="166"/>
      <c r="AE47" s="166"/>
      <c r="AF47" s="167"/>
    </row>
    <row r="48" spans="2:40" ht="31">
      <c r="B48" s="7"/>
      <c r="C48" s="7"/>
      <c r="D48" s="5"/>
      <c r="E48" s="363" t="s">
        <v>22</v>
      </c>
      <c r="F48" s="376">
        <f>F44</f>
        <v>2029</v>
      </c>
      <c r="G48" s="71">
        <f t="shared" ref="G48" si="17">G46</f>
        <v>1</v>
      </c>
      <c r="H48" s="71">
        <f>H47</f>
        <v>0.32886186544742674</v>
      </c>
      <c r="I48" s="71">
        <f t="shared" ref="I48:R48" si="18">I47</f>
        <v>0.32886186544742674</v>
      </c>
      <c r="J48" s="71">
        <f t="shared" si="18"/>
        <v>0.32886186544742674</v>
      </c>
      <c r="K48" s="71">
        <f t="shared" si="18"/>
        <v>0.32886186544742674</v>
      </c>
      <c r="L48" s="71">
        <f t="shared" si="18"/>
        <v>0.32886186544742674</v>
      </c>
      <c r="M48" s="71">
        <f t="shared" si="18"/>
        <v>0.32886186544742674</v>
      </c>
      <c r="N48" s="71">
        <f t="shared" si="18"/>
        <v>0.32886186544742674</v>
      </c>
      <c r="O48" s="71">
        <f t="shared" si="18"/>
        <v>0.32886186544742674</v>
      </c>
      <c r="P48" s="71">
        <f t="shared" si="18"/>
        <v>0.32886186544742674</v>
      </c>
      <c r="Q48" s="71">
        <f t="shared" si="18"/>
        <v>0.32886186544742674</v>
      </c>
      <c r="R48" s="71">
        <f t="shared" si="18"/>
        <v>0.32886186544742674</v>
      </c>
      <c r="S48" s="71">
        <f>'SAR and RAR'!S48</f>
        <v>0.28144412281858089</v>
      </c>
      <c r="T48" s="71">
        <f t="shared" si="7"/>
        <v>0.32886186544742674</v>
      </c>
      <c r="U48" s="216"/>
      <c r="V48" s="220"/>
      <c r="W48" s="220"/>
      <c r="X48" s="217"/>
      <c r="AA48" s="154"/>
      <c r="AB48" s="246" t="str">
        <f>'SAR and RAR'!AB48</f>
        <v>3/1/26 Bundled
w/Credit</v>
      </c>
      <c r="AC48" s="246" t="str">
        <f>'SAR and RAR'!AC48</f>
        <v>3/1/26 Bundled
w/out Credit</v>
      </c>
      <c r="AD48" s="246"/>
      <c r="AE48" s="246" t="str">
        <f>'SAR and RAR'!AE48</f>
        <v>3/1/26 System
w/Credit</v>
      </c>
      <c r="AF48" s="246" t="str">
        <f>'SAR and RAR'!AF48</f>
        <v>3/1/26 System
w/out Credit</v>
      </c>
      <c r="AM48" s="380"/>
    </row>
    <row r="49" spans="2:32">
      <c r="B49" s="7"/>
      <c r="C49" s="7"/>
      <c r="D49" s="5"/>
      <c r="E49" s="5"/>
      <c r="F49" s="43"/>
      <c r="G49" s="43"/>
      <c r="H49" s="43"/>
      <c r="I49" s="43"/>
      <c r="J49" s="43"/>
      <c r="K49" s="43"/>
      <c r="L49" s="5"/>
      <c r="M49" s="5"/>
      <c r="N49" s="5"/>
      <c r="O49" s="5"/>
      <c r="P49" s="5"/>
      <c r="Q49" s="5"/>
      <c r="R49" s="5"/>
      <c r="S49" s="216"/>
      <c r="T49" s="5"/>
      <c r="U49" s="5"/>
      <c r="V49" s="5"/>
      <c r="W49" s="217"/>
      <c r="X49" s="217"/>
      <c r="AA49" s="155"/>
      <c r="AB49" s="164"/>
      <c r="AC49" s="164"/>
      <c r="AD49" s="165"/>
      <c r="AE49" s="164"/>
      <c r="AF49" s="164"/>
    </row>
    <row r="50" spans="2:32">
      <c r="B50" s="7"/>
      <c r="C50" s="7"/>
      <c r="D50" s="5"/>
      <c r="E50" s="5"/>
      <c r="F50" s="59" t="s">
        <v>276</v>
      </c>
      <c r="G50" s="43"/>
      <c r="H50" s="43"/>
      <c r="I50" s="43"/>
      <c r="J50" s="59" t="s">
        <v>131</v>
      </c>
      <c r="K50" s="43"/>
      <c r="L50" s="127"/>
      <c r="M50" s="223"/>
      <c r="N50" s="59" t="s">
        <v>130</v>
      </c>
      <c r="O50" s="5"/>
      <c r="P50" s="5"/>
      <c r="Q50" s="5"/>
      <c r="R50" s="5"/>
      <c r="S50" s="216"/>
      <c r="T50" s="536"/>
      <c r="U50" s="536"/>
      <c r="V50" s="5"/>
      <c r="W50" s="215"/>
      <c r="X50" s="215"/>
      <c r="AA50" s="155" t="s">
        <v>571</v>
      </c>
      <c r="AB50" s="254">
        <v>31.167326702554444</v>
      </c>
      <c r="AC50" s="254">
        <v>31.291132537413404</v>
      </c>
      <c r="AD50" s="165" t="s">
        <v>571</v>
      </c>
      <c r="AE50" s="254">
        <v>23.678873864036913</v>
      </c>
      <c r="AF50" s="254">
        <v>23.719729092966105</v>
      </c>
    </row>
    <row r="51" spans="2:32">
      <c r="B51" s="5"/>
      <c r="C51" s="5"/>
      <c r="D51" s="5"/>
      <c r="E51" s="363" t="s">
        <v>571</v>
      </c>
      <c r="F51" s="376">
        <f t="shared" ref="F51:F58" si="19">F41</f>
        <v>2026</v>
      </c>
      <c r="G51" s="111">
        <v>14435833.142011926</v>
      </c>
      <c r="H51" s="43"/>
      <c r="I51" s="363" t="s">
        <v>571</v>
      </c>
      <c r="J51" s="376">
        <f t="shared" ref="J51:J58" si="20">F51</f>
        <v>2026</v>
      </c>
      <c r="K51" s="111">
        <v>3307682.6099335006</v>
      </c>
      <c r="L51" s="70"/>
      <c r="M51" s="363" t="s">
        <v>571</v>
      </c>
      <c r="N51" s="376">
        <f t="shared" ref="N51:N58" si="21">F51</f>
        <v>2026</v>
      </c>
      <c r="O51" s="60">
        <v>14505025.117520949</v>
      </c>
      <c r="P51" s="261"/>
      <c r="Q51" s="5"/>
      <c r="R51" s="5"/>
      <c r="S51" s="381"/>
      <c r="T51" s="5"/>
      <c r="U51" s="216"/>
      <c r="V51" s="220"/>
      <c r="W51" s="5"/>
      <c r="X51" s="5"/>
      <c r="AA51" s="155" t="s">
        <v>28</v>
      </c>
      <c r="AB51" s="254">
        <v>32.596708001946226</v>
      </c>
      <c r="AC51" s="254">
        <v>33.253133387073035</v>
      </c>
      <c r="AD51" s="165" t="s">
        <v>22</v>
      </c>
      <c r="AE51" s="255">
        <v>26.65073540105055</v>
      </c>
      <c r="AF51" s="255">
        <v>27.244797182607329</v>
      </c>
    </row>
    <row r="52" spans="2:32">
      <c r="B52" s="5"/>
      <c r="C52" s="5"/>
      <c r="D52" s="5"/>
      <c r="E52" s="363" t="s">
        <v>571</v>
      </c>
      <c r="F52" s="376">
        <f t="shared" si="19"/>
        <v>2027</v>
      </c>
      <c r="G52" s="111">
        <v>14734413.430041546</v>
      </c>
      <c r="H52" s="224"/>
      <c r="I52" s="363" t="s">
        <v>571</v>
      </c>
      <c r="J52" s="376">
        <f t="shared" si="20"/>
        <v>2027</v>
      </c>
      <c r="K52" s="111">
        <v>3142222.623741447</v>
      </c>
      <c r="L52" s="247"/>
      <c r="M52" s="363" t="s">
        <v>571</v>
      </c>
      <c r="N52" s="376">
        <f t="shared" si="21"/>
        <v>2027</v>
      </c>
      <c r="O52" s="60">
        <v>14817967.387769992</v>
      </c>
      <c r="P52" s="261"/>
      <c r="Q52" s="7"/>
      <c r="R52" s="162"/>
      <c r="S52" s="216"/>
      <c r="T52" s="5"/>
      <c r="U52" s="216"/>
      <c r="V52" s="217"/>
      <c r="W52" s="5"/>
      <c r="X52" s="5"/>
    </row>
    <row r="53" spans="2:32">
      <c r="B53" s="5"/>
      <c r="C53" s="5"/>
      <c r="D53" s="5"/>
      <c r="E53" s="363" t="s">
        <v>571</v>
      </c>
      <c r="F53" s="376">
        <f t="shared" si="19"/>
        <v>2028</v>
      </c>
      <c r="G53" s="111">
        <f>G51</f>
        <v>14435833.142011926</v>
      </c>
      <c r="H53" s="43"/>
      <c r="I53" s="363" t="s">
        <v>571</v>
      </c>
      <c r="J53" s="376">
        <f t="shared" si="20"/>
        <v>2028</v>
      </c>
      <c r="K53" s="111">
        <f>K51</f>
        <v>3307682.6099335006</v>
      </c>
      <c r="L53" s="5"/>
      <c r="M53" s="363" t="s">
        <v>571</v>
      </c>
      <c r="N53" s="376">
        <f t="shared" si="21"/>
        <v>2028</v>
      </c>
      <c r="O53" s="111">
        <f>O51</f>
        <v>14505025.117520949</v>
      </c>
      <c r="P53" s="5"/>
      <c r="Q53" s="5"/>
      <c r="R53" s="5"/>
      <c r="S53" s="216"/>
      <c r="T53" s="5"/>
      <c r="U53" s="216"/>
      <c r="V53" s="220"/>
      <c r="W53" s="220"/>
      <c r="X53" s="217"/>
    </row>
    <row r="54" spans="2:32">
      <c r="B54" s="5"/>
      <c r="C54" s="5"/>
      <c r="D54" s="5"/>
      <c r="E54" s="363" t="s">
        <v>571</v>
      </c>
      <c r="F54" s="376">
        <f t="shared" si="19"/>
        <v>2029</v>
      </c>
      <c r="G54" s="111">
        <f>G53</f>
        <v>14435833.142011926</v>
      </c>
      <c r="H54" s="43"/>
      <c r="I54" s="363" t="s">
        <v>571</v>
      </c>
      <c r="J54" s="376">
        <f t="shared" si="20"/>
        <v>2029</v>
      </c>
      <c r="K54" s="111">
        <f>K53</f>
        <v>3307682.6099335006</v>
      </c>
      <c r="L54" s="5"/>
      <c r="M54" s="363" t="s">
        <v>571</v>
      </c>
      <c r="N54" s="376">
        <f t="shared" si="21"/>
        <v>2029</v>
      </c>
      <c r="O54" s="111">
        <f>$O$53</f>
        <v>14505025.117520949</v>
      </c>
      <c r="P54" s="5"/>
      <c r="Q54" s="5"/>
      <c r="R54" s="5"/>
      <c r="S54" s="216"/>
      <c r="T54" s="5"/>
      <c r="U54" s="216"/>
      <c r="V54" s="220"/>
      <c r="W54" s="220"/>
      <c r="X54" s="217"/>
    </row>
    <row r="55" spans="2:32">
      <c r="B55" s="5"/>
      <c r="C55" s="5"/>
      <c r="D55" s="5"/>
      <c r="E55" s="363" t="s">
        <v>22</v>
      </c>
      <c r="F55" s="376">
        <f t="shared" si="19"/>
        <v>2026</v>
      </c>
      <c r="G55" s="111">
        <f>'SAR and RAR'!G55</f>
        <v>67795755.926224142</v>
      </c>
      <c r="H55" s="111"/>
      <c r="I55" s="363" t="s">
        <v>22</v>
      </c>
      <c r="J55" s="376">
        <v>2026</v>
      </c>
      <c r="K55" s="111">
        <f>'SAR and RAR'!K55</f>
        <v>24784494.935273737</v>
      </c>
      <c r="L55" s="111"/>
      <c r="M55" s="363" t="s">
        <v>22</v>
      </c>
      <c r="N55" s="376">
        <v>2026</v>
      </c>
      <c r="O55" s="111">
        <f>'SAR and RAR'!O55</f>
        <v>75364454.013400629</v>
      </c>
      <c r="P55" s="128"/>
      <c r="Q55" s="5"/>
      <c r="R55" s="5"/>
      <c r="S55" s="216"/>
      <c r="T55" s="5"/>
      <c r="U55" s="216"/>
      <c r="V55" s="217"/>
      <c r="W55" s="220"/>
      <c r="X55" s="217"/>
      <c r="AB55" s="144"/>
    </row>
    <row r="56" spans="2:32">
      <c r="B56" s="5"/>
      <c r="C56" s="5"/>
      <c r="D56" s="5"/>
      <c r="E56" s="363" t="s">
        <v>22</v>
      </c>
      <c r="F56" s="376">
        <f t="shared" si="19"/>
        <v>2027</v>
      </c>
      <c r="G56" s="111">
        <f>'SAR and RAR'!G56</f>
        <v>67051910.402557842</v>
      </c>
      <c r="H56" s="224"/>
      <c r="I56" s="363" t="s">
        <v>22</v>
      </c>
      <c r="J56" s="376">
        <f t="shared" si="20"/>
        <v>2027</v>
      </c>
      <c r="K56" s="111">
        <f>'SAR and RAR'!K56</f>
        <v>22918685.439028699</v>
      </c>
      <c r="L56" s="224"/>
      <c r="M56" s="363" t="s">
        <v>22</v>
      </c>
      <c r="N56" s="376">
        <f t="shared" si="21"/>
        <v>2027</v>
      </c>
      <c r="O56" s="60">
        <f>'SAR and RAR'!O56</f>
        <v>74917911.803428426</v>
      </c>
      <c r="P56" s="224"/>
      <c r="Q56" s="5"/>
      <c r="R56" s="5"/>
      <c r="S56" s="216"/>
      <c r="T56" s="5"/>
      <c r="U56" s="5"/>
      <c r="V56" s="5"/>
      <c r="W56" s="5"/>
      <c r="X56" s="5"/>
    </row>
    <row r="57" spans="2:32">
      <c r="B57" s="5"/>
      <c r="C57" s="5"/>
      <c r="D57" s="5"/>
      <c r="E57" s="363" t="s">
        <v>22</v>
      </c>
      <c r="F57" s="376">
        <f t="shared" si="19"/>
        <v>2028</v>
      </c>
      <c r="G57" s="111">
        <f>'SAR and RAR'!G57</f>
        <v>67795755.926224142</v>
      </c>
      <c r="H57" s="43"/>
      <c r="I57" s="363" t="s">
        <v>22</v>
      </c>
      <c r="J57" s="376">
        <f t="shared" si="20"/>
        <v>2028</v>
      </c>
      <c r="K57" s="111">
        <f>'SAR and RAR'!K57</f>
        <v>24784494.935273737</v>
      </c>
      <c r="L57" s="5"/>
      <c r="M57" s="363" t="s">
        <v>22</v>
      </c>
      <c r="N57" s="376">
        <f t="shared" si="21"/>
        <v>2028</v>
      </c>
      <c r="O57" s="60">
        <f>'SAR and RAR'!O57</f>
        <v>75364454.013400629</v>
      </c>
      <c r="P57" s="5"/>
      <c r="Q57" s="5"/>
      <c r="R57" s="5"/>
      <c r="S57" s="216"/>
      <c r="T57" s="5"/>
      <c r="U57" s="5"/>
      <c r="V57" s="5"/>
      <c r="W57" s="5"/>
      <c r="X57" s="5"/>
    </row>
    <row r="58" spans="2:32">
      <c r="B58" s="5"/>
      <c r="C58" s="5"/>
      <c r="D58" s="5"/>
      <c r="E58" s="363" t="s">
        <v>22</v>
      </c>
      <c r="F58" s="376">
        <f t="shared" si="19"/>
        <v>2029</v>
      </c>
      <c r="G58" s="111">
        <f>'SAR and RAR'!G58</f>
        <v>67795755.926224142</v>
      </c>
      <c r="H58" s="43"/>
      <c r="I58" s="363" t="s">
        <v>22</v>
      </c>
      <c r="J58" s="376">
        <f t="shared" si="20"/>
        <v>2029</v>
      </c>
      <c r="K58" s="111">
        <f>'SAR and RAR'!K58</f>
        <v>24784494.935273737</v>
      </c>
      <c r="L58" s="5"/>
      <c r="M58" s="363" t="s">
        <v>22</v>
      </c>
      <c r="N58" s="376">
        <f t="shared" si="21"/>
        <v>2029</v>
      </c>
      <c r="O58" s="60">
        <f>'SAR and RAR'!O58</f>
        <v>75364454.013400629</v>
      </c>
      <c r="P58" s="5"/>
      <c r="Q58" s="5"/>
      <c r="R58" s="5"/>
      <c r="S58" s="216"/>
      <c r="T58" s="5"/>
      <c r="U58" s="216"/>
      <c r="V58" s="217"/>
      <c r="W58" s="220"/>
      <c r="X58" s="217"/>
    </row>
    <row r="59" spans="2:32">
      <c r="B59" s="5"/>
      <c r="C59" s="5"/>
      <c r="D59" s="5"/>
      <c r="E59" s="5"/>
      <c r="F59" s="43"/>
      <c r="G59" s="43"/>
      <c r="H59" s="43"/>
      <c r="I59" s="43"/>
      <c r="J59" s="43"/>
      <c r="K59" s="43"/>
      <c r="L59" s="5"/>
      <c r="M59" s="5"/>
      <c r="N59" s="5"/>
      <c r="O59" s="5"/>
      <c r="P59" s="5"/>
      <c r="Q59" s="5"/>
      <c r="R59" s="5"/>
      <c r="S59" s="216"/>
      <c r="T59" s="5"/>
      <c r="U59" s="5"/>
      <c r="V59" s="215"/>
      <c r="W59" s="220"/>
      <c r="X59" s="217"/>
    </row>
    <row r="60" spans="2:32">
      <c r="B60" s="5"/>
      <c r="C60" s="5"/>
      <c r="D60" s="5"/>
      <c r="E60" s="382" t="s">
        <v>61</v>
      </c>
      <c r="F60" s="43"/>
      <c r="G60" s="43"/>
      <c r="H60" s="43"/>
      <c r="I60" s="43"/>
      <c r="J60" s="43"/>
      <c r="K60" s="43"/>
      <c r="L60" s="5"/>
      <c r="M60" s="5"/>
      <c r="N60" s="5"/>
      <c r="O60" s="5"/>
      <c r="P60" s="5"/>
      <c r="Q60" s="5"/>
      <c r="R60" s="5"/>
      <c r="S60" s="216"/>
      <c r="T60" s="536"/>
      <c r="U60" s="536"/>
      <c r="V60" s="5"/>
      <c r="W60" s="220"/>
      <c r="X60" s="217"/>
    </row>
    <row r="61" spans="2:32">
      <c r="B61" s="5"/>
      <c r="C61" s="5"/>
      <c r="D61" s="5"/>
      <c r="E61" s="5"/>
      <c r="F61" s="43"/>
      <c r="G61" s="43"/>
      <c r="H61" s="43"/>
      <c r="I61" s="43"/>
      <c r="J61" s="43"/>
      <c r="K61" s="43"/>
      <c r="L61" s="5"/>
      <c r="M61" s="5"/>
      <c r="N61" s="5"/>
      <c r="O61" s="5"/>
      <c r="P61" s="5"/>
      <c r="Q61" s="5"/>
      <c r="R61" s="5"/>
      <c r="S61" s="216"/>
      <c r="T61" s="5"/>
      <c r="U61" s="216"/>
      <c r="V61" s="5"/>
      <c r="W61" s="220"/>
      <c r="X61" s="220"/>
    </row>
    <row r="62" spans="2:32">
      <c r="B62" s="5"/>
      <c r="C62" s="5"/>
      <c r="D62" s="5"/>
      <c r="E62" s="5" t="str">
        <f>'SAR and RAR'!E62</f>
        <v>2026 Forecast adopted in D.25-12-027</v>
      </c>
      <c r="F62" s="43"/>
      <c r="G62" s="43"/>
      <c r="H62" s="43"/>
      <c r="I62" s="43"/>
      <c r="J62" s="43"/>
      <c r="K62" s="43"/>
      <c r="L62" s="5"/>
      <c r="M62" s="5"/>
      <c r="N62" s="5"/>
      <c r="O62" s="5"/>
      <c r="P62" s="5"/>
      <c r="Q62" s="5"/>
      <c r="R62" s="5"/>
      <c r="S62" s="216"/>
      <c r="T62" s="5"/>
      <c r="U62" s="216"/>
      <c r="V62" s="5"/>
      <c r="W62" s="220"/>
      <c r="X62" s="217"/>
    </row>
    <row r="63" spans="2:32">
      <c r="B63" s="5"/>
      <c r="C63" s="5"/>
      <c r="D63" s="5"/>
      <c r="E63" s="5" t="str">
        <f>'SAR and RAR'!E63</f>
        <v>2027 Forecast proposed in A.26-05-007</v>
      </c>
      <c r="F63" s="43"/>
      <c r="G63" s="43"/>
      <c r="H63" s="60"/>
      <c r="I63" s="43"/>
      <c r="J63" s="43"/>
      <c r="K63" s="43"/>
      <c r="L63" s="5"/>
      <c r="M63" s="5"/>
      <c r="N63" s="5"/>
      <c r="O63" s="5"/>
      <c r="P63" s="5"/>
      <c r="Q63" s="5"/>
      <c r="R63" s="5"/>
      <c r="S63" s="216"/>
      <c r="T63" s="5"/>
      <c r="U63" s="5"/>
      <c r="V63" s="5"/>
      <c r="W63" s="5"/>
      <c r="X63" s="5"/>
    </row>
    <row r="64" spans="2:32">
      <c r="B64" s="5"/>
      <c r="C64" s="5"/>
      <c r="D64" s="5"/>
      <c r="E64" s="5" t="str">
        <f>'SAR and RAR'!E64</f>
        <v>2028 Forecast: Set equal to the 2026</v>
      </c>
      <c r="F64" s="43"/>
      <c r="G64" s="43"/>
      <c r="H64" s="60"/>
      <c r="I64" s="43"/>
      <c r="J64" s="43"/>
      <c r="K64" s="43"/>
      <c r="L64" s="5"/>
      <c r="M64" s="5"/>
      <c r="N64" s="5"/>
      <c r="O64" s="5"/>
      <c r="P64" s="5"/>
      <c r="Q64" s="5"/>
      <c r="R64" s="5"/>
      <c r="S64" s="216"/>
      <c r="T64" s="5"/>
      <c r="U64" s="5"/>
      <c r="V64" s="215"/>
      <c r="W64" s="5"/>
      <c r="X64" s="5"/>
    </row>
    <row r="65" spans="2:24">
      <c r="B65" s="5"/>
      <c r="C65" s="5"/>
      <c r="D65" s="5"/>
      <c r="E65" s="5" t="str">
        <f>'SAR and RAR'!E65</f>
        <v>2029 Forecast: Set equal to the 2026</v>
      </c>
      <c r="F65" s="43"/>
      <c r="G65" s="43"/>
      <c r="H65" s="43"/>
      <c r="I65" s="43"/>
      <c r="J65" s="43"/>
      <c r="K65" s="43"/>
      <c r="L65" s="5"/>
      <c r="M65" s="5"/>
      <c r="N65" s="5"/>
      <c r="O65" s="5"/>
      <c r="P65" s="5"/>
      <c r="Q65" s="5"/>
      <c r="R65" s="5"/>
      <c r="S65" s="216"/>
      <c r="T65" s="536"/>
      <c r="U65" s="536"/>
      <c r="V65" s="217"/>
      <c r="W65" s="217"/>
      <c r="X65" s="217"/>
    </row>
    <row r="66" spans="2:24">
      <c r="B66" s="5"/>
      <c r="C66" s="5"/>
      <c r="D66" s="5"/>
      <c r="E66" s="5"/>
      <c r="F66" s="43"/>
      <c r="G66" s="111"/>
      <c r="H66" s="43"/>
      <c r="I66" s="43"/>
      <c r="J66" s="43"/>
      <c r="K66" s="43"/>
      <c r="L66" s="5"/>
      <c r="M66" s="5"/>
      <c r="N66" s="5"/>
      <c r="O66" s="5"/>
      <c r="P66" s="5"/>
      <c r="Q66" s="5"/>
      <c r="R66" s="5"/>
      <c r="S66" s="5"/>
      <c r="T66" s="5"/>
      <c r="U66" s="5"/>
      <c r="V66" s="5"/>
      <c r="W66" s="215"/>
      <c r="X66" s="215"/>
    </row>
    <row r="67" spans="2:24">
      <c r="B67" s="5"/>
      <c r="C67" s="5"/>
      <c r="D67" s="5"/>
      <c r="W67" s="5"/>
      <c r="X67" s="5"/>
    </row>
    <row r="68" spans="2:24">
      <c r="B68" s="5"/>
      <c r="C68" s="5"/>
      <c r="D68" s="5"/>
      <c r="W68" s="5"/>
      <c r="X68" s="5"/>
    </row>
    <row r="69" spans="2:24">
      <c r="B69" s="5"/>
      <c r="C69" s="5"/>
      <c r="D69" s="5"/>
      <c r="W69" s="5"/>
      <c r="X69" s="5"/>
    </row>
    <row r="70" spans="2:24">
      <c r="B70" s="5"/>
      <c r="C70" s="5"/>
      <c r="D70" s="5"/>
      <c r="W70" s="215"/>
      <c r="X70" s="215"/>
    </row>
    <row r="71" spans="2:24">
      <c r="B71" s="5"/>
      <c r="C71" s="5"/>
      <c r="D71" s="5"/>
      <c r="W71" s="5"/>
      <c r="X71" s="5"/>
    </row>
    <row r="72" spans="2:24">
      <c r="B72" s="5"/>
      <c r="C72" s="5"/>
      <c r="D72" s="5"/>
      <c r="W72" s="5"/>
      <c r="X72" s="5"/>
    </row>
    <row r="73" spans="2:24">
      <c r="B73" s="5"/>
      <c r="C73" s="5"/>
      <c r="D73" s="5"/>
      <c r="W73" s="215"/>
      <c r="X73" s="215"/>
    </row>
    <row r="74" spans="2:24">
      <c r="B74" s="5"/>
      <c r="C74" s="5"/>
      <c r="D74" s="5"/>
      <c r="W74" s="217"/>
      <c r="X74" s="217"/>
    </row>
    <row r="75" spans="2:24">
      <c r="B75" s="5"/>
      <c r="C75" s="5"/>
      <c r="D75" s="5"/>
      <c r="W75" s="5"/>
      <c r="X75" s="5"/>
    </row>
  </sheetData>
  <mergeCells count="14">
    <mergeCell ref="C2:D2"/>
    <mergeCell ref="G4:T4"/>
    <mergeCell ref="U16:V16"/>
    <mergeCell ref="W16:X16"/>
    <mergeCell ref="G17:T17"/>
    <mergeCell ref="U17:V17"/>
    <mergeCell ref="W17:X17"/>
    <mergeCell ref="T65:U65"/>
    <mergeCell ref="AA25:AF25"/>
    <mergeCell ref="AI25:AN25"/>
    <mergeCell ref="F26:K26"/>
    <mergeCell ref="P26:U26"/>
    <mergeCell ref="T50:U50"/>
    <mergeCell ref="T60:U60"/>
  </mergeCells>
  <pageMargins left="0.7" right="0.7" top="0.75" bottom="0.75" header="0.3" footer="0.3"/>
  <pageSetup orientation="portrait" horizontalDpi="1200" verticalDpi="1200" r:id="rId1"/>
  <headerFooter>
    <oddHeader>&amp;R&amp;F</oddHeader>
    <oddFooter xml:space="preserve">&amp;C_x000D_&amp;1#&amp;"Aptos"&amp;12&amp;K000000 Public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53E89-DD7E-459E-8738-720B77FF019E}">
  <sheetPr codeName="Sheet6">
    <tabColor rgb="FF92D050"/>
    <pageSetUpPr autoPageBreaks="0"/>
  </sheetPr>
  <dimension ref="A1:S109"/>
  <sheetViews>
    <sheetView tabSelected="1" workbookViewId="0"/>
  </sheetViews>
  <sheetFormatPr defaultColWidth="8.81640625" defaultRowHeight="14.5"/>
  <cols>
    <col min="1" max="1" width="5.54296875" style="20" customWidth="1"/>
    <col min="2" max="2" width="11.54296875" style="20" bestFit="1" customWidth="1"/>
    <col min="3" max="3" width="44.81640625" style="20" bestFit="1" customWidth="1"/>
    <col min="4" max="4" width="19" style="20" customWidth="1"/>
    <col min="5" max="5" width="18" style="20" customWidth="1"/>
    <col min="6" max="6" width="13.453125" style="20" customWidth="1"/>
    <col min="7" max="8" width="15.7265625" style="20" customWidth="1"/>
    <col min="9" max="9" width="14.1796875" style="20" customWidth="1"/>
    <col min="10" max="10" width="14.81640625" style="20" customWidth="1"/>
    <col min="11" max="11" width="21.54296875" style="20" customWidth="1"/>
    <col min="12" max="14" width="13.453125" style="20" customWidth="1"/>
    <col min="15" max="16" width="15.7265625" style="20" customWidth="1"/>
    <col min="17" max="17" width="13.453125" style="20" customWidth="1"/>
    <col min="18" max="19" width="15.81640625" style="20" customWidth="1"/>
    <col min="20" max="24" width="15.54296875" style="20" customWidth="1"/>
    <col min="25" max="16384" width="8.81640625" style="20"/>
  </cols>
  <sheetData>
    <row r="1" spans="2:18">
      <c r="B1" s="3"/>
    </row>
    <row r="2" spans="2:18">
      <c r="B2" s="15" t="s">
        <v>135</v>
      </c>
      <c r="J2" s="15" t="s">
        <v>21</v>
      </c>
      <c r="K2" s="16"/>
      <c r="L2" s="16"/>
    </row>
    <row r="3" spans="2:18">
      <c r="B3" s="16"/>
      <c r="C3" s="21" t="s">
        <v>431</v>
      </c>
      <c r="D3" s="22">
        <v>500</v>
      </c>
      <c r="J3" s="16" t="s">
        <v>136</v>
      </c>
      <c r="K3" s="18"/>
      <c r="L3" s="288">
        <v>46082</v>
      </c>
    </row>
    <row r="4" spans="2:18">
      <c r="B4" s="19"/>
      <c r="C4" s="39" t="s">
        <v>137</v>
      </c>
      <c r="D4" s="22" t="s">
        <v>202</v>
      </c>
      <c r="J4" s="16" t="s">
        <v>39</v>
      </c>
      <c r="K4" s="18"/>
      <c r="L4" s="289">
        <v>2026</v>
      </c>
    </row>
    <row r="5" spans="2:18">
      <c r="C5" s="21" t="s">
        <v>430</v>
      </c>
      <c r="D5" s="150" t="s">
        <v>139</v>
      </c>
      <c r="J5" s="19" t="s">
        <v>33</v>
      </c>
      <c r="L5" s="290">
        <v>4</v>
      </c>
      <c r="M5" s="19" t="s">
        <v>34</v>
      </c>
    </row>
    <row r="6" spans="2:18">
      <c r="C6" s="1"/>
      <c r="D6" s="44" t="s">
        <v>212</v>
      </c>
      <c r="F6" s="40"/>
      <c r="J6" s="19" t="s">
        <v>35</v>
      </c>
      <c r="L6" s="291">
        <v>8</v>
      </c>
      <c r="M6" s="19" t="s">
        <v>34</v>
      </c>
    </row>
    <row r="7" spans="2:18">
      <c r="B7" s="45"/>
      <c r="C7" s="38" t="s">
        <v>3</v>
      </c>
      <c r="D7" s="184"/>
      <c r="E7" s="46"/>
      <c r="J7" s="19" t="s">
        <v>32</v>
      </c>
      <c r="L7" s="292" t="s">
        <v>231</v>
      </c>
      <c r="M7" s="23"/>
    </row>
    <row r="8" spans="2:18">
      <c r="B8" s="42"/>
      <c r="C8" s="38" t="s">
        <v>14</v>
      </c>
      <c r="D8" s="184"/>
      <c r="E8" s="40"/>
      <c r="F8" s="41"/>
      <c r="J8" s="20" t="s">
        <v>269</v>
      </c>
      <c r="L8" s="293">
        <v>-36.17754594732898</v>
      </c>
    </row>
    <row r="9" spans="2:18">
      <c r="B9" s="42"/>
      <c r="C9" s="38" t="s">
        <v>5</v>
      </c>
      <c r="D9" s="184"/>
      <c r="E9" s="40"/>
      <c r="F9" s="41"/>
      <c r="N9" s="16"/>
      <c r="P9" s="567" t="s">
        <v>236</v>
      </c>
      <c r="Q9" s="567" t="s">
        <v>237</v>
      </c>
    </row>
    <row r="10" spans="2:18">
      <c r="B10" s="42"/>
      <c r="C10" s="38" t="s">
        <v>129</v>
      </c>
      <c r="D10" s="184"/>
      <c r="E10" s="40"/>
      <c r="F10" s="41"/>
      <c r="N10" s="20" t="s">
        <v>234</v>
      </c>
      <c r="O10" s="20" t="s">
        <v>235</v>
      </c>
      <c r="P10" s="568"/>
      <c r="Q10" s="568"/>
    </row>
    <row r="11" spans="2:18">
      <c r="B11" s="42"/>
      <c r="C11" s="38" t="s">
        <v>66</v>
      </c>
      <c r="D11" s="184"/>
      <c r="E11" s="40"/>
      <c r="F11" s="41"/>
      <c r="J11" s="19" t="s">
        <v>49</v>
      </c>
      <c r="N11" s="91">
        <f>IF($D$4="ALL",SUMPRODUCT('Hypothetical Res Bill Impact'!Q$22:Q$31,'Hypothetical Res Bill Impact'!$U$22:$U$31),VLOOKUP(D$4,'Hypothetical Res Bill Impact'!$P$22:$T$31,2,FALSE))</f>
        <v>413.75</v>
      </c>
      <c r="O11" s="91">
        <f>IF($D$4="ALL",SUMPRODUCT('Hypothetical Res Bill Impact'!Y$22:Y$31,'Hypothetical Res Bill Impact'!$AC$22:$AC$31),VLOOKUP($D$4,'Hypothetical Res Bill Impact'!$X$22:$AB$31,2,FALSE))</f>
        <v>401.25</v>
      </c>
      <c r="P11" s="91">
        <f>VLOOKUP($D$4,'Hypothetical Res Bill Impact'!$H$22:$J$31,2,FALSE)</f>
        <v>298.28750000000002</v>
      </c>
      <c r="Q11" s="91">
        <f>VLOOKUP($D$4,'Hypothetical Res Bill Impact'!$L$22:$N$31,2,FALSE)</f>
        <v>258.71875</v>
      </c>
      <c r="R11" s="19" t="s">
        <v>29</v>
      </c>
    </row>
    <row r="12" spans="2:18">
      <c r="B12" s="42"/>
      <c r="C12" s="38" t="s">
        <v>16</v>
      </c>
      <c r="D12" s="184"/>
      <c r="E12" s="47"/>
      <c r="F12" s="41"/>
      <c r="J12" s="19" t="s">
        <v>50</v>
      </c>
      <c r="N12" s="91">
        <f>IF($D$4="ALL",SUMPRODUCT('Hypothetical Res Bill Impact'!R$22:R$31,'Hypothetical Res Bill Impact'!$U$22:$U$31),VLOOKUP(D$4,'Hypothetical Res Bill Impact'!$P$22:$T$31,3,FALSE))</f>
        <v>400.625</v>
      </c>
      <c r="O12" s="91">
        <f>IF($D$4="ALL",SUMPRODUCT('Hypothetical Res Bill Impact'!Y$22:Y$31,'Hypothetical Res Bill Impact'!$AC$22:$AC$31),VLOOKUP($D$4,'Hypothetical Res Bill Impact'!$X$22:$AB$31,3,FALSE))</f>
        <v>458</v>
      </c>
      <c r="P12" s="91">
        <f>VLOOKUP($D$4,'Hypothetical Res Bill Impact'!$H$22:$J$31,3,FALSE)</f>
        <v>295.24374999999998</v>
      </c>
      <c r="Q12" s="91">
        <f>VLOOKUP($D$4,'Hypothetical Res Bill Impact'!$L$22:$N$31,3,FALSE)</f>
        <v>444.38749999999999</v>
      </c>
      <c r="R12" s="19" t="s">
        <v>29</v>
      </c>
    </row>
    <row r="13" spans="2:18">
      <c r="B13" s="42"/>
      <c r="C13" s="38" t="s">
        <v>15</v>
      </c>
      <c r="D13" s="184"/>
      <c r="E13" s="40"/>
      <c r="F13" s="41"/>
      <c r="J13" s="19" t="s">
        <v>232</v>
      </c>
      <c r="N13" s="91">
        <f>(N11*4)+(N12*8)</f>
        <v>4860</v>
      </c>
      <c r="O13" s="91">
        <f>(O11*4)+(O12*8)</f>
        <v>5269</v>
      </c>
      <c r="P13" s="91">
        <f>(P11*4)+(P12*8)</f>
        <v>3555.1</v>
      </c>
      <c r="Q13" s="91">
        <f>(Q11*4)+(Q12*8)</f>
        <v>4589.9750000000004</v>
      </c>
      <c r="R13" s="19" t="s">
        <v>246</v>
      </c>
    </row>
    <row r="14" spans="2:18">
      <c r="B14" s="42"/>
      <c r="C14" s="38" t="s">
        <v>656</v>
      </c>
      <c r="D14" s="184"/>
      <c r="E14" s="40"/>
      <c r="F14" s="41"/>
      <c r="J14" s="19" t="s">
        <v>51</v>
      </c>
      <c r="N14" s="91">
        <f>IF(D$4="ALL",SUMPRODUCT('Hypothetical Res Bill Impact'!S$22:S$31,'Hypothetical Res Bill Impact'!$V$22:$V$31),VLOOKUP(D$4,'Hypothetical Res Bill Impact'!$P$22:$T$31,4,FALSE))</f>
        <v>390.75</v>
      </c>
      <c r="O14" s="91">
        <f>IF($D$4="ALL",SUMPRODUCT('Hypothetical Res Bill Impact'!Y$22:Y$31,'Hypothetical Res Bill Impact'!$AD$22:$AD$31),VLOOKUP($D$4,'Hypothetical Res Bill Impact'!$X$22:$AB$31,4,FALSE))</f>
        <v>376.5</v>
      </c>
      <c r="P14" s="91">
        <f t="shared" ref="P14:Q16" si="0">P11</f>
        <v>298.28750000000002</v>
      </c>
      <c r="Q14" s="91">
        <f t="shared" si="0"/>
        <v>258.71875</v>
      </c>
      <c r="R14" s="19" t="s">
        <v>29</v>
      </c>
    </row>
    <row r="15" spans="2:18">
      <c r="B15" s="42"/>
      <c r="C15" s="38" t="s">
        <v>127</v>
      </c>
      <c r="D15" s="184"/>
      <c r="E15" s="40"/>
      <c r="F15" s="41"/>
      <c r="J15" s="19" t="s">
        <v>52</v>
      </c>
      <c r="N15" s="91">
        <f>IF($D$4="ALL",SUMPRODUCT('Hypothetical Res Bill Impact'!T$22:T$31,'Hypothetical Res Bill Impact'!$V$22:$V$31),VLOOKUP(D$4,'Hypothetical Res Bill Impact'!$P$22:$T$31,5,FALSE))</f>
        <v>383</v>
      </c>
      <c r="O15" s="91">
        <f>IF($D$4="ALL",SUMPRODUCT('Hypothetical Res Bill Impact'!Y$22:Y$31,'Hypothetical Res Bill Impact'!$AD$22:$AD$31),VLOOKUP($D$4,'Hypothetical Res Bill Impact'!$X$22:$AB$31,5,FALSE))</f>
        <v>438.5</v>
      </c>
      <c r="P15" s="91">
        <f t="shared" si="0"/>
        <v>295.24374999999998</v>
      </c>
      <c r="Q15" s="91">
        <f t="shared" si="0"/>
        <v>444.38749999999999</v>
      </c>
      <c r="R15" s="19" t="s">
        <v>29</v>
      </c>
    </row>
    <row r="16" spans="2:18">
      <c r="B16" s="42"/>
      <c r="C16" s="38" t="s">
        <v>10</v>
      </c>
      <c r="D16" s="184"/>
      <c r="E16" s="40"/>
      <c r="F16" s="41"/>
      <c r="J16" s="19" t="s">
        <v>233</v>
      </c>
      <c r="N16" s="91">
        <f>(N14*4)+(N15*8)</f>
        <v>4627</v>
      </c>
      <c r="O16" s="91">
        <f>(O14*4)+(O15*8)</f>
        <v>5014</v>
      </c>
      <c r="P16" s="91">
        <f t="shared" si="0"/>
        <v>3555.1</v>
      </c>
      <c r="Q16" s="91">
        <f t="shared" si="0"/>
        <v>4589.9750000000004</v>
      </c>
      <c r="R16" s="19" t="s">
        <v>246</v>
      </c>
    </row>
    <row r="17" spans="2:19">
      <c r="B17" s="38"/>
      <c r="C17" s="38" t="s">
        <v>134</v>
      </c>
      <c r="D17" s="184"/>
      <c r="F17" s="41"/>
      <c r="J17" s="19" t="s">
        <v>31</v>
      </c>
      <c r="N17" s="21"/>
      <c r="P17" s="55" t="str">
        <f>LEFT('Res Bill Impact'!P19,4)</f>
        <v>2025</v>
      </c>
    </row>
    <row r="18" spans="2:19">
      <c r="B18" s="38"/>
      <c r="C18" s="38" t="s">
        <v>207</v>
      </c>
      <c r="D18" s="184"/>
      <c r="F18" s="41"/>
      <c r="J18" s="19"/>
      <c r="M18" s="19"/>
    </row>
    <row r="19" spans="2:19">
      <c r="B19" s="38"/>
      <c r="C19" s="38" t="s">
        <v>275</v>
      </c>
      <c r="D19" s="184"/>
      <c r="F19" s="41"/>
      <c r="J19" s="19"/>
      <c r="M19" s="19"/>
    </row>
    <row r="20" spans="2:19">
      <c r="B20" s="38"/>
      <c r="C20" s="20" t="s">
        <v>292</v>
      </c>
      <c r="D20" s="2"/>
      <c r="F20" s="41"/>
      <c r="J20" s="19"/>
      <c r="M20" s="19"/>
    </row>
    <row r="21" spans="2:19">
      <c r="B21" s="38"/>
      <c r="C21" s="38" t="s">
        <v>132</v>
      </c>
      <c r="D21" s="67">
        <f>SUM(D7:D20)</f>
        <v>0</v>
      </c>
      <c r="F21" s="41"/>
      <c r="J21" s="19"/>
      <c r="M21" s="19"/>
    </row>
    <row r="22" spans="2:19">
      <c r="B22" s="15" t="s">
        <v>140</v>
      </c>
      <c r="D22" s="20" t="s">
        <v>296</v>
      </c>
    </row>
    <row r="23" spans="2:19" ht="15" thickBot="1">
      <c r="D23" s="48" t="s">
        <v>153</v>
      </c>
      <c r="E23" s="48" t="s">
        <v>154</v>
      </c>
      <c r="F23" s="48" t="s">
        <v>155</v>
      </c>
      <c r="G23" s="48" t="s">
        <v>156</v>
      </c>
      <c r="H23" s="48" t="s">
        <v>157</v>
      </c>
      <c r="L23" s="48" t="s">
        <v>153</v>
      </c>
      <c r="M23" s="48" t="s">
        <v>154</v>
      </c>
      <c r="N23" s="48" t="s">
        <v>155</v>
      </c>
      <c r="O23" s="48" t="s">
        <v>156</v>
      </c>
      <c r="P23" s="48" t="s">
        <v>157</v>
      </c>
    </row>
    <row r="24" spans="2:19">
      <c r="B24" s="517" t="s">
        <v>141</v>
      </c>
      <c r="C24" s="518"/>
      <c r="D24" s="518"/>
      <c r="E24" s="518"/>
      <c r="F24" s="518"/>
      <c r="G24" s="518"/>
      <c r="H24" s="519"/>
      <c r="J24" s="517" t="s">
        <v>142</v>
      </c>
      <c r="K24" s="518"/>
      <c r="L24" s="518"/>
      <c r="M24" s="518"/>
      <c r="N24" s="518"/>
      <c r="O24" s="518"/>
      <c r="P24" s="519"/>
    </row>
    <row r="25" spans="2:19" ht="29">
      <c r="B25" s="523" t="s">
        <v>17</v>
      </c>
      <c r="C25" s="524"/>
      <c r="D25" s="14">
        <v>46023</v>
      </c>
      <c r="E25" s="14">
        <f>L3</f>
        <v>46082</v>
      </c>
      <c r="F25" s="17" t="s">
        <v>20</v>
      </c>
      <c r="G25" s="17" t="str">
        <f>"% Change over "&amp;TEXT(D25,"mm/d/yyyy")</f>
        <v>% Change over 01/1/2026</v>
      </c>
      <c r="H25" s="4" t="str">
        <f>"% Change over "&amp;TEXT(E25,"mm/d/yyyy")</f>
        <v>% Change over 03/1/2026</v>
      </c>
      <c r="J25" s="525" t="s">
        <v>17</v>
      </c>
      <c r="K25" s="526"/>
      <c r="L25" s="14">
        <f>$D$25</f>
        <v>46023</v>
      </c>
      <c r="M25" s="14">
        <f>$E$25</f>
        <v>46082</v>
      </c>
      <c r="N25" s="17" t="s">
        <v>20</v>
      </c>
      <c r="O25" s="17" t="str">
        <f>$G$25</f>
        <v>% Change over 01/1/2026</v>
      </c>
      <c r="P25" s="4" t="str">
        <f>$H$25</f>
        <v>% Change over 03/1/2026</v>
      </c>
    </row>
    <row r="26" spans="2:19">
      <c r="B26" s="527" t="s">
        <v>18</v>
      </c>
      <c r="C26" s="528"/>
      <c r="D26" s="147">
        <f>IF($D$5="Y", 'Hypothetical SAR and RAR'!AB45, 'Hypothetical SAR and RAR'!AC45)</f>
        <v>33.674121802021645</v>
      </c>
      <c r="E26" s="24">
        <f>IF($D$5="Y", 'Hypothetical SAR and RAR'!AB50, 'Hypothetical SAR and RAR'!AC50)</f>
        <v>32.340654762006949</v>
      </c>
      <c r="F26" s="24">
        <f>'Hypothetical SAR and RAR'!G29</f>
        <v>32.340654762006949</v>
      </c>
      <c r="G26" s="25">
        <f t="shared" ref="G26:H28" si="1">$F26/D26-1</f>
        <v>-3.9599163056262432E-2</v>
      </c>
      <c r="H26" s="49">
        <f t="shared" si="1"/>
        <v>0</v>
      </c>
      <c r="J26" s="527" t="s">
        <v>38</v>
      </c>
      <c r="K26" s="528"/>
      <c r="L26" s="24">
        <f>IF($D$5="Y", 'Hypothetical SAR and RAR'!AE45, 'Hypothetical SAR and RAR'!AF45)</f>
        <v>30.486135087914555</v>
      </c>
      <c r="M26" s="24">
        <f>IF($D$5="Y", 'Hypothetical SAR and RAR'!AE50, 'Hypothetical SAR and RAR'!AF50)</f>
        <v>29.788022651798478</v>
      </c>
      <c r="N26" s="24">
        <f>'Hypothetical SAR and RAR'!Q29</f>
        <v>29.788022651798478</v>
      </c>
      <c r="O26" s="25">
        <f t="shared" ref="O26:P28" si="2">$N26/L26-1</f>
        <v>-2.2899342081339258E-2</v>
      </c>
      <c r="P26" s="49">
        <f t="shared" si="2"/>
        <v>0</v>
      </c>
      <c r="S26" s="147"/>
    </row>
    <row r="27" spans="2:19">
      <c r="B27" s="118"/>
      <c r="C27" s="119" t="s">
        <v>357</v>
      </c>
      <c r="D27" s="147">
        <f>IF($D$5="Y", 'Hypothetical SAR and RAR (B-1)'!X31,'Hypothetical SAR and RAR (B-1)'!Y31)</f>
        <v>41.443190323578825</v>
      </c>
      <c r="E27" s="120">
        <f>IF($D$5="Y", 'Hypothetical SAR and RAR (B-1)'!X36,'Hypothetical SAR and RAR (B-1)'!Y36)</f>
        <v>40.73713053702604</v>
      </c>
      <c r="F27" s="120">
        <f>'Hypothetical SAR and RAR (B-1)'!G29</f>
        <v>40.73713053702604</v>
      </c>
      <c r="G27" s="25">
        <f t="shared" si="1"/>
        <v>-1.7036810656709478E-2</v>
      </c>
      <c r="H27" s="49">
        <f t="shared" si="1"/>
        <v>0</v>
      </c>
      <c r="J27" s="118"/>
      <c r="K27" s="119" t="s">
        <v>380</v>
      </c>
      <c r="L27" s="120">
        <f>IF($D$5="Y", 'Hypothetical SAR and RAR (B-1)'!AA31,'Hypothetical SAR and RAR (B-1)'!AB31)</f>
        <v>35.574773392062006</v>
      </c>
      <c r="M27" s="120">
        <f>IF($D$5="Y",'Hypothetical SAR and RAR (B-1)'!AA36,'Hypothetical SAR and RAR (B-1)'!AB36)</f>
        <v>34.868791397863305</v>
      </c>
      <c r="N27" s="120">
        <f>'Hypothetical SAR and RAR (B-1)'!Q29</f>
        <v>34.868791397863305</v>
      </c>
      <c r="O27" s="25">
        <f t="shared" si="2"/>
        <v>-1.9845017322196901E-2</v>
      </c>
      <c r="P27" s="49">
        <f t="shared" si="2"/>
        <v>0</v>
      </c>
    </row>
    <row r="28" spans="2:19" ht="15" thickBot="1">
      <c r="B28" s="515" t="s">
        <v>28</v>
      </c>
      <c r="C28" s="516"/>
      <c r="D28" s="161">
        <f>IF($D$5="Y", 'Hypothetical SAR and RAR'!AB46, 'Hypothetical SAR and RAR'!AC46)</f>
        <v>33.416008222733581</v>
      </c>
      <c r="E28" s="27">
        <f>IF($D$5="Y", 'Hypothetical SAR and RAR'!AB51, 'Hypothetical SAR and RAR'!AC51)</f>
        <v>32.596708001946226</v>
      </c>
      <c r="F28" s="27">
        <f>'Hypothetical SAR and RAR'!G30</f>
        <v>32.596708001946226</v>
      </c>
      <c r="G28" s="28">
        <f t="shared" si="1"/>
        <v>-2.4518195450705216E-2</v>
      </c>
      <c r="H28" s="50">
        <f t="shared" si="1"/>
        <v>0</v>
      </c>
      <c r="J28" s="515" t="s">
        <v>37</v>
      </c>
      <c r="K28" s="516"/>
      <c r="L28" s="27">
        <f>IF($D$5="Y", 'Hypothetical SAR and RAR'!AE46, 'Hypothetical SAR and RAR'!AF46)</f>
        <v>27.143640625458705</v>
      </c>
      <c r="M28" s="27">
        <f>IF($D$5="Y", 'Hypothetical SAR and RAR'!AE51, 'Hypothetical SAR and RAR'!AF51)</f>
        <v>26.65073540105055</v>
      </c>
      <c r="N28" s="27">
        <f>'Hypothetical SAR and RAR'!Q30</f>
        <v>26.65073540105055</v>
      </c>
      <c r="O28" s="28">
        <f t="shared" si="2"/>
        <v>-1.8159141996075712E-2</v>
      </c>
      <c r="P28" s="50">
        <f t="shared" si="2"/>
        <v>0</v>
      </c>
    </row>
    <row r="30" spans="2:19" ht="15" thickBot="1"/>
    <row r="31" spans="2:19">
      <c r="B31" s="510" t="s">
        <v>251</v>
      </c>
      <c r="C31" s="511"/>
      <c r="D31" s="511"/>
      <c r="E31" s="511"/>
      <c r="F31" s="511"/>
      <c r="G31" s="511"/>
      <c r="H31" s="512"/>
      <c r="J31" s="510" t="s">
        <v>260</v>
      </c>
      <c r="K31" s="511"/>
      <c r="L31" s="511"/>
      <c r="M31" s="511"/>
      <c r="N31" s="511"/>
      <c r="O31" s="511"/>
      <c r="P31" s="512"/>
    </row>
    <row r="32" spans="2:19" ht="29">
      <c r="B32" s="30"/>
      <c r="C32" s="31"/>
      <c r="D32" s="14">
        <f>$D$25</f>
        <v>46023</v>
      </c>
      <c r="E32" s="14">
        <f>$E$25</f>
        <v>46082</v>
      </c>
      <c r="F32" s="17" t="s">
        <v>20</v>
      </c>
      <c r="G32" s="17" t="str">
        <f>$G$25</f>
        <v>% Change over 01/1/2026</v>
      </c>
      <c r="H32" s="4" t="str">
        <f>$H$25</f>
        <v>% Change over 03/1/2026</v>
      </c>
      <c r="J32" s="30"/>
      <c r="K32" s="31"/>
      <c r="L32" s="14">
        <f>$D$25</f>
        <v>46023</v>
      </c>
      <c r="M32" s="14">
        <f>$E$25</f>
        <v>46082</v>
      </c>
      <c r="N32" s="17" t="s">
        <v>20</v>
      </c>
      <c r="O32" s="17" t="str">
        <f>$G$25</f>
        <v>% Change over 01/1/2026</v>
      </c>
      <c r="P32" s="4" t="str">
        <f>$H$25</f>
        <v>% Change over 03/1/2026</v>
      </c>
    </row>
    <row r="33" spans="2:17">
      <c r="B33" s="513" t="s">
        <v>47</v>
      </c>
      <c r="C33" s="514"/>
      <c r="D33" s="32">
        <f>((D40*4)+(D47*8)+($L$8*2))/12</f>
        <v>157.62058684211183</v>
      </c>
      <c r="E33" s="32">
        <f>((E40*4)+(E47*8)+($L$8*2))/12</f>
        <v>158.84555228996908</v>
      </c>
      <c r="F33" s="32">
        <f>((F40*4)+(F47*8)+($L$8*2))/12</f>
        <v>158.84555228996908</v>
      </c>
      <c r="G33" s="33">
        <f t="shared" ref="G33:H35" si="3">$F33/D33-1</f>
        <v>7.771608216915693E-3</v>
      </c>
      <c r="H33" s="51">
        <f t="shared" si="3"/>
        <v>0</v>
      </c>
      <c r="J33" s="513" t="s">
        <v>47</v>
      </c>
      <c r="K33" s="514"/>
      <c r="L33" s="32">
        <f>((L40*4)+(L47*8)+($L$8*2))/12</f>
        <v>165.52811246711187</v>
      </c>
      <c r="M33" s="32">
        <f>((M40*4)+(M47*8)+($L$8*2))/12</f>
        <v>165.69785337644797</v>
      </c>
      <c r="N33" s="32">
        <f>((N40*4)+(N47*8)+($L$8*2))/12</f>
        <v>165.69785337644797</v>
      </c>
      <c r="O33" s="33">
        <f t="shared" ref="O33:P35" si="4">$N33/L33-1</f>
        <v>1.0254506428315491E-3</v>
      </c>
      <c r="P33" s="51">
        <f t="shared" si="4"/>
        <v>0</v>
      </c>
    </row>
    <row r="34" spans="2:17">
      <c r="B34" s="513" t="s">
        <v>48</v>
      </c>
      <c r="C34" s="514"/>
      <c r="D34" s="32">
        <f t="shared" ref="D34:F35" si="5">((D41*4)+(D48*8)+($L$8*2))/12</f>
        <v>88.300450925445162</v>
      </c>
      <c r="E34" s="32">
        <f t="shared" si="5"/>
        <v>83.461969044315921</v>
      </c>
      <c r="F34" s="32">
        <f t="shared" si="5"/>
        <v>82.304140529387197</v>
      </c>
      <c r="G34" s="33">
        <f t="shared" si="3"/>
        <v>-6.7908038217390776E-2</v>
      </c>
      <c r="H34" s="52">
        <f t="shared" si="3"/>
        <v>-1.3872528148885954E-2</v>
      </c>
      <c r="J34" s="513" t="s">
        <v>48</v>
      </c>
      <c r="K34" s="514"/>
      <c r="L34" s="32">
        <f t="shared" ref="L34:N35" si="6">((L41*4)+(L48*8)+($L$8*2))/12</f>
        <v>92.613175779611836</v>
      </c>
      <c r="M34" s="32">
        <f t="shared" si="6"/>
        <v>86.146169055757255</v>
      </c>
      <c r="N34" s="32">
        <f t="shared" si="6"/>
        <v>86.146169055757255</v>
      </c>
      <c r="O34" s="33">
        <f t="shared" si="4"/>
        <v>-6.982814993024189E-2</v>
      </c>
      <c r="P34" s="52">
        <f t="shared" si="4"/>
        <v>0</v>
      </c>
    </row>
    <row r="35" spans="2:17" ht="15" thickBot="1">
      <c r="B35" s="515" t="s">
        <v>132</v>
      </c>
      <c r="C35" s="516"/>
      <c r="D35" s="35">
        <f t="shared" si="5"/>
        <v>138.87287098564079</v>
      </c>
      <c r="E35" s="35">
        <f t="shared" si="5"/>
        <v>138.45796965984982</v>
      </c>
      <c r="F35" s="35">
        <f t="shared" si="5"/>
        <v>138.14483351663023</v>
      </c>
      <c r="G35" s="36">
        <f t="shared" si="3"/>
        <v>-5.242474385697915E-3</v>
      </c>
      <c r="H35" s="53">
        <f t="shared" si="3"/>
        <v>-2.2615971040805816E-3</v>
      </c>
      <c r="J35" s="515" t="s">
        <v>132</v>
      </c>
      <c r="K35" s="516"/>
      <c r="L35" s="35">
        <f t="shared" si="6"/>
        <v>145.80817832917023</v>
      </c>
      <c r="M35" s="35">
        <f t="shared" si="6"/>
        <v>144.1830026937993</v>
      </c>
      <c r="N35" s="35">
        <f t="shared" si="6"/>
        <v>144.1830026937993</v>
      </c>
      <c r="O35" s="36">
        <f t="shared" si="4"/>
        <v>-1.1145984086722516E-2</v>
      </c>
      <c r="P35" s="53">
        <f t="shared" si="4"/>
        <v>0</v>
      </c>
    </row>
    <row r="36" spans="2:17" ht="15" thickBot="1">
      <c r="B36" s="38"/>
      <c r="C36" s="38"/>
      <c r="D36" s="87"/>
      <c r="E36" s="87"/>
      <c r="F36" s="87"/>
      <c r="G36" s="88"/>
      <c r="H36" s="88"/>
      <c r="J36" s="38"/>
      <c r="K36" s="38"/>
      <c r="L36" s="87"/>
      <c r="M36" s="87"/>
      <c r="N36" s="87"/>
      <c r="O36" s="88"/>
      <c r="P36" s="88"/>
    </row>
    <row r="37" spans="2:17" ht="15" hidden="1" thickBot="1">
      <c r="D37" s="20">
        <v>2</v>
      </c>
      <c r="E37" s="20">
        <v>4</v>
      </c>
      <c r="F37" s="20">
        <v>6</v>
      </c>
      <c r="L37" s="20">
        <v>2</v>
      </c>
      <c r="M37" s="20">
        <v>4</v>
      </c>
      <c r="N37" s="20">
        <v>6</v>
      </c>
    </row>
    <row r="38" spans="2:17">
      <c r="B38" s="510" t="s">
        <v>252</v>
      </c>
      <c r="C38" s="511"/>
      <c r="D38" s="511"/>
      <c r="E38" s="511"/>
      <c r="F38" s="511"/>
      <c r="G38" s="511"/>
      <c r="H38" s="512"/>
      <c r="J38" s="510" t="s">
        <v>261</v>
      </c>
      <c r="K38" s="511"/>
      <c r="L38" s="511"/>
      <c r="M38" s="511"/>
      <c r="N38" s="511"/>
      <c r="O38" s="511"/>
      <c r="P38" s="512"/>
    </row>
    <row r="39" spans="2:17" ht="29">
      <c r="B39" s="30"/>
      <c r="C39" s="31"/>
      <c r="D39" s="14">
        <f>$D$25</f>
        <v>46023</v>
      </c>
      <c r="E39" s="14">
        <f>$E$25</f>
        <v>46082</v>
      </c>
      <c r="F39" s="17" t="s">
        <v>20</v>
      </c>
      <c r="G39" s="17" t="str">
        <f>$G$25</f>
        <v>% Change over 01/1/2026</v>
      </c>
      <c r="H39" s="4" t="str">
        <f>$H$25</f>
        <v>% Change over 03/1/2026</v>
      </c>
      <c r="J39" s="30"/>
      <c r="K39" s="31"/>
      <c r="L39" s="14">
        <f>$D$25</f>
        <v>46023</v>
      </c>
      <c r="M39" s="14">
        <f>$E$25</f>
        <v>46082</v>
      </c>
      <c r="N39" s="17" t="s">
        <v>20</v>
      </c>
      <c r="O39" s="17" t="str">
        <f>$G$25</f>
        <v>% Change over 01/1/2026</v>
      </c>
      <c r="P39" s="4" t="str">
        <f>$H$25</f>
        <v>% Change over 03/1/2026</v>
      </c>
    </row>
    <row r="40" spans="2:17">
      <c r="B40" s="513" t="s">
        <v>47</v>
      </c>
      <c r="C40" s="514"/>
      <c r="D40" s="32">
        <f>VLOOKUP($D$4,'Hypothetical Res Bill Impact'!$B$37:$H$47,D37,FALSE)</f>
        <v>167.60400525</v>
      </c>
      <c r="E40" s="32">
        <f>VLOOKUP($D$4,'Hypothetical Res Bill Impact'!$B$37:$H$47,E37,FALSE)</f>
        <v>168.27135249361035</v>
      </c>
      <c r="F40" s="32">
        <f>VLOOKUP($D$4,'Hypothetical Res Bill Impact'!$B$37:$H$47,F37,FALSE)</f>
        <v>168.27135249361035</v>
      </c>
      <c r="G40" s="33">
        <f t="shared" ref="G40:H42" si="7">$F40/D40-1</f>
        <v>3.9816903099358925E-3</v>
      </c>
      <c r="H40" s="52">
        <f t="shared" si="7"/>
        <v>0</v>
      </c>
      <c r="J40" s="513" t="s">
        <v>47</v>
      </c>
      <c r="K40" s="514"/>
      <c r="L40" s="32">
        <f>VLOOKUP($D$4,'Hypothetical Res Bill Impact'!$J$37:$P$47,L37,FALSE)</f>
        <v>165.46352687500001</v>
      </c>
      <c r="M40" s="32">
        <f>VLOOKUP($D$4,'Hypothetical Res Bill Impact'!$J$37:$P$47,M37,FALSE)</f>
        <v>166.40466729141079</v>
      </c>
      <c r="N40" s="32">
        <f>VLOOKUP($D$4,'Hypothetical Res Bill Impact'!$J$37:$P$47,N37,FALSE)</f>
        <v>166.40466729141079</v>
      </c>
      <c r="O40" s="33">
        <f t="shared" ref="O40:P42" si="8">$N40/L40-1</f>
        <v>5.6879025497973412E-3</v>
      </c>
      <c r="P40" s="51">
        <f t="shared" si="8"/>
        <v>0</v>
      </c>
      <c r="Q40" s="97"/>
    </row>
    <row r="41" spans="2:17">
      <c r="B41" s="513" t="s">
        <v>48</v>
      </c>
      <c r="C41" s="514"/>
      <c r="D41" s="32">
        <f>VLOOKUP($D$4,'Hypothetical Res Bill Impact'!$B$53:$H$63,D37,FALSE)</f>
        <v>95.714673625000003</v>
      </c>
      <c r="E41" s="32">
        <f>VLOOKUP($D$4,'Hypothetical Res Bill Impact'!$B$53:$H$63,E37,FALSE)</f>
        <v>89.539651320440711</v>
      </c>
      <c r="F41" s="32">
        <f>VLOOKUP($D$4,'Hypothetical Res Bill Impact'!$B$53:$H$63,F37,FALSE)</f>
        <v>89.539651320440711</v>
      </c>
      <c r="G41" s="33">
        <f t="shared" si="7"/>
        <v>-6.4514896939965372E-2</v>
      </c>
      <c r="H41" s="52">
        <f t="shared" si="7"/>
        <v>0</v>
      </c>
      <c r="J41" s="513" t="s">
        <v>48</v>
      </c>
      <c r="K41" s="514"/>
      <c r="L41" s="32">
        <f>VLOOKUP($D$4,'Hypothetical Res Bill Impact'!$J$53:$P$63,L37,FALSE)</f>
        <v>94.007820312500002</v>
      </c>
      <c r="M41" s="32">
        <f>VLOOKUP($D$4,'Hypothetical Res Bill Impact'!$J$53:$P$63,M37,FALSE)</f>
        <v>88.011180309942446</v>
      </c>
      <c r="N41" s="32">
        <f>VLOOKUP($D$4,'Hypothetical Res Bill Impact'!$J$53:$P$63,N37,FALSE)</f>
        <v>88.011180309942446</v>
      </c>
      <c r="O41" s="33">
        <f t="shared" si="8"/>
        <v>-6.3788735688409481E-2</v>
      </c>
      <c r="P41" s="52">
        <f t="shared" si="8"/>
        <v>0</v>
      </c>
    </row>
    <row r="42" spans="2:17" ht="15" thickBot="1">
      <c r="B42" s="515" t="s">
        <v>132</v>
      </c>
      <c r="C42" s="516"/>
      <c r="D42" s="35">
        <f>D40*(1-'Hypothetical SAR and RAR'!$Y$16)+D41*'Hypothetical SAR and RAR'!$Y$16</f>
        <v>148.16144726025036</v>
      </c>
      <c r="E42" s="35">
        <f>E40*(1-'Hypothetical SAR and RAR'!$Y$16)+E41*'Hypothetical SAR and RAR'!$Y$16</f>
        <v>146.97826725982492</v>
      </c>
      <c r="F42" s="35">
        <f>F40*(1-'Hypothetical SAR and RAR'!$Y$16)+F41*'Hypothetical SAR and RAR'!$Y$16</f>
        <v>146.97826725982492</v>
      </c>
      <c r="G42" s="36">
        <f t="shared" si="7"/>
        <v>-7.98574813019437E-3</v>
      </c>
      <c r="H42" s="53">
        <f t="shared" si="7"/>
        <v>0</v>
      </c>
      <c r="J42" s="515" t="s">
        <v>132</v>
      </c>
      <c r="K42" s="516"/>
      <c r="L42" s="35">
        <f>L40*(1-'Hypothetical SAR and RAR'!$Y$16)+L41*'Hypothetical SAR and RAR'!$Y$16</f>
        <v>146.13824331572417</v>
      </c>
      <c r="M42" s="35">
        <f>M40*(1-'Hypothetical SAR and RAR'!$Y$16)+M41*'Hypothetical SAR and RAR'!$Y$16</f>
        <v>145.2030525009647</v>
      </c>
      <c r="N42" s="35">
        <f>N40*(1-'Hypothetical SAR and RAR'!$Y$16)+N41*'Hypothetical SAR and RAR'!$Y$16</f>
        <v>145.2030525009647</v>
      </c>
      <c r="O42" s="36">
        <f t="shared" si="8"/>
        <v>-6.3993571671655536E-3</v>
      </c>
      <c r="P42" s="53">
        <f t="shared" si="8"/>
        <v>0</v>
      </c>
    </row>
    <row r="43" spans="2:17" ht="15" thickBot="1">
      <c r="B43" s="38"/>
      <c r="C43" s="38"/>
      <c r="D43" s="87"/>
      <c r="E43" s="87"/>
      <c r="F43" s="87"/>
      <c r="G43" s="88"/>
      <c r="H43" s="88"/>
      <c r="J43" s="38"/>
      <c r="K43" s="38"/>
      <c r="L43" s="87"/>
      <c r="M43" s="87"/>
      <c r="N43" s="87"/>
      <c r="O43" s="88"/>
      <c r="P43" s="88"/>
    </row>
    <row r="44" spans="2:17" ht="15" hidden="1" thickBot="1">
      <c r="D44" s="20">
        <v>3</v>
      </c>
      <c r="E44" s="20">
        <v>5</v>
      </c>
      <c r="F44" s="20">
        <v>7</v>
      </c>
      <c r="L44" s="20">
        <v>3</v>
      </c>
      <c r="M44" s="20">
        <v>5</v>
      </c>
      <c r="N44" s="20">
        <v>7</v>
      </c>
    </row>
    <row r="45" spans="2:17">
      <c r="B45" s="510" t="s">
        <v>253</v>
      </c>
      <c r="C45" s="511"/>
      <c r="D45" s="511"/>
      <c r="E45" s="511"/>
      <c r="F45" s="511"/>
      <c r="G45" s="511"/>
      <c r="H45" s="512"/>
      <c r="J45" s="510" t="s">
        <v>262</v>
      </c>
      <c r="K45" s="511"/>
      <c r="L45" s="511"/>
      <c r="M45" s="511"/>
      <c r="N45" s="511"/>
      <c r="O45" s="511"/>
      <c r="P45" s="512"/>
    </row>
    <row r="46" spans="2:17" ht="29">
      <c r="B46" s="30"/>
      <c r="C46" s="31"/>
      <c r="D46" s="14">
        <f>$D$25</f>
        <v>46023</v>
      </c>
      <c r="E46" s="14">
        <f>$E$25</f>
        <v>46082</v>
      </c>
      <c r="F46" s="17" t="s">
        <v>20</v>
      </c>
      <c r="G46" s="17" t="str">
        <f>$G$25</f>
        <v>% Change over 01/1/2026</v>
      </c>
      <c r="H46" s="4" t="str">
        <f>$H$25</f>
        <v>% Change over 03/1/2026</v>
      </c>
      <c r="J46" s="30"/>
      <c r="K46" s="31"/>
      <c r="L46" s="14">
        <f>$D$25</f>
        <v>46023</v>
      </c>
      <c r="M46" s="14">
        <f>$E$25</f>
        <v>46082</v>
      </c>
      <c r="N46" s="17" t="s">
        <v>20</v>
      </c>
      <c r="O46" s="17" t="str">
        <f>$G$25</f>
        <v>% Change over 01/1/2026</v>
      </c>
      <c r="P46" s="4" t="str">
        <f>$H$25</f>
        <v>% Change over 03/1/2026</v>
      </c>
    </row>
    <row r="47" spans="2:17">
      <c r="B47" s="513" t="s">
        <v>47</v>
      </c>
      <c r="C47" s="514"/>
      <c r="D47" s="32">
        <f>VLOOKUP($D$4,'Hypothetical Res Bill Impact'!$B$37:$H$47,D44,FALSE)</f>
        <v>161.673264125</v>
      </c>
      <c r="E47" s="32">
        <f>VLOOKUP($D$4,'Hypothetical Res Bill Impact'!$B$37:$H$47,E44,FALSE)</f>
        <v>163.17703867498068</v>
      </c>
      <c r="F47" s="32">
        <f>VLOOKUP($D$4,'Hypothetical Res Bill Impact'!$B$37:$H$47,F44,FALSE)</f>
        <v>163.17703867498068</v>
      </c>
      <c r="G47" s="33">
        <f t="shared" ref="G47:H49" si="9">$F47/D47-1</f>
        <v>9.3013186695978245E-3</v>
      </c>
      <c r="H47" s="52">
        <f t="shared" si="9"/>
        <v>0</v>
      </c>
      <c r="J47" s="513" t="s">
        <v>47</v>
      </c>
      <c r="K47" s="514"/>
      <c r="L47" s="32">
        <f>VLOOKUP($D$4,'Hypothetical Res Bill Impact'!$J$37:$P$47,L44,FALSE)</f>
        <v>174.60479175</v>
      </c>
      <c r="M47" s="32">
        <f>VLOOKUP($D$4,'Hypothetical Res Bill Impact'!$J$37:$P$47,M44,FALSE)</f>
        <v>174.38883290579881</v>
      </c>
      <c r="N47" s="32">
        <f>VLOOKUP($D$4,'Hypothetical Res Bill Impact'!$J$37:$P$47,N44,FALSE)</f>
        <v>174.38883290579881</v>
      </c>
      <c r="O47" s="33">
        <f t="shared" ref="O47:P49" si="10">$N47/L47-1</f>
        <v>-1.2368437431569124E-3</v>
      </c>
      <c r="P47" s="51">
        <f t="shared" si="10"/>
        <v>0</v>
      </c>
    </row>
    <row r="48" spans="2:17">
      <c r="B48" s="513" t="s">
        <v>48</v>
      </c>
      <c r="C48" s="514"/>
      <c r="D48" s="32">
        <f>VLOOKUP($D$4,'Hypothetical Res Bill Impact'!$B$53:$H$63,D44,FALSE)</f>
        <v>93.637726062499993</v>
      </c>
      <c r="E48" s="32">
        <f>VLOOKUP($D$4,'Hypothetical Res Bill Impact'!$B$53:$H$63,E44,FALSE)</f>
        <v>89.467514393085764</v>
      </c>
      <c r="F48" s="32">
        <f>VLOOKUP($D$4,'Hypothetical Res Bill Impact'!$B$53:$H$63,F44,FALSE)</f>
        <v>87.730771620692693</v>
      </c>
      <c r="G48" s="33">
        <f t="shared" si="9"/>
        <v>-6.308306160558208E-2</v>
      </c>
      <c r="H48" s="52">
        <f t="shared" si="9"/>
        <v>-1.9411993103580549E-2</v>
      </c>
      <c r="J48" s="513" t="s">
        <v>48</v>
      </c>
      <c r="K48" s="514"/>
      <c r="L48" s="32">
        <f>VLOOKUP($D$4,'Hypothetical Res Bill Impact'!$J$53:$P$63,L44,FALSE)</f>
        <v>100.96024</v>
      </c>
      <c r="M48" s="32">
        <f>VLOOKUP($D$4,'Hypothetical Res Bill Impact'!$J$53:$P$63,M44,FALSE)</f>
        <v>94.258049915496912</v>
      </c>
      <c r="N48" s="32">
        <f>VLOOKUP($D$4,'Hypothetical Res Bill Impact'!$J$53:$P$63,N44,FALSE)</f>
        <v>94.258049915496912</v>
      </c>
      <c r="O48" s="33">
        <f t="shared" si="10"/>
        <v>-6.6384450794719663E-2</v>
      </c>
      <c r="P48" s="52">
        <f t="shared" si="10"/>
        <v>0</v>
      </c>
    </row>
    <row r="49" spans="2:16" ht="15" thickBot="1">
      <c r="B49" s="515" t="s">
        <v>132</v>
      </c>
      <c r="C49" s="516"/>
      <c r="D49" s="35">
        <f>D47*(1-'Hypothetical SAR and RAR'!$Y$16)+D48*'Hypothetical SAR and RAR'!$Y$16</f>
        <v>143.27296933516823</v>
      </c>
      <c r="E49" s="35">
        <f>E47*(1-'Hypothetical SAR and RAR'!$Y$16)+E48*'Hypothetical SAR and RAR'!$Y$16</f>
        <v>143.24220734669453</v>
      </c>
      <c r="F49" s="35">
        <f>F47*(1-'Hypothetical SAR and RAR'!$Y$16)+F48*'Hypothetical SAR and RAR'!$Y$16</f>
        <v>142.77250313186514</v>
      </c>
      <c r="G49" s="36">
        <f t="shared" si="9"/>
        <v>-3.4930957711382105E-3</v>
      </c>
      <c r="H49" s="53">
        <f t="shared" si="9"/>
        <v>-3.2790908736316515E-3</v>
      </c>
      <c r="J49" s="515" t="s">
        <v>132</v>
      </c>
      <c r="K49" s="516"/>
      <c r="L49" s="35">
        <f>L47*(1-'Hypothetical SAR and RAR'!$Y$16)+L48*'Hypothetical SAR and RAR'!$Y$16</f>
        <v>154.6875323227255</v>
      </c>
      <c r="M49" s="35">
        <f>M47*(1-'Hypothetical SAR and RAR'!$Y$16)+M48*'Hypothetical SAR and RAR'!$Y$16</f>
        <v>152.71736427704886</v>
      </c>
      <c r="N49" s="35">
        <f>N47*(1-'Hypothetical SAR and RAR'!$Y$16)+N48*'Hypothetical SAR and RAR'!$Y$16</f>
        <v>152.71736427704886</v>
      </c>
      <c r="O49" s="36">
        <f t="shared" si="10"/>
        <v>-1.273643722990081E-2</v>
      </c>
      <c r="P49" s="53">
        <f t="shared" si="10"/>
        <v>0</v>
      </c>
    </row>
    <row r="51" spans="2:16" ht="15" thickBot="1"/>
    <row r="52" spans="2:16">
      <c r="B52" s="510" t="s">
        <v>254</v>
      </c>
      <c r="C52" s="511"/>
      <c r="D52" s="511"/>
      <c r="E52" s="511"/>
      <c r="F52" s="511"/>
      <c r="G52" s="511"/>
      <c r="H52" s="512"/>
      <c r="J52" s="510" t="s">
        <v>263</v>
      </c>
      <c r="K52" s="511"/>
      <c r="L52" s="511"/>
      <c r="M52" s="511"/>
      <c r="N52" s="511"/>
      <c r="O52" s="511"/>
      <c r="P52" s="512"/>
    </row>
    <row r="53" spans="2:16" ht="29">
      <c r="B53" s="30"/>
      <c r="C53" s="31"/>
      <c r="D53" s="14">
        <f>$D$25</f>
        <v>46023</v>
      </c>
      <c r="E53" s="14">
        <f>$E$25</f>
        <v>46082</v>
      </c>
      <c r="F53" s="17" t="s">
        <v>20</v>
      </c>
      <c r="G53" s="17" t="str">
        <f>$G$25</f>
        <v>% Change over 01/1/2026</v>
      </c>
      <c r="H53" s="4" t="str">
        <f>$H$25</f>
        <v>% Change over 03/1/2026</v>
      </c>
      <c r="J53" s="30"/>
      <c r="K53" s="31"/>
      <c r="L53" s="14">
        <f>$D$25</f>
        <v>46023</v>
      </c>
      <c r="M53" s="14">
        <f>$E$25</f>
        <v>46082</v>
      </c>
      <c r="N53" s="17" t="s">
        <v>20</v>
      </c>
      <c r="O53" s="17" t="str">
        <f>$G$25</f>
        <v>% Change over 01/1/2026</v>
      </c>
      <c r="P53" s="4" t="str">
        <f>$H$25</f>
        <v>% Change over 03/1/2026</v>
      </c>
    </row>
    <row r="54" spans="2:16">
      <c r="B54" s="513" t="s">
        <v>221</v>
      </c>
      <c r="C54" s="514"/>
      <c r="D54" s="32">
        <f>((D61*4)+(D68*8)+($L$8*2))/12</f>
        <v>106.0715997587785</v>
      </c>
      <c r="E54" s="32">
        <f>((E61*4)+(E68*8)+($L$8*2))/12</f>
        <v>114.58596135203067</v>
      </c>
      <c r="F54" s="32">
        <f>((F61*4)+(F68*8)+($L$8*2))/12</f>
        <v>114.58596135203067</v>
      </c>
      <c r="G54" s="33">
        <f t="shared" ref="G54:H56" si="11">$F54/D54-1</f>
        <v>8.0269946079959187E-2</v>
      </c>
      <c r="H54" s="51">
        <f t="shared" si="11"/>
        <v>0</v>
      </c>
      <c r="J54" s="513" t="s">
        <v>221</v>
      </c>
      <c r="K54" s="514"/>
      <c r="L54" s="32">
        <f>((L61*4)+(L68*8)+($L$8*2))/12</f>
        <v>138.70379569627849</v>
      </c>
      <c r="M54" s="32">
        <f>((M61*4)+(M68*8)+($L$8*2))/12</f>
        <v>142.66668720537461</v>
      </c>
      <c r="N54" s="32">
        <f>((N61*4)+(N68*8)+($L$8*2))/12</f>
        <v>142.66668720537461</v>
      </c>
      <c r="O54" s="33">
        <f t="shared" ref="O54:P56" si="12">$N54/L54-1</f>
        <v>2.8570894467615959E-2</v>
      </c>
      <c r="P54" s="51">
        <f t="shared" si="12"/>
        <v>0</v>
      </c>
    </row>
    <row r="55" spans="2:16">
      <c r="B55" s="513" t="s">
        <v>222</v>
      </c>
      <c r="C55" s="514"/>
      <c r="D55" s="32">
        <f t="shared" ref="D55:F56" si="13">((D62*4)+(D69*8)+($L$8*2))/12</f>
        <v>62.180927675445162</v>
      </c>
      <c r="E55" s="32">
        <f t="shared" si="13"/>
        <v>59.599104040056169</v>
      </c>
      <c r="F55" s="32">
        <f t="shared" si="13"/>
        <v>59.599104040056169</v>
      </c>
      <c r="G55" s="33">
        <f t="shared" si="11"/>
        <v>-4.1521150164643417E-2</v>
      </c>
      <c r="H55" s="52">
        <f t="shared" si="11"/>
        <v>0</v>
      </c>
      <c r="J55" s="513" t="s">
        <v>222</v>
      </c>
      <c r="K55" s="514"/>
      <c r="L55" s="32">
        <f t="shared" ref="L55:N56" si="14">((L62*4)+(L69*8)+($L$8*2))/12</f>
        <v>82.036729342111826</v>
      </c>
      <c r="M55" s="32">
        <f t="shared" si="14"/>
        <v>76.956772114229466</v>
      </c>
      <c r="N55" s="32">
        <f t="shared" si="14"/>
        <v>76.956772114229466</v>
      </c>
      <c r="O55" s="33">
        <f t="shared" si="12"/>
        <v>-6.1922961442036351E-2</v>
      </c>
      <c r="P55" s="52">
        <f t="shared" si="12"/>
        <v>0</v>
      </c>
    </row>
    <row r="56" spans="2:16" ht="15" thickBot="1">
      <c r="B56" s="515" t="s">
        <v>132</v>
      </c>
      <c r="C56" s="516"/>
      <c r="D56" s="35">
        <f t="shared" si="13"/>
        <v>94.201313613392529</v>
      </c>
      <c r="E56" s="35">
        <f t="shared" si="13"/>
        <v>99.714698289816127</v>
      </c>
      <c r="F56" s="35">
        <f t="shared" si="13"/>
        <v>99.714698289816127</v>
      </c>
      <c r="G56" s="36">
        <f t="shared" si="11"/>
        <v>5.8527683584656209E-2</v>
      </c>
      <c r="H56" s="53">
        <f t="shared" si="11"/>
        <v>0</v>
      </c>
      <c r="J56" s="515" t="s">
        <v>132</v>
      </c>
      <c r="K56" s="516"/>
      <c r="L56" s="35">
        <f t="shared" si="14"/>
        <v>123.37811803596854</v>
      </c>
      <c r="M56" s="35">
        <f t="shared" si="14"/>
        <v>124.89536000309427</v>
      </c>
      <c r="N56" s="35">
        <f t="shared" si="14"/>
        <v>124.89536000309427</v>
      </c>
      <c r="O56" s="36">
        <f t="shared" si="12"/>
        <v>1.2297496438415489E-2</v>
      </c>
      <c r="P56" s="53">
        <f t="shared" si="12"/>
        <v>0</v>
      </c>
    </row>
    <row r="57" spans="2:16" ht="15" thickBot="1">
      <c r="B57" s="38"/>
      <c r="C57" s="38"/>
      <c r="D57" s="87"/>
      <c r="E57" s="87"/>
      <c r="F57" s="87"/>
      <c r="G57" s="88"/>
      <c r="H57" s="88"/>
      <c r="J57" s="38"/>
      <c r="K57" s="38"/>
      <c r="L57" s="87"/>
      <c r="M57" s="87"/>
      <c r="N57" s="87"/>
      <c r="O57" s="88"/>
      <c r="P57" s="88"/>
    </row>
    <row r="58" spans="2:16" ht="15" hidden="1" thickBot="1">
      <c r="D58" s="20">
        <v>2</v>
      </c>
      <c r="E58" s="20">
        <v>4</v>
      </c>
      <c r="F58" s="20">
        <v>6</v>
      </c>
      <c r="L58" s="20">
        <v>2</v>
      </c>
      <c r="M58" s="20">
        <v>4</v>
      </c>
      <c r="N58" s="20">
        <v>6</v>
      </c>
    </row>
    <row r="59" spans="2:16">
      <c r="B59" s="510" t="s">
        <v>255</v>
      </c>
      <c r="C59" s="511"/>
      <c r="D59" s="511"/>
      <c r="E59" s="511"/>
      <c r="F59" s="511"/>
      <c r="G59" s="511"/>
      <c r="H59" s="512"/>
      <c r="J59" s="510" t="s">
        <v>264</v>
      </c>
      <c r="K59" s="511"/>
      <c r="L59" s="511"/>
      <c r="M59" s="511"/>
      <c r="N59" s="511"/>
      <c r="O59" s="511"/>
      <c r="P59" s="512"/>
    </row>
    <row r="60" spans="2:16" ht="29">
      <c r="B60" s="30"/>
      <c r="C60" s="31"/>
      <c r="D60" s="14">
        <f>$D$25</f>
        <v>46023</v>
      </c>
      <c r="E60" s="14">
        <f>$E$25</f>
        <v>46082</v>
      </c>
      <c r="F60" s="17" t="s">
        <v>20</v>
      </c>
      <c r="G60" s="17" t="str">
        <f>$G$25</f>
        <v>% Change over 01/1/2026</v>
      </c>
      <c r="H60" s="4" t="str">
        <f>$H$25</f>
        <v>% Change over 03/1/2026</v>
      </c>
      <c r="J60" s="30"/>
      <c r="K60" s="31"/>
      <c r="L60" s="14">
        <f>$D$25</f>
        <v>46023</v>
      </c>
      <c r="M60" s="14">
        <f>$E$25</f>
        <v>46082</v>
      </c>
      <c r="N60" s="17" t="s">
        <v>20</v>
      </c>
      <c r="O60" s="17" t="str">
        <f>$G$25</f>
        <v>% Change over 01/1/2026</v>
      </c>
      <c r="P60" s="4" t="str">
        <f>$H$25</f>
        <v>% Change over 03/1/2026</v>
      </c>
    </row>
    <row r="61" spans="2:16">
      <c r="B61" s="513" t="s">
        <v>221</v>
      </c>
      <c r="C61" s="514"/>
      <c r="D61" s="32">
        <f>VLOOKUP($D$4,'Hypothetical Res Bill Impact'!$B$69:$H$79,D58,FALSE)</f>
        <v>112.86900712500001</v>
      </c>
      <c r="E61" s="32">
        <f>VLOOKUP($D$4,'Hypothetical Res Bill Impact'!$B$69:$H$79,E58,FALSE)</f>
        <v>121.27627530450732</v>
      </c>
      <c r="F61" s="32">
        <f>VLOOKUP($D$4,'Hypothetical Res Bill Impact'!$B$69:$H$79,F58,FALSE)</f>
        <v>121.27627530450732</v>
      </c>
      <c r="G61" s="33">
        <f t="shared" ref="G61:H63" si="15">$F61/D61-1</f>
        <v>7.4486950790631612E-2</v>
      </c>
      <c r="H61" s="52">
        <f t="shared" si="15"/>
        <v>0</v>
      </c>
      <c r="J61" s="513" t="s">
        <v>221</v>
      </c>
      <c r="K61" s="514"/>
      <c r="L61" s="32">
        <f>VLOOKUP($D$4,'Hypothetical Res Bill Impact'!$J$69:$P$79,L58,FALSE)</f>
        <v>97.896587812500002</v>
      </c>
      <c r="M61" s="32">
        <f>VLOOKUP($D$4,'Hypothetical Res Bill Impact'!$J$69:$P$79,M58,FALSE)</f>
        <v>108.39217756003185</v>
      </c>
      <c r="N61" s="32">
        <f>VLOOKUP($D$4,'Hypothetical Res Bill Impact'!$J$69:$P$79,N58,FALSE)</f>
        <v>108.39217756003185</v>
      </c>
      <c r="O61" s="33">
        <f t="shared" ref="O61:P63" si="16">$N61/L61-1</f>
        <v>0.10721098643023086</v>
      </c>
      <c r="P61" s="51">
        <f t="shared" si="16"/>
        <v>0</v>
      </c>
    </row>
    <row r="62" spans="2:16">
      <c r="B62" s="513" t="s">
        <v>222</v>
      </c>
      <c r="C62" s="514"/>
      <c r="D62" s="32">
        <f>VLOOKUP($D$4,'Hypothetical Res Bill Impact'!$B$85:$H$95,D58,FALSE)</f>
        <v>68.677714000000009</v>
      </c>
      <c r="E62" s="32">
        <f>VLOOKUP($D$4,'Hypothetical Res Bill Impact'!$B$85:$H$95,E58,FALSE)</f>
        <v>66.037110750669981</v>
      </c>
      <c r="F62" s="32">
        <f>VLOOKUP($D$4,'Hypothetical Res Bill Impact'!$B$85:$H$95,F58,FALSE)</f>
        <v>66.037110750669981</v>
      </c>
      <c r="G62" s="33">
        <f t="shared" si="15"/>
        <v>-3.8449201284277312E-2</v>
      </c>
      <c r="H62" s="52">
        <f t="shared" si="15"/>
        <v>0</v>
      </c>
      <c r="J62" s="513" t="s">
        <v>222</v>
      </c>
      <c r="K62" s="514"/>
      <c r="L62" s="32">
        <f>VLOOKUP($D$4,'Hypothetical Res Bill Impact'!$J$85:$P$95,L58,FALSE)</f>
        <v>59.567405000000001</v>
      </c>
      <c r="M62" s="32">
        <f>VLOOKUP($D$4,'Hypothetical Res Bill Impact'!$J$85:$P$95,M58,FALSE)</f>
        <v>58.073004222519877</v>
      </c>
      <c r="N62" s="32">
        <f>VLOOKUP($D$4,'Hypothetical Res Bill Impact'!$J$85:$P$95,N58,FALSE)</f>
        <v>58.073004222519877</v>
      </c>
      <c r="O62" s="33">
        <f t="shared" si="16"/>
        <v>-2.5087558833226331E-2</v>
      </c>
      <c r="P62" s="52">
        <f t="shared" si="16"/>
        <v>0</v>
      </c>
    </row>
    <row r="63" spans="2:16" ht="15" thickBot="1">
      <c r="B63" s="515" t="s">
        <v>132</v>
      </c>
      <c r="C63" s="516"/>
      <c r="D63" s="35">
        <f>D61*(1-'Hypothetical SAR and RAR'!$Y$16)+D62*'Hypothetical SAR and RAR'!$Y$16</f>
        <v>100.91741764985113</v>
      </c>
      <c r="E63" s="35">
        <f>E61*(1-'Hypothetical SAR and RAR'!$Y$16)+E62*'Hypothetical SAR and RAR'!$Y$16</f>
        <v>106.33677543899712</v>
      </c>
      <c r="F63" s="35">
        <f>F61*(1-'Hypothetical SAR and RAR'!$Y$16)+F62*'Hypothetical SAR and RAR'!$Y$16</f>
        <v>106.33677543899712</v>
      </c>
      <c r="G63" s="36">
        <f t="shared" si="15"/>
        <v>5.3700916208035521E-2</v>
      </c>
      <c r="H63" s="53">
        <f t="shared" si="15"/>
        <v>0</v>
      </c>
      <c r="J63" s="515" t="s">
        <v>132</v>
      </c>
      <c r="K63" s="516"/>
      <c r="L63" s="35">
        <f>L61*(1-'Hypothetical SAR and RAR'!$Y$16)+L62*'Hypothetical SAR and RAR'!$Y$16</f>
        <v>87.530413267728022</v>
      </c>
      <c r="M63" s="35">
        <f>M61*(1-'Hypothetical SAR and RAR'!$Y$16)+M62*'Hypothetical SAR and RAR'!$Y$16</f>
        <v>94.783295358787143</v>
      </c>
      <c r="N63" s="35">
        <f>N61*(1-'Hypothetical SAR and RAR'!$Y$16)+N62*'Hypothetical SAR and RAR'!$Y$16</f>
        <v>94.783295358787143</v>
      </c>
      <c r="O63" s="36">
        <f t="shared" si="16"/>
        <v>8.2861280100150259E-2</v>
      </c>
      <c r="P63" s="53">
        <f t="shared" si="16"/>
        <v>0</v>
      </c>
    </row>
    <row r="64" spans="2:16" ht="15" thickBot="1">
      <c r="B64" s="38"/>
      <c r="C64" s="38"/>
      <c r="D64" s="87"/>
      <c r="E64" s="87"/>
      <c r="F64" s="87"/>
      <c r="G64" s="88"/>
      <c r="H64" s="88"/>
      <c r="J64" s="38"/>
      <c r="K64" s="38"/>
      <c r="L64" s="87"/>
      <c r="M64" s="87"/>
      <c r="N64" s="87"/>
      <c r="O64" s="88"/>
      <c r="P64" s="88"/>
    </row>
    <row r="65" spans="2:16" ht="15" hidden="1" thickBot="1">
      <c r="D65" s="20">
        <v>3</v>
      </c>
      <c r="E65" s="20">
        <v>5</v>
      </c>
      <c r="F65" s="20">
        <v>7</v>
      </c>
      <c r="L65" s="20">
        <v>3</v>
      </c>
      <c r="M65" s="20">
        <v>5</v>
      </c>
      <c r="N65" s="20">
        <v>7</v>
      </c>
    </row>
    <row r="66" spans="2:16">
      <c r="B66" s="510" t="s">
        <v>256</v>
      </c>
      <c r="C66" s="511"/>
      <c r="D66" s="511"/>
      <c r="E66" s="511"/>
      <c r="F66" s="511"/>
      <c r="G66" s="511"/>
      <c r="H66" s="512"/>
      <c r="J66" s="510" t="s">
        <v>265</v>
      </c>
      <c r="K66" s="511"/>
      <c r="L66" s="511"/>
      <c r="M66" s="511"/>
      <c r="N66" s="511"/>
      <c r="O66" s="511"/>
      <c r="P66" s="512"/>
    </row>
    <row r="67" spans="2:16" ht="29">
      <c r="B67" s="30"/>
      <c r="C67" s="31"/>
      <c r="D67" s="14">
        <f>$D$25</f>
        <v>46023</v>
      </c>
      <c r="E67" s="14">
        <f>$E$25</f>
        <v>46082</v>
      </c>
      <c r="F67" s="17" t="s">
        <v>20</v>
      </c>
      <c r="G67" s="17" t="str">
        <f>$G$25</f>
        <v>% Change over 01/1/2026</v>
      </c>
      <c r="H67" s="4" t="str">
        <f>$H$25</f>
        <v>% Change over 03/1/2026</v>
      </c>
      <c r="J67" s="30"/>
      <c r="K67" s="31"/>
      <c r="L67" s="14">
        <f>$D$25</f>
        <v>46023</v>
      </c>
      <c r="M67" s="14">
        <f>$E$25</f>
        <v>46082</v>
      </c>
      <c r="N67" s="17" t="s">
        <v>20</v>
      </c>
      <c r="O67" s="17" t="str">
        <f>$G$25</f>
        <v>% Change over 01/1/2026</v>
      </c>
      <c r="P67" s="4" t="str">
        <f>$H$25</f>
        <v>% Change over 03/1/2026</v>
      </c>
    </row>
    <row r="68" spans="2:16">
      <c r="B68" s="513" t="s">
        <v>221</v>
      </c>
      <c r="C68" s="514"/>
      <c r="D68" s="32">
        <f>VLOOKUP($D$4,'Hypothetical Res Bill Impact'!$B$69:$H$79,D65,FALSE)</f>
        <v>111.71728256249999</v>
      </c>
      <c r="E68" s="32">
        <f>VLOOKUP($D$4,'Hypothetical Res Bill Impact'!$B$69:$H$79,E65,FALSE)</f>
        <v>120.28519086262459</v>
      </c>
      <c r="F68" s="32">
        <f>VLOOKUP($D$4,'Hypothetical Res Bill Impact'!$B$69:$H$79,F65,FALSE)</f>
        <v>120.28519086262459</v>
      </c>
      <c r="G68" s="33">
        <f t="shared" ref="G68:H70" si="17">$F68/D68-1</f>
        <v>7.6692773970144623E-2</v>
      </c>
      <c r="H68" s="52">
        <f t="shared" si="17"/>
        <v>0</v>
      </c>
      <c r="J68" s="513" t="s">
        <v>221</v>
      </c>
      <c r="K68" s="514"/>
      <c r="L68" s="32">
        <f>VLOOKUP($D$4,'Hypothetical Res Bill Impact'!$J$69:$P$79,L65,FALSE)</f>
        <v>168.151786125</v>
      </c>
      <c r="M68" s="32">
        <f>VLOOKUP($D$4,'Hypothetical Res Bill Impact'!$J$69:$P$79,M65,FALSE)</f>
        <v>168.84832851487826</v>
      </c>
      <c r="N68" s="32">
        <f>VLOOKUP($D$4,'Hypothetical Res Bill Impact'!$J$69:$P$79,N65,FALSE)</f>
        <v>168.84832851487826</v>
      </c>
      <c r="O68" s="33">
        <f t="shared" ref="O68:P70" si="18">$N68/L68-1</f>
        <v>4.1423430932840954E-3</v>
      </c>
      <c r="P68" s="51">
        <f t="shared" si="18"/>
        <v>0</v>
      </c>
    </row>
    <row r="69" spans="2:16">
      <c r="B69" s="513" t="s">
        <v>222</v>
      </c>
      <c r="C69" s="514"/>
      <c r="D69" s="32">
        <f>VLOOKUP($D$4,'Hypothetical Res Bill Impact'!$B$85:$H$95,D65,FALSE)</f>
        <v>67.97692099999999</v>
      </c>
      <c r="E69" s="32">
        <f>VLOOKUP($D$4,'Hypothetical Res Bill Impact'!$B$85:$H$95,E65,FALSE)</f>
        <v>65.424487171581504</v>
      </c>
      <c r="F69" s="32">
        <f>VLOOKUP($D$4,'Hypothetical Res Bill Impact'!$B$85:$H$95,F65,FALSE)</f>
        <v>65.424487171581504</v>
      </c>
      <c r="G69" s="33">
        <f t="shared" si="17"/>
        <v>-3.7548535456886745E-2</v>
      </c>
      <c r="H69" s="52">
        <f t="shared" si="17"/>
        <v>0</v>
      </c>
      <c r="J69" s="513" t="s">
        <v>222</v>
      </c>
      <c r="K69" s="514"/>
      <c r="L69" s="32">
        <f>VLOOKUP($D$4,'Hypothetical Res Bill Impact'!$J$85:$P$95,L65,FALSE)</f>
        <v>102.31577799999999</v>
      </c>
      <c r="M69" s="32">
        <f>VLOOKUP($D$4,'Hypothetical Res Bill Impact'!$J$85:$P$95,M65,FALSE)</f>
        <v>95.443042546916502</v>
      </c>
      <c r="N69" s="32">
        <f>VLOOKUP($D$4,'Hypothetical Res Bill Impact'!$J$85:$P$95,N65,FALSE)</f>
        <v>95.443042546916502</v>
      </c>
      <c r="O69" s="33">
        <f t="shared" si="18"/>
        <v>-6.7171804656399048E-2</v>
      </c>
      <c r="P69" s="52">
        <f t="shared" si="18"/>
        <v>0</v>
      </c>
    </row>
    <row r="70" spans="2:16" ht="15" thickBot="1">
      <c r="B70" s="515" t="s">
        <v>132</v>
      </c>
      <c r="C70" s="516"/>
      <c r="D70" s="35">
        <f>D68*(1-'Hypothetical SAR and RAR'!$Y$16)+D69*'Hypothetical SAR and RAR'!$Y$16</f>
        <v>99.887648081995479</v>
      </c>
      <c r="E70" s="35">
        <f>E68*(1-'Hypothetical SAR and RAR'!$Y$16)+E69*'Hypothetical SAR and RAR'!$Y$16</f>
        <v>105.4480462020579</v>
      </c>
      <c r="F70" s="35">
        <f>F68*(1-'Hypothetical SAR and RAR'!$Y$16)+F69*'Hypothetical SAR and RAR'!$Y$16</f>
        <v>105.4480462020579</v>
      </c>
      <c r="G70" s="36">
        <f t="shared" si="17"/>
        <v>5.5666523607583729E-2</v>
      </c>
      <c r="H70" s="53">
        <f t="shared" si="17"/>
        <v>0</v>
      </c>
      <c r="J70" s="515" t="s">
        <v>132</v>
      </c>
      <c r="K70" s="516"/>
      <c r="L70" s="35">
        <f>L68*(1-'Hypothetical SAR and RAR'!$Y$16)+L69*'Hypothetical SAR and RAR'!$Y$16</f>
        <v>150.34635690692105</v>
      </c>
      <c r="M70" s="35">
        <f>M68*(1-'Hypothetical SAR and RAR'!$Y$16)+M69*'Hypothetical SAR and RAR'!$Y$16</f>
        <v>148.99577881208009</v>
      </c>
      <c r="N70" s="35">
        <f>N68*(1-'Hypothetical SAR and RAR'!$Y$16)+N69*'Hypothetical SAR and RAR'!$Y$16</f>
        <v>148.99577881208009</v>
      </c>
      <c r="O70" s="36">
        <f t="shared" si="18"/>
        <v>-8.983111547405831E-3</v>
      </c>
      <c r="P70" s="53">
        <f t="shared" si="18"/>
        <v>0</v>
      </c>
    </row>
    <row r="72" spans="2:16" ht="15" thickBot="1"/>
    <row r="73" spans="2:16">
      <c r="B73" s="510" t="s">
        <v>257</v>
      </c>
      <c r="C73" s="511"/>
      <c r="D73" s="511"/>
      <c r="E73" s="511"/>
      <c r="F73" s="511"/>
      <c r="G73" s="511"/>
      <c r="H73" s="512"/>
      <c r="J73" s="510" t="s">
        <v>266</v>
      </c>
      <c r="K73" s="511"/>
      <c r="L73" s="511"/>
      <c r="M73" s="511"/>
      <c r="N73" s="511"/>
      <c r="O73" s="511"/>
      <c r="P73" s="512"/>
    </row>
    <row r="74" spans="2:16" ht="29">
      <c r="B74" s="30"/>
      <c r="C74" s="31"/>
      <c r="D74" s="14">
        <f>$D$25</f>
        <v>46023</v>
      </c>
      <c r="E74" s="14">
        <f>$E$25</f>
        <v>46082</v>
      </c>
      <c r="F74" s="17" t="s">
        <v>20</v>
      </c>
      <c r="G74" s="17" t="str">
        <f>$G$25</f>
        <v>% Change over 01/1/2026</v>
      </c>
      <c r="H74" s="4" t="str">
        <f>$H$25</f>
        <v>% Change over 03/1/2026</v>
      </c>
      <c r="J74" s="30"/>
      <c r="K74" s="31"/>
      <c r="L74" s="14">
        <f>$D$25</f>
        <v>46023</v>
      </c>
      <c r="M74" s="14">
        <f>$E$25</f>
        <v>46082</v>
      </c>
      <c r="N74" s="17" t="s">
        <v>20</v>
      </c>
      <c r="O74" s="17" t="str">
        <f>$G$25</f>
        <v>% Change over 01/1/2026</v>
      </c>
      <c r="P74" s="4" t="str">
        <f>$H$25</f>
        <v>% Change over 03/1/2026</v>
      </c>
    </row>
    <row r="75" spans="2:16">
      <c r="B75" s="513" t="str">
        <f>$D$3&amp;"kWh Monthly Usage - Non-CARE"</f>
        <v>500kWh Monthly Usage - Non-CARE</v>
      </c>
      <c r="C75" s="514"/>
      <c r="D75" s="32">
        <f>((D82*4)+(D89*8)+($L$8*2))/12</f>
        <v>202.65533684211184</v>
      </c>
      <c r="E75" s="32">
        <f>((E82*4)+(E89*8)+($L$8*2))/12</f>
        <v>197.51206594561299</v>
      </c>
      <c r="F75" s="32">
        <f>((F82*4)+(F89*8)+($L$8*2))/12</f>
        <v>197.51206594561299</v>
      </c>
      <c r="G75" s="33">
        <f t="shared" ref="G75:H77" si="19">$F75/D75-1</f>
        <v>-2.5379400200577718E-2</v>
      </c>
      <c r="H75" s="51">
        <f t="shared" si="19"/>
        <v>0</v>
      </c>
      <c r="I75" s="97"/>
      <c r="J75" s="513" t="str">
        <f>$D$3&amp;"kWh Monthly Usage - Non-CARE"</f>
        <v>500kWh Monthly Usage - Non-CARE</v>
      </c>
      <c r="K75" s="514"/>
      <c r="L75" s="32">
        <f>((L82*4)+(L89*8)+($L$8*2))/12</f>
        <v>194.40565830044514</v>
      </c>
      <c r="M75" s="32">
        <f>((M82*4)+(M89*8)+($L$8*2))/12</f>
        <v>190.49190730826876</v>
      </c>
      <c r="N75" s="32">
        <f>((N82*4)+(N89*8)+($L$8*2))/12</f>
        <v>190.49190730826876</v>
      </c>
      <c r="O75" s="33">
        <f t="shared" ref="O75:P77" si="20">$N75/L75-1</f>
        <v>-2.0131877983344704E-2</v>
      </c>
      <c r="P75" s="51">
        <f t="shared" si="20"/>
        <v>0</v>
      </c>
    </row>
    <row r="76" spans="2:16">
      <c r="B76" s="513" t="str">
        <f>$D$3&amp;"kWh Monthly Usage - CARE"</f>
        <v>500kWh Monthly Usage - CARE</v>
      </c>
      <c r="C76" s="514"/>
      <c r="D76" s="32">
        <f t="shared" ref="D76:F77" si="21">((D83*4)+(D90*8)+($L$8*2))/12</f>
        <v>121.75702842544517</v>
      </c>
      <c r="E76" s="32">
        <f t="shared" si="21"/>
        <v>111.38709145750688</v>
      </c>
      <c r="F76" s="32">
        <f t="shared" si="21"/>
        <v>111.38709145750688</v>
      </c>
      <c r="G76" s="33">
        <f t="shared" si="19"/>
        <v>-8.5169103599535112E-2</v>
      </c>
      <c r="H76" s="52">
        <f t="shared" si="19"/>
        <v>0</v>
      </c>
      <c r="J76" s="513" t="str">
        <f>$D$3&amp;"kWh Monthly Usage - CARE"</f>
        <v>500kWh Monthly Usage - CARE</v>
      </c>
      <c r="K76" s="514"/>
      <c r="L76" s="32">
        <f t="shared" ref="L76:N77" si="22">((L83*4)+(L90*8)+($L$8*2))/12</f>
        <v>116.39551352961183</v>
      </c>
      <c r="M76" s="32">
        <f t="shared" si="22"/>
        <v>106.8239883432331</v>
      </c>
      <c r="N76" s="32">
        <f t="shared" si="22"/>
        <v>106.8239883432331</v>
      </c>
      <c r="O76" s="33">
        <f t="shared" si="20"/>
        <v>-8.2232767364728954E-2</v>
      </c>
      <c r="P76" s="52">
        <f t="shared" si="20"/>
        <v>0</v>
      </c>
    </row>
    <row r="77" spans="2:16" ht="15" thickBot="1">
      <c r="B77" s="515" t="s">
        <v>132</v>
      </c>
      <c r="C77" s="516"/>
      <c r="D77" s="35">
        <f t="shared" si="21"/>
        <v>180.77629001958277</v>
      </c>
      <c r="E77" s="35">
        <f t="shared" si="21"/>
        <v>174.21946086777697</v>
      </c>
      <c r="F77" s="35">
        <f t="shared" si="21"/>
        <v>174.21946086777697</v>
      </c>
      <c r="G77" s="36">
        <f t="shared" si="19"/>
        <v>-3.6270404437968695E-2</v>
      </c>
      <c r="H77" s="53">
        <f t="shared" si="19"/>
        <v>0</v>
      </c>
      <c r="J77" s="515" t="s">
        <v>132</v>
      </c>
      <c r="K77" s="516"/>
      <c r="L77" s="35">
        <f t="shared" si="22"/>
        <v>173.30771888145853</v>
      </c>
      <c r="M77" s="35">
        <f t="shared" si="22"/>
        <v>167.86381591294301</v>
      </c>
      <c r="N77" s="35">
        <f t="shared" si="22"/>
        <v>167.86381591294301</v>
      </c>
      <c r="O77" s="36">
        <f t="shared" si="20"/>
        <v>-3.1411774407111737E-2</v>
      </c>
      <c r="P77" s="53">
        <f t="shared" si="20"/>
        <v>0</v>
      </c>
    </row>
    <row r="78" spans="2:16" ht="15" thickBot="1">
      <c r="B78" s="38"/>
      <c r="C78" s="38"/>
      <c r="D78" s="87"/>
      <c r="E78" s="87"/>
      <c r="F78" s="87"/>
      <c r="G78" s="88"/>
      <c r="H78" s="88"/>
      <c r="J78" s="38"/>
      <c r="K78" s="38"/>
      <c r="L78" s="87"/>
      <c r="M78" s="87"/>
      <c r="N78" s="87"/>
      <c r="O78" s="88"/>
      <c r="P78" s="88"/>
    </row>
    <row r="79" spans="2:16" ht="15" hidden="1" thickBot="1">
      <c r="D79" s="20">
        <v>2</v>
      </c>
      <c r="E79" s="20">
        <v>4</v>
      </c>
      <c r="F79" s="20">
        <v>6</v>
      </c>
      <c r="L79" s="20">
        <v>2</v>
      </c>
      <c r="M79" s="20">
        <v>4</v>
      </c>
      <c r="N79" s="20">
        <v>6</v>
      </c>
    </row>
    <row r="80" spans="2:16">
      <c r="B80" s="510" t="s">
        <v>258</v>
      </c>
      <c r="C80" s="511"/>
      <c r="D80" s="511"/>
      <c r="E80" s="511"/>
      <c r="F80" s="511"/>
      <c r="G80" s="511"/>
      <c r="H80" s="512"/>
      <c r="J80" s="510" t="s">
        <v>267</v>
      </c>
      <c r="K80" s="511"/>
      <c r="L80" s="511"/>
      <c r="M80" s="511"/>
      <c r="N80" s="511"/>
      <c r="O80" s="511"/>
      <c r="P80" s="512"/>
    </row>
    <row r="81" spans="1:16" ht="29">
      <c r="B81" s="30"/>
      <c r="C81" s="31"/>
      <c r="D81" s="14">
        <f>$D$25</f>
        <v>46023</v>
      </c>
      <c r="E81" s="14">
        <f>$E$25</f>
        <v>46082</v>
      </c>
      <c r="F81" s="17" t="s">
        <v>20</v>
      </c>
      <c r="G81" s="17" t="str">
        <f>$G$25</f>
        <v>% Change over 01/1/2026</v>
      </c>
      <c r="H81" s="4" t="str">
        <f>$H$25</f>
        <v>% Change over 03/1/2026</v>
      </c>
      <c r="J81" s="30"/>
      <c r="K81" s="31"/>
      <c r="L81" s="14">
        <f>$D$25</f>
        <v>46023</v>
      </c>
      <c r="M81" s="14">
        <f>$E$25</f>
        <v>46082</v>
      </c>
      <c r="N81" s="17" t="s">
        <v>20</v>
      </c>
      <c r="O81" s="17" t="str">
        <f>$G$25</f>
        <v>% Change over 01/1/2026</v>
      </c>
      <c r="P81" s="4" t="str">
        <f>$H$25</f>
        <v>% Change over 03/1/2026</v>
      </c>
    </row>
    <row r="82" spans="1:16">
      <c r="B82" s="513" t="str">
        <f>$D$3&amp;"kWh Monthly Usage - Non-CARE"</f>
        <v>500kWh Monthly Usage - Non-CARE</v>
      </c>
      <c r="C82" s="514"/>
      <c r="D82" s="32">
        <f>VLOOKUP($D$4,'Hypothetical Res Bill Impact'!$B$101:$H$111,D79,FALSE)</f>
        <v>208.49081775000002</v>
      </c>
      <c r="E82" s="32">
        <f>VLOOKUP($D$4,'Hypothetical Res Bill Impact'!$B$101:$H$111,E79,FALSE)</f>
        <v>203.37647673360286</v>
      </c>
      <c r="F82" s="32">
        <f>VLOOKUP($D$4,'Hypothetical Res Bill Impact'!$B$101:$H$111,F79,FALSE)</f>
        <v>203.37647673360286</v>
      </c>
      <c r="G82" s="33">
        <f t="shared" ref="G82:H84" si="23">$F82/D82-1</f>
        <v>-2.4530293811450887E-2</v>
      </c>
      <c r="H82" s="52">
        <f t="shared" si="23"/>
        <v>0</v>
      </c>
      <c r="J82" s="513" t="str">
        <f>$D$3&amp;"kWh Monthly Usage - Non-CARE"</f>
        <v>500kWh Monthly Usage - Non-CARE</v>
      </c>
      <c r="K82" s="514"/>
      <c r="L82" s="32">
        <f>VLOOKUP($D$4,'Hypothetical Res Bill Impact'!$J$101:$P$111,L79,FALSE)</f>
        <v>212.275964375</v>
      </c>
      <c r="M82" s="32">
        <f>VLOOKUP($D$4,'Hypothetical Res Bill Impact'!$J$101:$P$111,M79,FALSE)</f>
        <v>206.59749069661959</v>
      </c>
      <c r="N82" s="32">
        <f>VLOOKUP($D$4,'Hypothetical Res Bill Impact'!$J$101:$P$111,N79,FALSE)</f>
        <v>206.59749069661959</v>
      </c>
      <c r="O82" s="33">
        <f t="shared" ref="O82:P84" si="24">$N82/L82-1</f>
        <v>-2.6750431661443308E-2</v>
      </c>
      <c r="P82" s="51">
        <f t="shared" si="24"/>
        <v>0</v>
      </c>
    </row>
    <row r="83" spans="1:16">
      <c r="B83" s="513" t="str">
        <f>$D$3&amp;"kWh Monthly Usage - CARE"</f>
        <v>500kWh Monthly Usage - CARE</v>
      </c>
      <c r="C83" s="514"/>
      <c r="D83" s="32">
        <f>VLOOKUP($D$4,'Hypothetical Res Bill Impact'!$B$116:$H$126,D79,FALSE)</f>
        <v>127.660466125</v>
      </c>
      <c r="E83" s="32">
        <f>VLOOKUP($D$4,'Hypothetical Res Bill Impact'!$B$116:$H$126,E79,FALSE)</f>
        <v>117.30931531662785</v>
      </c>
      <c r="F83" s="32">
        <f>VLOOKUP($D$4,'Hypothetical Res Bill Impact'!$B$116:$H$126,F79,FALSE)</f>
        <v>117.30931531662785</v>
      </c>
      <c r="G83" s="33">
        <f t="shared" si="23"/>
        <v>-8.1083448326412344E-2</v>
      </c>
      <c r="H83" s="52">
        <f t="shared" si="23"/>
        <v>0</v>
      </c>
      <c r="J83" s="513" t="str">
        <f>$D$3&amp;"kWh Monthly Usage - CARE"</f>
        <v>500kWh Monthly Usage - CARE</v>
      </c>
      <c r="K83" s="514"/>
      <c r="L83" s="32">
        <f>VLOOKUP($D$4,'Hypothetical Res Bill Impact'!$J$116:$P$126,L79,FALSE)</f>
        <v>130.12045531250001</v>
      </c>
      <c r="M83" s="32">
        <f>VLOOKUP($D$4,'Hypothetical Res Bill Impact'!$J$116:$P$126,M79,FALSE)</f>
        <v>119.40297439258876</v>
      </c>
      <c r="N83" s="32">
        <f>VLOOKUP($D$4,'Hypothetical Res Bill Impact'!$J$116:$P$126,N79,FALSE)</f>
        <v>119.40297439258876</v>
      </c>
      <c r="O83" s="33">
        <f t="shared" si="24"/>
        <v>-8.2365842435548897E-2</v>
      </c>
      <c r="P83" s="52">
        <f t="shared" si="24"/>
        <v>0</v>
      </c>
    </row>
    <row r="84" spans="1:16" ht="15" thickBot="1">
      <c r="B84" s="515" t="s">
        <v>132</v>
      </c>
      <c r="C84" s="516"/>
      <c r="D84" s="35">
        <f>D82*(1-'Hypothetical SAR and RAR'!$Y$16)+D83*'Hypothetical SAR and RAR'!$Y$16</f>
        <v>186.63014992520135</v>
      </c>
      <c r="E84" s="35">
        <f>E82*(1-'Hypothetical SAR and RAR'!$Y$16)+E83*'Hypothetical SAR and RAR'!$Y$16</f>
        <v>180.0995072718259</v>
      </c>
      <c r="F84" s="35">
        <f>F82*(1-'Hypothetical SAR and RAR'!$Y$16)+F83*'Hypothetical SAR and RAR'!$Y$16</f>
        <v>180.0995072718259</v>
      </c>
      <c r="G84" s="36">
        <f t="shared" si="23"/>
        <v>-3.4992431051428907E-2</v>
      </c>
      <c r="H84" s="53">
        <f t="shared" si="23"/>
        <v>0</v>
      </c>
      <c r="J84" s="515" t="s">
        <v>132</v>
      </c>
      <c r="K84" s="516"/>
      <c r="L84" s="35">
        <f>L82*(1-'Hypothetical SAR and RAR'!$Y$16)+L83*'Hypothetical SAR and RAR'!$Y$16</f>
        <v>190.05690609445838</v>
      </c>
      <c r="M84" s="35">
        <f>M82*(1-'Hypothetical SAR and RAR'!$Y$16)+M83*'Hypothetical SAR and RAR'!$Y$16</f>
        <v>183.01562672169086</v>
      </c>
      <c r="N84" s="35">
        <f>N82*(1-'Hypothetical SAR and RAR'!$Y$16)+N83*'Hypothetical SAR and RAR'!$Y$16</f>
        <v>183.01562672169086</v>
      </c>
      <c r="O84" s="36">
        <f t="shared" si="24"/>
        <v>-3.7048268949869123E-2</v>
      </c>
      <c r="P84" s="53">
        <f t="shared" si="24"/>
        <v>0</v>
      </c>
    </row>
    <row r="85" spans="1:16" ht="15" thickBot="1">
      <c r="B85" s="38"/>
      <c r="C85" s="38"/>
      <c r="D85" s="87"/>
      <c r="E85" s="87"/>
      <c r="F85" s="87"/>
      <c r="G85" s="88"/>
      <c r="H85" s="88"/>
      <c r="J85" s="38"/>
      <c r="K85" s="38"/>
      <c r="L85" s="87"/>
      <c r="M85" s="87"/>
      <c r="N85" s="87"/>
      <c r="O85" s="88"/>
      <c r="P85" s="88"/>
    </row>
    <row r="86" spans="1:16" ht="15" hidden="1" thickBot="1">
      <c r="D86" s="20">
        <v>3</v>
      </c>
      <c r="E86" s="20">
        <v>5</v>
      </c>
      <c r="F86" s="20">
        <v>7</v>
      </c>
      <c r="L86" s="20">
        <v>3</v>
      </c>
      <c r="M86" s="20">
        <v>5</v>
      </c>
      <c r="N86" s="20">
        <v>7</v>
      </c>
    </row>
    <row r="87" spans="1:16">
      <c r="B87" s="510" t="s">
        <v>259</v>
      </c>
      <c r="C87" s="511"/>
      <c r="D87" s="511"/>
      <c r="E87" s="511"/>
      <c r="F87" s="511"/>
      <c r="G87" s="511"/>
      <c r="H87" s="512"/>
      <c r="J87" s="510" t="s">
        <v>268</v>
      </c>
      <c r="K87" s="511"/>
      <c r="L87" s="511"/>
      <c r="M87" s="511"/>
      <c r="N87" s="511"/>
      <c r="O87" s="511"/>
      <c r="P87" s="512"/>
    </row>
    <row r="88" spans="1:16" ht="29">
      <c r="B88" s="30"/>
      <c r="C88" s="31"/>
      <c r="D88" s="14">
        <f>$D$25</f>
        <v>46023</v>
      </c>
      <c r="E88" s="14">
        <f>$E$25</f>
        <v>46082</v>
      </c>
      <c r="F88" s="17" t="s">
        <v>20</v>
      </c>
      <c r="G88" s="17" t="str">
        <f>$G$25</f>
        <v>% Change over 01/1/2026</v>
      </c>
      <c r="H88" s="4" t="str">
        <f>$H$25</f>
        <v>% Change over 03/1/2026</v>
      </c>
      <c r="J88" s="30"/>
      <c r="K88" s="31"/>
      <c r="L88" s="14">
        <f>$D$25</f>
        <v>46023</v>
      </c>
      <c r="M88" s="14">
        <f>$E$25</f>
        <v>46082</v>
      </c>
      <c r="N88" s="17" t="s">
        <v>20</v>
      </c>
      <c r="O88" s="17" t="str">
        <f>$G$25</f>
        <v>% Change over 01/1/2026</v>
      </c>
      <c r="P88" s="4" t="str">
        <f>$H$25</f>
        <v>% Change over 03/1/2026</v>
      </c>
    </row>
    <row r="89" spans="1:16">
      <c r="B89" s="513" t="str">
        <f>$D$3&amp;"kWh Monthly Usage - Non-CARE"</f>
        <v>500kWh Monthly Usage - Non-CARE</v>
      </c>
      <c r="C89" s="514"/>
      <c r="D89" s="32">
        <f>VLOOKUP($D$4,'Hypothetical Res Bill Impact'!$B$101:$H$111,D86,FALSE)</f>
        <v>208.78198287500001</v>
      </c>
      <c r="E89" s="32">
        <f>VLOOKUP($D$4,'Hypothetical Res Bill Impact'!$B$101:$H$111,E86,FALSE)</f>
        <v>203.62424703845031</v>
      </c>
      <c r="F89" s="32">
        <f>VLOOKUP($D$4,'Hypothetical Res Bill Impact'!$B$101:$H$111,F86,FALSE)</f>
        <v>203.62424703845031</v>
      </c>
      <c r="G89" s="33">
        <f t="shared" ref="G89:H91" si="25">$F89/D89-1</f>
        <v>-2.4703931658881184E-2</v>
      </c>
      <c r="H89" s="52">
        <f t="shared" si="25"/>
        <v>0</v>
      </c>
      <c r="J89" s="513" t="str">
        <f>$D$3&amp;"kWh Monthly Usage - Non-CARE"</f>
        <v>500kWh Monthly Usage - Non-CARE</v>
      </c>
      <c r="K89" s="514"/>
      <c r="L89" s="32">
        <f>VLOOKUP($D$4,'Hypothetical Res Bill Impact'!$J$101:$P$111,L86,FALSE)</f>
        <v>194.51489175</v>
      </c>
      <c r="M89" s="32">
        <f>VLOOKUP($D$4,'Hypothetical Res Bill Impact'!$J$101:$P$111,M86,FALSE)</f>
        <v>191.48350210092562</v>
      </c>
      <c r="N89" s="32">
        <f>VLOOKUP($D$4,'Hypothetical Res Bill Impact'!$J$101:$P$111,N86,FALSE)</f>
        <v>191.48350210092562</v>
      </c>
      <c r="O89" s="33">
        <f t="shared" ref="O89:P91" si="26">$N89/L89-1</f>
        <v>-1.5584357690055284E-2</v>
      </c>
      <c r="P89" s="51">
        <f t="shared" si="26"/>
        <v>0</v>
      </c>
    </row>
    <row r="90" spans="1:16">
      <c r="B90" s="513" t="str">
        <f>$D$3&amp;"kWh Monthly Usage - CARE"</f>
        <v>500kWh Monthly Usage - CARE</v>
      </c>
      <c r="C90" s="514"/>
      <c r="D90" s="32">
        <f>VLOOKUP($D$4,'Hypothetical Res Bill Impact'!$B$116:$H$126,D86,FALSE)</f>
        <v>127.84969606249999</v>
      </c>
      <c r="E90" s="32">
        <f>VLOOKUP($D$4,'Hypothetical Res Bill Impact'!$B$116:$H$126,E86,FALSE)</f>
        <v>117.47036601477868</v>
      </c>
      <c r="F90" s="32">
        <f>VLOOKUP($D$4,'Hypothetical Res Bill Impact'!$B$116:$H$126,F86,FALSE)</f>
        <v>117.47036601477868</v>
      </c>
      <c r="G90" s="33">
        <f t="shared" si="25"/>
        <v>-8.1183846089452727E-2</v>
      </c>
      <c r="H90" s="52">
        <f t="shared" si="25"/>
        <v>0</v>
      </c>
      <c r="J90" s="513" t="str">
        <f>$D$3&amp;"kWh Monthly Usage - CARE"</f>
        <v>500kWh Monthly Usage - CARE</v>
      </c>
      <c r="K90" s="514"/>
      <c r="L90" s="32">
        <f>VLOOKUP($D$4,'Hypothetical Res Bill Impact'!$J$116:$P$126,L86,FALSE)</f>
        <v>118.57742912499999</v>
      </c>
      <c r="M90" s="32">
        <f>VLOOKUP($D$4,'Hypothetical Res Bill Impact'!$J$116:$P$126,M86,FALSE)</f>
        <v>109.57888180538751</v>
      </c>
      <c r="N90" s="32">
        <f>VLOOKUP($D$4,'Hypothetical Res Bill Impact'!$J$116:$P$126,N86,FALSE)</f>
        <v>109.57888180538751</v>
      </c>
      <c r="O90" s="33">
        <f t="shared" si="26"/>
        <v>-7.588752249069719E-2</v>
      </c>
      <c r="P90" s="52">
        <f t="shared" si="26"/>
        <v>0</v>
      </c>
    </row>
    <row r="91" spans="1:16" ht="15" thickBot="1">
      <c r="B91" s="515" t="s">
        <v>132</v>
      </c>
      <c r="C91" s="516"/>
      <c r="D91" s="35">
        <f>D89*(1-'Hypothetical SAR and RAR'!$Y$16)+D90*'Hypothetical SAR and RAR'!$Y$16</f>
        <v>186.89374655360575</v>
      </c>
      <c r="E91" s="35">
        <f>E89*(1-'Hypothetical SAR and RAR'!$Y$16)+E90*'Hypothetical SAR and RAR'!$Y$16</f>
        <v>180.32382415258476</v>
      </c>
      <c r="F91" s="35">
        <f>F89*(1-'Hypothetical SAR and RAR'!$Y$16)+F90*'Hypothetical SAR and RAR'!$Y$16</f>
        <v>180.32382415258476</v>
      </c>
      <c r="G91" s="36">
        <f t="shared" si="25"/>
        <v>-3.5153248956548588E-2</v>
      </c>
      <c r="H91" s="53">
        <f t="shared" si="25"/>
        <v>0</v>
      </c>
      <c r="J91" s="515" t="s">
        <v>132</v>
      </c>
      <c r="K91" s="516"/>
      <c r="L91" s="35">
        <f>L89*(1-'Hypothetical SAR and RAR'!$Y$16)+L90*'Hypothetical SAR and RAR'!$Y$16</f>
        <v>173.97751176179082</v>
      </c>
      <c r="M91" s="35">
        <f>M89*(1-'Hypothetical SAR and RAR'!$Y$16)+M90*'Hypothetical SAR and RAR'!$Y$16</f>
        <v>169.33229699540138</v>
      </c>
      <c r="N91" s="35">
        <f>N89*(1-'Hypothetical SAR and RAR'!$Y$16)+N90*'Hypothetical SAR and RAR'!$Y$16</f>
        <v>169.33229699540138</v>
      </c>
      <c r="O91" s="36">
        <f t="shared" si="26"/>
        <v>-2.6700087381118842E-2</v>
      </c>
      <c r="P91" s="53">
        <f t="shared" si="26"/>
        <v>0</v>
      </c>
    </row>
    <row r="92" spans="1:16" ht="15" thickBot="1"/>
    <row r="93" spans="1:16">
      <c r="B93" s="507" t="s">
        <v>377</v>
      </c>
      <c r="C93" s="508"/>
      <c r="D93" s="508"/>
      <c r="E93" s="508"/>
      <c r="F93" s="508"/>
      <c r="G93" s="508"/>
      <c r="H93" s="509"/>
      <c r="I93"/>
      <c r="J93"/>
    </row>
    <row r="94" spans="1:16" ht="29">
      <c r="B94" s="30"/>
      <c r="C94" s="31"/>
      <c r="D94" s="14">
        <f>$D$25</f>
        <v>46023</v>
      </c>
      <c r="E94" s="14">
        <f>$E$25</f>
        <v>46082</v>
      </c>
      <c r="F94" s="17" t="s">
        <v>20</v>
      </c>
      <c r="G94" s="17" t="str">
        <f>$G$25</f>
        <v>% Change over 01/1/2026</v>
      </c>
      <c r="H94" s="4" t="str">
        <f>$H$25</f>
        <v>% Change over 03/1/2026</v>
      </c>
      <c r="I94"/>
      <c r="J94"/>
    </row>
    <row r="95" spans="1:16">
      <c r="A95" s="107"/>
      <c r="B95" s="133"/>
      <c r="C95" s="136" t="s">
        <v>345</v>
      </c>
      <c r="D95" s="121">
        <f>('Hypo. Bill Impact (B-1)'!C33*4+'Hypo. Bill Impact (B-1)'!D33*8)/12</f>
        <v>340.70264291666666</v>
      </c>
      <c r="E95" s="121">
        <f>('Hypo. Bill Impact (B-1)'!E33*4+'Hypo. Bill Impact (B-1)'!F33*8)/12</f>
        <v>334.91938291666673</v>
      </c>
      <c r="F95" s="121">
        <f>('Hypo. Bill Impact (B-1)'!G33*4+'Hypo. Bill Impact (B-1)'!H33*8)/12</f>
        <v>334.91938291666673</v>
      </c>
      <c r="G95" s="33">
        <f t="shared" ref="G95:H97" si="27">$F95/D95-1</f>
        <v>-1.6974508769556196E-2</v>
      </c>
      <c r="H95" s="52">
        <f t="shared" si="27"/>
        <v>0</v>
      </c>
      <c r="I95"/>
      <c r="J95"/>
    </row>
    <row r="96" spans="1:16">
      <c r="A96" s="107"/>
      <c r="B96" s="21"/>
      <c r="C96" s="137" t="s">
        <v>344</v>
      </c>
      <c r="D96" s="32">
        <f>('Hypo. Bill Impact (B-1)'!C34*4+'Hypo. Bill Impact (B-1)'!D34*8)/12</f>
        <v>549.26858625</v>
      </c>
      <c r="E96" s="32">
        <f>('Hypo. Bill Impact (B-1)'!E34*4+'Hypo. Bill Impact (B-1)'!F34*8)/12</f>
        <v>539.86548625000012</v>
      </c>
      <c r="F96" s="32">
        <f>('Hypo. Bill Impact (B-1)'!G34*4+'Hypo. Bill Impact (B-1)'!H34*8)/12</f>
        <v>539.86548625000012</v>
      </c>
      <c r="G96" s="33">
        <f t="shared" si="27"/>
        <v>-1.7119311454160013E-2</v>
      </c>
      <c r="H96" s="52">
        <f t="shared" si="27"/>
        <v>0</v>
      </c>
      <c r="I96"/>
      <c r="J96"/>
    </row>
    <row r="97" spans="1:10" ht="15" thickBot="1">
      <c r="A97" s="107"/>
      <c r="B97" s="134"/>
      <c r="C97" s="138" t="s">
        <v>433</v>
      </c>
      <c r="D97" s="35">
        <f>('Hypo. Bill Impact (B-1)'!C35*4+'Hypo. Bill Impact (B-1)'!D35*8)/12</f>
        <v>1226.6826829166666</v>
      </c>
      <c r="E97" s="35">
        <f>('Hypo. Bill Impact (B-1)'!E35*4+'Hypo. Bill Impact (B-1)'!F35*8)/12</f>
        <v>1205.5716629166666</v>
      </c>
      <c r="F97" s="35">
        <f>('Hypo. Bill Impact (B-1)'!G35*4+'Hypo. Bill Impact (B-1)'!H35*8)/12</f>
        <v>1205.5716629166666</v>
      </c>
      <c r="G97" s="36">
        <f t="shared" si="27"/>
        <v>-1.7209845947938729E-2</v>
      </c>
      <c r="H97" s="53">
        <f t="shared" si="27"/>
        <v>0</v>
      </c>
      <c r="I97"/>
      <c r="J97"/>
    </row>
    <row r="98" spans="1:10" ht="15" thickBot="1">
      <c r="I98"/>
      <c r="J98"/>
    </row>
    <row r="99" spans="1:10">
      <c r="B99" s="507" t="s">
        <v>378</v>
      </c>
      <c r="C99" s="508"/>
      <c r="D99" s="508"/>
      <c r="E99" s="508"/>
      <c r="F99" s="508"/>
      <c r="G99" s="508"/>
      <c r="H99" s="509"/>
      <c r="I99"/>
      <c r="J99"/>
    </row>
    <row r="100" spans="1:10" ht="29">
      <c r="B100" s="30"/>
      <c r="C100" s="31"/>
      <c r="D100" s="14">
        <f>$D$25</f>
        <v>46023</v>
      </c>
      <c r="E100" s="14">
        <f>$E$25</f>
        <v>46082</v>
      </c>
      <c r="F100" s="17" t="s">
        <v>20</v>
      </c>
      <c r="G100" s="17" t="str">
        <f>$G$25</f>
        <v>% Change over 01/1/2026</v>
      </c>
      <c r="H100" s="4" t="str">
        <f>$H$25</f>
        <v>% Change over 03/1/2026</v>
      </c>
      <c r="I100"/>
      <c r="J100"/>
    </row>
    <row r="101" spans="1:10">
      <c r="A101" s="107"/>
      <c r="B101" s="21"/>
      <c r="C101" s="136" t="s">
        <v>345</v>
      </c>
      <c r="D101" s="32">
        <f>'Hypo. Bill Impact (B-1)'!C33</f>
        <v>412.32505624999999</v>
      </c>
      <c r="E101" s="32">
        <f>'Hypo. Bill Impact (B-1)'!E33</f>
        <v>405.69339625000009</v>
      </c>
      <c r="F101" s="32">
        <f>'Hypo. Bill Impact (B-1)'!G33</f>
        <v>405.69339625000009</v>
      </c>
      <c r="G101" s="33">
        <f t="shared" ref="G101:H103" si="28">$F101/D101-1</f>
        <v>-1.6083572655790745E-2</v>
      </c>
      <c r="H101" s="52">
        <f t="shared" si="28"/>
        <v>0</v>
      </c>
      <c r="I101"/>
      <c r="J101"/>
    </row>
    <row r="102" spans="1:10">
      <c r="A102" s="107"/>
      <c r="B102" s="21"/>
      <c r="C102" s="137" t="s">
        <v>344</v>
      </c>
      <c r="D102" s="32">
        <f>'Hypo. Bill Impact (B-1)'!C34</f>
        <v>742.40728624999997</v>
      </c>
      <c r="E102" s="32">
        <f>'Hypo. Bill Impact (B-1)'!E34</f>
        <v>730.33172625000009</v>
      </c>
      <c r="F102" s="32">
        <f>'Hypo. Bill Impact (B-1)'!G34</f>
        <v>730.33172625000009</v>
      </c>
      <c r="G102" s="33">
        <f t="shared" si="28"/>
        <v>-1.6265411484570946E-2</v>
      </c>
      <c r="H102" s="52">
        <f t="shared" si="28"/>
        <v>0</v>
      </c>
      <c r="I102"/>
      <c r="J102"/>
    </row>
    <row r="103" spans="1:10" ht="15" thickBot="1">
      <c r="A103" s="107"/>
      <c r="B103" s="134"/>
      <c r="C103" s="138" t="s">
        <v>433</v>
      </c>
      <c r="D103" s="35">
        <f>'Hypo. Bill Impact (B-1)'!C35</f>
        <v>1640.8302962499999</v>
      </c>
      <c r="E103" s="35">
        <f>'Hypo. Bill Impact (B-1)'!E35</f>
        <v>1614.1763962500002</v>
      </c>
      <c r="F103" s="35">
        <f>'Hypo. Bill Impact (B-1)'!G35</f>
        <v>1614.1763962500002</v>
      </c>
      <c r="G103" s="36">
        <f t="shared" si="28"/>
        <v>-1.6244153987719168E-2</v>
      </c>
      <c r="H103" s="53">
        <f t="shared" si="28"/>
        <v>0</v>
      </c>
      <c r="I103"/>
      <c r="J103"/>
    </row>
    <row r="104" spans="1:10" ht="15" thickBot="1">
      <c r="I104"/>
      <c r="J104"/>
    </row>
    <row r="105" spans="1:10">
      <c r="B105" s="507" t="s">
        <v>379</v>
      </c>
      <c r="C105" s="508"/>
      <c r="D105" s="508"/>
      <c r="E105" s="508"/>
      <c r="F105" s="508"/>
      <c r="G105" s="508"/>
      <c r="H105" s="509"/>
      <c r="I105"/>
      <c r="J105"/>
    </row>
    <row r="106" spans="1:10" ht="29">
      <c r="B106" s="30"/>
      <c r="C106" s="31"/>
      <c r="D106" s="14">
        <f>$D$25</f>
        <v>46023</v>
      </c>
      <c r="E106" s="14">
        <f>$E$25</f>
        <v>46082</v>
      </c>
      <c r="F106" s="17" t="s">
        <v>20</v>
      </c>
      <c r="G106" s="17" t="str">
        <f>$G$25</f>
        <v>% Change over 01/1/2026</v>
      </c>
      <c r="H106" s="4" t="str">
        <f>$H$25</f>
        <v>% Change over 03/1/2026</v>
      </c>
      <c r="I106"/>
      <c r="J106"/>
    </row>
    <row r="107" spans="1:10">
      <c r="A107" s="107"/>
      <c r="B107" s="21"/>
      <c r="C107" s="136" t="s">
        <v>345</v>
      </c>
      <c r="D107" s="121">
        <f>'Hypo. Bill Impact (B-1)'!D33</f>
        <v>304.89143624999997</v>
      </c>
      <c r="E107" s="121">
        <f>'Hypo. Bill Impact (B-1)'!F33</f>
        <v>299.53237625000008</v>
      </c>
      <c r="F107" s="121">
        <f>'Hypo. Bill Impact (B-1)'!H33</f>
        <v>299.53237625000008</v>
      </c>
      <c r="G107" s="33">
        <f t="shared" ref="G107:H109" si="29">$F107/D107-1</f>
        <v>-1.757694498052631E-2</v>
      </c>
      <c r="H107" s="52">
        <f t="shared" si="29"/>
        <v>0</v>
      </c>
      <c r="I107"/>
      <c r="J107"/>
    </row>
    <row r="108" spans="1:10">
      <c r="A108" s="107"/>
      <c r="B108" s="21"/>
      <c r="C108" s="137" t="s">
        <v>344</v>
      </c>
      <c r="D108" s="32">
        <f>'Hypo. Bill Impact (B-1)'!D34</f>
        <v>452.69923625000001</v>
      </c>
      <c r="E108" s="32">
        <f>'Hypo. Bill Impact (B-1)'!F34</f>
        <v>444.63236625000002</v>
      </c>
      <c r="F108" s="32">
        <f>'Hypo. Bill Impact (B-1)'!H34</f>
        <v>444.63236625000002</v>
      </c>
      <c r="G108" s="33">
        <f t="shared" si="29"/>
        <v>-1.7819491074964167E-2</v>
      </c>
      <c r="H108" s="52">
        <f t="shared" si="29"/>
        <v>0</v>
      </c>
      <c r="I108"/>
      <c r="J108"/>
    </row>
    <row r="109" spans="1:10" ht="15" thickBot="1">
      <c r="A109" s="107"/>
      <c r="B109" s="135"/>
      <c r="C109" s="138" t="s">
        <v>433</v>
      </c>
      <c r="D109" s="35">
        <f>'Hypo. Bill Impact (B-1)'!D35</f>
        <v>1019.60887625</v>
      </c>
      <c r="E109" s="35">
        <f>'Hypo. Bill Impact (B-1)'!F35</f>
        <v>1001.26929625</v>
      </c>
      <c r="F109" s="35">
        <f>'Hypo. Bill Impact (B-1)'!H35</f>
        <v>1001.26929625</v>
      </c>
      <c r="G109" s="36">
        <f t="shared" si="29"/>
        <v>-1.7986877544113544E-2</v>
      </c>
      <c r="H109" s="53">
        <f t="shared" si="29"/>
        <v>0</v>
      </c>
      <c r="I109"/>
      <c r="J109"/>
    </row>
  </sheetData>
  <mergeCells count="85">
    <mergeCell ref="B93:H93"/>
    <mergeCell ref="B99:H99"/>
    <mergeCell ref="B105:H105"/>
    <mergeCell ref="P9:P10"/>
    <mergeCell ref="Q9:Q10"/>
    <mergeCell ref="B48:C48"/>
    <mergeCell ref="B49:C49"/>
    <mergeCell ref="B38:H38"/>
    <mergeCell ref="B40:C40"/>
    <mergeCell ref="B41:C41"/>
    <mergeCell ref="B42:C42"/>
    <mergeCell ref="B45:H45"/>
    <mergeCell ref="B47:C47"/>
    <mergeCell ref="B35:C35"/>
    <mergeCell ref="B24:H24"/>
    <mergeCell ref="J24:P24"/>
    <mergeCell ref="B25:C25"/>
    <mergeCell ref="J25:K25"/>
    <mergeCell ref="B26:C26"/>
    <mergeCell ref="J49:K49"/>
    <mergeCell ref="B62:C62"/>
    <mergeCell ref="J35:K35"/>
    <mergeCell ref="J38:P38"/>
    <mergeCell ref="J40:K40"/>
    <mergeCell ref="B52:H52"/>
    <mergeCell ref="J52:P52"/>
    <mergeCell ref="B54:C54"/>
    <mergeCell ref="J54:K54"/>
    <mergeCell ref="B55:C55"/>
    <mergeCell ref="J55:K55"/>
    <mergeCell ref="B56:C56"/>
    <mergeCell ref="J56:K56"/>
    <mergeCell ref="J62:K62"/>
    <mergeCell ref="J26:K26"/>
    <mergeCell ref="B28:C28"/>
    <mergeCell ref="J28:K28"/>
    <mergeCell ref="B31:H31"/>
    <mergeCell ref="B33:C33"/>
    <mergeCell ref="J31:P31"/>
    <mergeCell ref="J33:K33"/>
    <mergeCell ref="J41:K41"/>
    <mergeCell ref="J42:K42"/>
    <mergeCell ref="J45:P45"/>
    <mergeCell ref="J47:K47"/>
    <mergeCell ref="J48:K48"/>
    <mergeCell ref="B34:C34"/>
    <mergeCell ref="J34:K34"/>
    <mergeCell ref="B59:H59"/>
    <mergeCell ref="B84:C84"/>
    <mergeCell ref="J84:K84"/>
    <mergeCell ref="B69:C69"/>
    <mergeCell ref="J69:K69"/>
    <mergeCell ref="B73:H73"/>
    <mergeCell ref="J73:P73"/>
    <mergeCell ref="J82:K82"/>
    <mergeCell ref="B83:C83"/>
    <mergeCell ref="J83:K83"/>
    <mergeCell ref="J70:K70"/>
    <mergeCell ref="B66:H66"/>
    <mergeCell ref="J66:P66"/>
    <mergeCell ref="B68:C68"/>
    <mergeCell ref="J68:K68"/>
    <mergeCell ref="B63:C63"/>
    <mergeCell ref="B90:C90"/>
    <mergeCell ref="J90:K90"/>
    <mergeCell ref="B91:C91"/>
    <mergeCell ref="J91:K91"/>
    <mergeCell ref="B87:H87"/>
    <mergeCell ref="J87:P87"/>
    <mergeCell ref="J59:P59"/>
    <mergeCell ref="B61:C61"/>
    <mergeCell ref="J61:K61"/>
    <mergeCell ref="B89:C89"/>
    <mergeCell ref="J89:K89"/>
    <mergeCell ref="B70:C70"/>
    <mergeCell ref="B77:C77"/>
    <mergeCell ref="B75:C75"/>
    <mergeCell ref="J75:K75"/>
    <mergeCell ref="B76:C76"/>
    <mergeCell ref="J76:K76"/>
    <mergeCell ref="J77:K77"/>
    <mergeCell ref="B80:H80"/>
    <mergeCell ref="J80:P80"/>
    <mergeCell ref="B82:C82"/>
    <mergeCell ref="J63:K63"/>
  </mergeCells>
  <dataValidations disablePrompts="1" count="1">
    <dataValidation type="list" allowBlank="1" showInputMessage="1" showErrorMessage="1" sqref="D5" xr:uid="{85554D0C-E8E7-49D6-B531-468D179257D3}">
      <formula1>"Y, N"</formula1>
    </dataValidation>
  </dataValidations>
  <pageMargins left="0.7" right="0.7" top="0.75" bottom="0.75" header="0.3" footer="0.3"/>
  <pageSetup orientation="portrait" horizontalDpi="1200" verticalDpi="1200" r:id="rId1"/>
  <headerFooter>
    <oddHeader>&amp;R&amp;F</oddHeader>
    <oddFooter xml:space="preserve">&amp;C_x000D_&amp;1#&amp;"Aptos"&amp;12&amp;K000000 Public </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67E9E33-7033-4350-B138-757404B7D695}">
          <x14:formula1>
            <xm:f>'Hypothetical Res Bill Impact'!$B$37:$B$47</xm:f>
          </x14:formula1>
          <xm:sqref>D4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77218-C889-4585-8412-A28641D7EF4B}">
  <sheetPr codeName="Sheet7">
    <tabColor rgb="FF92D050"/>
    <pageSetUpPr autoPageBreaks="0"/>
  </sheetPr>
  <dimension ref="B1:AF83"/>
  <sheetViews>
    <sheetView tabSelected="1" workbookViewId="0"/>
  </sheetViews>
  <sheetFormatPr defaultColWidth="8.81640625" defaultRowHeight="15.5"/>
  <cols>
    <col min="1" max="1" width="3.54296875" style="139" customWidth="1"/>
    <col min="2" max="3" width="19.453125" style="139" customWidth="1"/>
    <col min="4" max="4" width="10.54296875" style="139" customWidth="1"/>
    <col min="5" max="5" width="22" style="139" customWidth="1"/>
    <col min="6" max="6" width="13.54296875" style="139" customWidth="1"/>
    <col min="7" max="7" width="18.81640625" style="139" bestFit="1" customWidth="1"/>
    <col min="8" max="8" width="16" style="139" customWidth="1"/>
    <col min="9" max="9" width="15.1796875" style="139" customWidth="1"/>
    <col min="10" max="10" width="15.453125" style="139" bestFit="1" customWidth="1"/>
    <col min="11" max="13" width="15.453125" style="139" customWidth="1"/>
    <col min="14" max="14" width="13" style="139" customWidth="1"/>
    <col min="15" max="15" width="15.54296875" style="139" customWidth="1"/>
    <col min="16" max="16" width="17.453125" style="139" customWidth="1"/>
    <col min="17" max="18" width="14" style="139" customWidth="1"/>
    <col min="19" max="19" width="21.54296875" style="139" customWidth="1"/>
    <col min="20" max="20" width="15" style="139" customWidth="1"/>
    <col min="21" max="21" width="18" style="139" customWidth="1"/>
    <col min="22" max="22" width="15.81640625" style="139" bestFit="1" customWidth="1"/>
    <col min="23" max="24" width="20.1796875" style="139" customWidth="1"/>
    <col min="25" max="25" width="12.7265625" style="139" bestFit="1" customWidth="1"/>
    <col min="26" max="26" width="20.1796875" style="139" bestFit="1" customWidth="1"/>
    <col min="27" max="27" width="13.7265625" style="139" bestFit="1" customWidth="1"/>
    <col min="28" max="28" width="10.81640625" style="139" bestFit="1" customWidth="1"/>
    <col min="29" max="29" width="14.453125" style="139" bestFit="1" customWidth="1"/>
    <col min="30" max="30" width="15" style="139" customWidth="1"/>
    <col min="31" max="31" width="10.81640625" style="139" bestFit="1" customWidth="1"/>
    <col min="32" max="32" width="14.453125" style="139" bestFit="1" customWidth="1"/>
    <col min="33" max="16384" width="8.81640625" style="139"/>
  </cols>
  <sheetData>
    <row r="1" spans="2:25">
      <c r="B1" s="569"/>
      <c r="C1" s="569"/>
      <c r="D1" s="569"/>
      <c r="E1" s="569"/>
      <c r="F1" s="569"/>
      <c r="G1" s="569"/>
      <c r="H1" s="569"/>
      <c r="I1" s="569"/>
      <c r="J1" s="569"/>
      <c r="K1" s="569"/>
      <c r="L1" s="569"/>
      <c r="M1" s="569"/>
      <c r="N1" s="569"/>
      <c r="O1" s="569"/>
      <c r="P1" s="569"/>
      <c r="Q1" s="569"/>
      <c r="R1" s="569"/>
      <c r="S1" s="569"/>
      <c r="T1" s="569"/>
      <c r="U1" s="569"/>
      <c r="V1" s="569"/>
      <c r="W1" s="569"/>
    </row>
    <row r="2" spans="2:25">
      <c r="B2" s="57"/>
      <c r="C2" s="204"/>
      <c r="D2" s="57"/>
      <c r="E2" s="57"/>
      <c r="F2" s="57"/>
      <c r="G2" s="57"/>
      <c r="H2" s="57"/>
      <c r="I2" s="57"/>
      <c r="J2" s="57"/>
      <c r="K2" s="57"/>
      <c r="L2" s="57"/>
      <c r="M2" s="57"/>
      <c r="N2" s="57"/>
      <c r="O2" s="57"/>
      <c r="P2" s="57"/>
      <c r="Q2" s="57"/>
      <c r="R2" s="57"/>
      <c r="S2" s="57"/>
      <c r="T2" s="57"/>
      <c r="U2" s="57"/>
      <c r="V2" s="57"/>
      <c r="W2" s="57"/>
    </row>
    <row r="3" spans="2:25">
      <c r="B3" s="206"/>
      <c r="C3" s="207" t="s">
        <v>191</v>
      </c>
      <c r="P3" s="208"/>
      <c r="Q3" s="208"/>
      <c r="R3" s="208"/>
      <c r="S3" s="208"/>
      <c r="T3" s="208"/>
      <c r="U3" s="208"/>
      <c r="V3" s="208"/>
      <c r="W3" s="208"/>
    </row>
    <row r="4" spans="2:25">
      <c r="B4" s="209" t="s">
        <v>3</v>
      </c>
      <c r="C4" s="210">
        <f>'Hypothetical Summary'!D7</f>
        <v>0</v>
      </c>
      <c r="F4" s="545" t="s">
        <v>172</v>
      </c>
      <c r="G4" s="545"/>
      <c r="H4" s="545"/>
      <c r="I4" s="545"/>
      <c r="J4" s="545"/>
      <c r="K4" s="545"/>
      <c r="L4" s="545"/>
      <c r="M4" s="545"/>
      <c r="N4" s="545"/>
      <c r="O4" s="545"/>
      <c r="Q4" s="226"/>
      <c r="R4" s="211"/>
      <c r="S4" s="211"/>
      <c r="T4" s="211"/>
      <c r="U4" s="211"/>
      <c r="V4" s="211"/>
      <c r="W4" s="211"/>
      <c r="X4" s="211"/>
      <c r="Y4" s="211"/>
    </row>
    <row r="5" spans="2:25" ht="31">
      <c r="B5" s="209" t="s">
        <v>14</v>
      </c>
      <c r="C5" s="210">
        <f>'Hypothetical Summary'!D8</f>
        <v>0</v>
      </c>
      <c r="E5" s="5"/>
      <c r="F5" s="6" t="s">
        <v>3</v>
      </c>
      <c r="G5" s="6" t="s">
        <v>5</v>
      </c>
      <c r="H5" s="6" t="s">
        <v>16</v>
      </c>
      <c r="I5" s="6" t="s">
        <v>173</v>
      </c>
      <c r="J5" s="6" t="s">
        <v>14</v>
      </c>
      <c r="K5" s="6" t="s">
        <v>10</v>
      </c>
      <c r="L5" s="6" t="s">
        <v>66</v>
      </c>
      <c r="M5" s="6" t="s">
        <v>127</v>
      </c>
      <c r="N5" s="6" t="s">
        <v>134</v>
      </c>
      <c r="O5" s="6" t="s">
        <v>174</v>
      </c>
      <c r="P5" s="58" t="s">
        <v>656</v>
      </c>
      <c r="Q5" s="6" t="s">
        <v>275</v>
      </c>
      <c r="R5" s="58" t="s">
        <v>207</v>
      </c>
      <c r="S5" s="227" t="s">
        <v>292</v>
      </c>
    </row>
    <row r="6" spans="2:25">
      <c r="B6" s="209" t="s">
        <v>5</v>
      </c>
      <c r="C6" s="210">
        <f>'Hypothetical Summary'!D9</f>
        <v>0</v>
      </c>
      <c r="E6" s="5" t="s">
        <v>18</v>
      </c>
      <c r="F6" s="71">
        <f>'SAR and RAR'!G35</f>
        <v>0.43002922607397048</v>
      </c>
      <c r="G6" s="71">
        <f>'SAR and RAR'!H35</f>
        <v>0.40292282400376112</v>
      </c>
      <c r="H6" s="71">
        <f>'SAR and RAR'!I35</f>
        <v>0.34239546338225313</v>
      </c>
      <c r="I6" s="71">
        <f>'SAR and RAR'!J35</f>
        <v>0.33883276808919272</v>
      </c>
      <c r="J6" s="71">
        <f>'SAR and RAR'!K35</f>
        <v>0.48768036339609455</v>
      </c>
      <c r="K6" s="71">
        <f>'SAR and RAR'!L35</f>
        <v>0.47700509598271423</v>
      </c>
      <c r="L6" s="71">
        <f>'SAR and RAR'!M35</f>
        <v>0.36222602887535721</v>
      </c>
      <c r="M6" s="71">
        <f>'SAR and RAR'!N35</f>
        <v>0.35051136171955549</v>
      </c>
      <c r="N6" s="71">
        <f>'SAR and RAR'!O35</f>
        <v>0.34777168759653521</v>
      </c>
      <c r="O6" s="71">
        <f>'SAR and RAR'!P35</f>
        <v>0.83472389049415474</v>
      </c>
      <c r="P6" s="71">
        <f>'SAR and RAR'!Q35</f>
        <v>0.27230327335928306</v>
      </c>
      <c r="Q6" s="71">
        <f>'SAR and RAR'!R35</f>
        <v>0.33853498987417907</v>
      </c>
      <c r="R6" s="71">
        <f>'SAR and RAR'!S35</f>
        <v>0.35064423154799867</v>
      </c>
      <c r="S6" s="71">
        <f>'SAR and RAR'!T35</f>
        <v>0.3950781842860891</v>
      </c>
    </row>
    <row r="7" spans="2:25">
      <c r="B7" s="209" t="s">
        <v>129</v>
      </c>
      <c r="C7" s="210">
        <f>'Hypothetical Summary'!D10</f>
        <v>0</v>
      </c>
      <c r="E7" s="5"/>
      <c r="F7" s="80"/>
      <c r="G7" s="80"/>
      <c r="H7" s="80"/>
      <c r="I7" s="80"/>
      <c r="J7" s="80"/>
      <c r="K7" s="80"/>
      <c r="L7" s="80"/>
      <c r="M7" s="80"/>
      <c r="N7" s="80"/>
      <c r="O7" s="80"/>
      <c r="P7" s="80"/>
    </row>
    <row r="8" spans="2:25">
      <c r="B8" s="209" t="s">
        <v>66</v>
      </c>
      <c r="C8" s="210">
        <f>'Hypothetical Summary'!D11</f>
        <v>0</v>
      </c>
      <c r="E8" s="211"/>
      <c r="F8" s="545" t="s">
        <v>175</v>
      </c>
      <c r="G8" s="545"/>
      <c r="H8" s="545"/>
      <c r="I8" s="545"/>
      <c r="J8" s="545"/>
      <c r="K8" s="545"/>
      <c r="L8" s="545"/>
      <c r="M8" s="545"/>
      <c r="N8" s="545"/>
      <c r="O8" s="545"/>
      <c r="P8" s="545"/>
      <c r="Q8" s="545"/>
    </row>
    <row r="9" spans="2:25" ht="15.65" customHeight="1">
      <c r="B9" s="209" t="s">
        <v>16</v>
      </c>
      <c r="C9" s="210">
        <f>'Hypothetical Summary'!D12</f>
        <v>0</v>
      </c>
      <c r="E9" s="59"/>
      <c r="F9" s="6" t="s">
        <v>3</v>
      </c>
      <c r="G9" s="6" t="s">
        <v>5</v>
      </c>
      <c r="H9" s="6" t="s">
        <v>16</v>
      </c>
      <c r="I9" s="6" t="s">
        <v>15</v>
      </c>
      <c r="J9" s="6" t="s">
        <v>14</v>
      </c>
      <c r="K9" s="6" t="s">
        <v>10</v>
      </c>
      <c r="L9" s="6" t="s">
        <v>66</v>
      </c>
      <c r="M9" s="6" t="s">
        <v>127</v>
      </c>
      <c r="N9" s="6" t="s">
        <v>134</v>
      </c>
      <c r="O9" s="6" t="s">
        <v>129</v>
      </c>
      <c r="P9" s="43" t="s">
        <v>656</v>
      </c>
      <c r="Q9" s="6" t="s">
        <v>275</v>
      </c>
      <c r="R9" s="58" t="s">
        <v>207</v>
      </c>
      <c r="S9" s="227" t="s">
        <v>292</v>
      </c>
      <c r="T9" s="6" t="s">
        <v>132</v>
      </c>
    </row>
    <row r="10" spans="2:25">
      <c r="B10" s="209" t="s">
        <v>15</v>
      </c>
      <c r="C10" s="210">
        <f>'Hypothetical Summary'!D13</f>
        <v>0</v>
      </c>
      <c r="E10" s="5" t="s">
        <v>18</v>
      </c>
      <c r="F10" s="60">
        <f>F6*F11</f>
        <v>0</v>
      </c>
      <c r="G10" s="60">
        <f>G6*G11</f>
        <v>0</v>
      </c>
      <c r="H10" s="60">
        <f t="shared" ref="H10:P10" si="0">H6*H11</f>
        <v>0</v>
      </c>
      <c r="I10" s="60">
        <f t="shared" si="0"/>
        <v>0</v>
      </c>
      <c r="J10" s="60">
        <f t="shared" si="0"/>
        <v>0</v>
      </c>
      <c r="K10" s="60">
        <f t="shared" si="0"/>
        <v>0</v>
      </c>
      <c r="L10" s="60">
        <f t="shared" si="0"/>
        <v>0</v>
      </c>
      <c r="M10" s="60">
        <f t="shared" si="0"/>
        <v>0</v>
      </c>
      <c r="N10" s="60">
        <f t="shared" si="0"/>
        <v>0</v>
      </c>
      <c r="O10" s="60">
        <f t="shared" si="0"/>
        <v>0</v>
      </c>
      <c r="P10" s="60">
        <f t="shared" si="0"/>
        <v>0</v>
      </c>
      <c r="Q10" s="60">
        <f>Q6*Q11</f>
        <v>0</v>
      </c>
      <c r="R10" s="60">
        <f>R6*R11</f>
        <v>0</v>
      </c>
      <c r="S10" s="60">
        <f>S6*S11</f>
        <v>0</v>
      </c>
      <c r="T10" s="60">
        <f>SUM(F10:S10)</f>
        <v>0</v>
      </c>
    </row>
    <row r="11" spans="2:25">
      <c r="B11" s="209" t="s">
        <v>656</v>
      </c>
      <c r="C11" s="210">
        <f>'Hypothetical Summary'!D14</f>
        <v>0</v>
      </c>
      <c r="E11" s="5" t="s">
        <v>22</v>
      </c>
      <c r="F11" s="61">
        <f>VLOOKUP(F9,$B$4:$C$17,2,FALSE)</f>
        <v>0</v>
      </c>
      <c r="G11" s="61">
        <f t="shared" ref="G11:S11" si="1">VLOOKUP(G9,$B$4:$C$17,2,FALSE)</f>
        <v>0</v>
      </c>
      <c r="H11" s="61">
        <f t="shared" si="1"/>
        <v>0</v>
      </c>
      <c r="I11" s="61">
        <f t="shared" si="1"/>
        <v>0</v>
      </c>
      <c r="J11" s="61">
        <f t="shared" si="1"/>
        <v>0</v>
      </c>
      <c r="K11" s="61">
        <f t="shared" si="1"/>
        <v>0</v>
      </c>
      <c r="L11" s="61">
        <f t="shared" si="1"/>
        <v>0</v>
      </c>
      <c r="M11" s="61">
        <f t="shared" si="1"/>
        <v>0</v>
      </c>
      <c r="N11" s="61">
        <f t="shared" si="1"/>
        <v>0</v>
      </c>
      <c r="O11" s="61">
        <f t="shared" si="1"/>
        <v>0</v>
      </c>
      <c r="P11" s="61">
        <f t="shared" si="1"/>
        <v>0</v>
      </c>
      <c r="Q11" s="61">
        <f t="shared" si="1"/>
        <v>0</v>
      </c>
      <c r="R11" s="61">
        <f t="shared" si="1"/>
        <v>0</v>
      </c>
      <c r="S11" s="61">
        <f t="shared" si="1"/>
        <v>0</v>
      </c>
      <c r="T11" s="61">
        <f>SUM(F11:S11)</f>
        <v>0</v>
      </c>
    </row>
    <row r="12" spans="2:25">
      <c r="B12" s="209" t="s">
        <v>127</v>
      </c>
      <c r="C12" s="210">
        <f>'Hypothetical Summary'!D15</f>
        <v>0</v>
      </c>
      <c r="E12" s="59"/>
    </row>
    <row r="13" spans="2:25" ht="15.65" customHeight="1">
      <c r="B13" s="209" t="s">
        <v>10</v>
      </c>
      <c r="C13" s="210">
        <f>'Hypothetical Summary'!D16</f>
        <v>0</v>
      </c>
      <c r="E13" s="5"/>
      <c r="F13" s="60"/>
      <c r="G13" s="60"/>
      <c r="H13" s="60"/>
      <c r="I13" s="60"/>
      <c r="J13" s="60"/>
      <c r="K13" s="60"/>
      <c r="L13" s="60"/>
      <c r="M13" s="60"/>
      <c r="N13" s="60"/>
      <c r="O13" s="60"/>
      <c r="P13" s="60"/>
      <c r="Q13" s="60"/>
      <c r="R13" s="60"/>
      <c r="S13" s="60"/>
      <c r="T13" s="212"/>
    </row>
    <row r="14" spans="2:25" ht="15.65" customHeight="1">
      <c r="B14" s="209" t="s">
        <v>134</v>
      </c>
      <c r="C14" s="210">
        <f>'Hypothetical Summary'!D17</f>
        <v>0</v>
      </c>
      <c r="E14" s="5"/>
      <c r="F14" s="61"/>
      <c r="G14" s="61"/>
      <c r="H14" s="61"/>
      <c r="I14" s="61"/>
      <c r="J14" s="61"/>
      <c r="K14" s="61"/>
      <c r="L14" s="61"/>
      <c r="M14" s="61"/>
      <c r="N14" s="61"/>
      <c r="O14" s="61"/>
      <c r="P14" s="61"/>
      <c r="Q14" s="61"/>
      <c r="R14" s="61"/>
      <c r="S14" s="61"/>
    </row>
    <row r="15" spans="2:25">
      <c r="B15" s="209" t="s">
        <v>207</v>
      </c>
      <c r="C15" s="210">
        <f>'Hypothetical Summary'!D18</f>
        <v>0</v>
      </c>
      <c r="E15" s="228"/>
      <c r="F15" s="213"/>
      <c r="G15" s="213"/>
      <c r="H15" s="213"/>
      <c r="I15" s="211"/>
      <c r="V15" s="5"/>
      <c r="W15" s="62"/>
      <c r="X15" s="62"/>
    </row>
    <row r="16" spans="2:25">
      <c r="B16" s="209" t="s">
        <v>275</v>
      </c>
      <c r="C16" s="210">
        <f>'Hypothetical Summary'!D19</f>
        <v>0</v>
      </c>
      <c r="T16" s="540"/>
      <c r="U16" s="541"/>
      <c r="V16" s="131"/>
      <c r="X16" s="82" t="s">
        <v>228</v>
      </c>
      <c r="Y16" s="83">
        <v>0.27045122760591062</v>
      </c>
    </row>
    <row r="17" spans="2:32">
      <c r="B17" s="139" t="s">
        <v>292</v>
      </c>
      <c r="C17" s="229">
        <f>'Hypothetical Summary'!D20</f>
        <v>0</v>
      </c>
      <c r="T17" s="100"/>
      <c r="U17" s="101"/>
      <c r="V17" s="131"/>
      <c r="X17" s="82"/>
      <c r="Y17" s="83"/>
    </row>
    <row r="18" spans="2:32">
      <c r="B18" s="209" t="s">
        <v>132</v>
      </c>
      <c r="C18" s="230">
        <f>SUM(C4:C17)</f>
        <v>0</v>
      </c>
      <c r="E18" s="211"/>
      <c r="F18" s="546" t="s">
        <v>176</v>
      </c>
      <c r="G18" s="546"/>
      <c r="H18" s="546"/>
      <c r="I18" s="546"/>
      <c r="J18" s="546"/>
      <c r="K18" s="546"/>
      <c r="L18" s="546"/>
      <c r="M18" s="546"/>
      <c r="N18" s="546"/>
      <c r="O18" s="546"/>
      <c r="P18" s="546"/>
      <c r="Q18" s="259"/>
      <c r="T18" s="543" t="s">
        <v>177</v>
      </c>
      <c r="U18" s="544"/>
      <c r="V18" s="131"/>
      <c r="X18" s="82" t="s">
        <v>229</v>
      </c>
      <c r="Y18" s="83">
        <v>0.35</v>
      </c>
    </row>
    <row r="19" spans="2:32" ht="31">
      <c r="B19" s="7"/>
      <c r="C19" s="210"/>
      <c r="D19" s="211"/>
      <c r="F19" s="58" t="s">
        <v>3</v>
      </c>
      <c r="G19" s="6" t="s">
        <v>5</v>
      </c>
      <c r="H19" s="6" t="s">
        <v>16</v>
      </c>
      <c r="I19" s="6" t="s">
        <v>173</v>
      </c>
      <c r="J19" s="6" t="s">
        <v>14</v>
      </c>
      <c r="K19" s="6" t="s">
        <v>10</v>
      </c>
      <c r="L19" s="6" t="s">
        <v>66</v>
      </c>
      <c r="M19" s="6" t="s">
        <v>127</v>
      </c>
      <c r="N19" s="6" t="s">
        <v>134</v>
      </c>
      <c r="O19" s="6" t="s">
        <v>174</v>
      </c>
      <c r="P19" s="6" t="s">
        <v>656</v>
      </c>
      <c r="Q19" s="6" t="s">
        <v>275</v>
      </c>
      <c r="R19" s="58" t="s">
        <v>207</v>
      </c>
      <c r="S19" s="227" t="s">
        <v>292</v>
      </c>
      <c r="T19" s="132" t="s">
        <v>132</v>
      </c>
      <c r="U19" s="43" t="s">
        <v>178</v>
      </c>
      <c r="V19" s="131"/>
      <c r="X19" s="82" t="s">
        <v>192</v>
      </c>
      <c r="Y19" s="61">
        <f>SUM(G10:N10,R10:S10,F10/G20)*Y16*Y18</f>
        <v>0</v>
      </c>
    </row>
    <row r="20" spans="2:32">
      <c r="B20" s="7"/>
      <c r="C20" s="210"/>
      <c r="E20" s="5" t="s">
        <v>18</v>
      </c>
      <c r="F20" s="71">
        <v>1</v>
      </c>
      <c r="G20" s="71">
        <f>$E29/$O29</f>
        <v>0.3886737227775372</v>
      </c>
      <c r="H20" s="71">
        <f t="shared" ref="H20:P20" si="2">$E29/$O29</f>
        <v>0.3886737227775372</v>
      </c>
      <c r="I20" s="71">
        <f t="shared" si="2"/>
        <v>0.3886737227775372</v>
      </c>
      <c r="J20" s="71">
        <f t="shared" si="2"/>
        <v>0.3886737227775372</v>
      </c>
      <c r="K20" s="71">
        <f t="shared" si="2"/>
        <v>0.3886737227775372</v>
      </c>
      <c r="L20" s="71">
        <f t="shared" si="2"/>
        <v>0.3886737227775372</v>
      </c>
      <c r="M20" s="71">
        <f t="shared" si="2"/>
        <v>0.3886737227775372</v>
      </c>
      <c r="N20" s="71">
        <f t="shared" si="2"/>
        <v>0.3886737227775372</v>
      </c>
      <c r="O20" s="71">
        <f t="shared" si="2"/>
        <v>0.3886737227775372</v>
      </c>
      <c r="P20" s="71">
        <f t="shared" si="2"/>
        <v>0.3886737227775372</v>
      </c>
      <c r="Q20" s="71">
        <f t="shared" ref="Q20:S21" si="3">$E29/$O29</f>
        <v>0.3886737227775372</v>
      </c>
      <c r="R20" s="71">
        <f t="shared" si="3"/>
        <v>0.3886737227775372</v>
      </c>
      <c r="S20" s="71">
        <f t="shared" si="3"/>
        <v>0.3886737227775372</v>
      </c>
      <c r="T20" s="84">
        <f>SUMPRODUCT(F10:S10,F20:S20)</f>
        <v>0</v>
      </c>
      <c r="U20" s="63">
        <f>T20-((Y19+Y22)*G20)</f>
        <v>0</v>
      </c>
      <c r="V20" s="84"/>
      <c r="X20" s="82" t="s">
        <v>226</v>
      </c>
      <c r="Y20" s="60">
        <v>19358300.385786124</v>
      </c>
    </row>
    <row r="21" spans="2:32">
      <c r="B21" s="7"/>
      <c r="C21" s="7"/>
      <c r="E21" s="5" t="s">
        <v>22</v>
      </c>
      <c r="F21" s="71">
        <v>1</v>
      </c>
      <c r="G21" s="71">
        <f>$E30/$O30</f>
        <v>0.32886186544742674</v>
      </c>
      <c r="H21" s="71">
        <f t="shared" ref="H21:P21" si="4">$E30/$O30</f>
        <v>0.32886186544742674</v>
      </c>
      <c r="I21" s="71">
        <f t="shared" si="4"/>
        <v>0.32886186544742674</v>
      </c>
      <c r="J21" s="71">
        <f t="shared" si="4"/>
        <v>0.32886186544742674</v>
      </c>
      <c r="K21" s="71">
        <f t="shared" si="4"/>
        <v>0.32886186544742674</v>
      </c>
      <c r="L21" s="71">
        <f t="shared" si="4"/>
        <v>0.32886186544742674</v>
      </c>
      <c r="M21" s="71">
        <f t="shared" si="4"/>
        <v>0.32886186544742674</v>
      </c>
      <c r="N21" s="71">
        <f t="shared" si="4"/>
        <v>0.32886186544742674</v>
      </c>
      <c r="O21" s="71">
        <f t="shared" si="4"/>
        <v>0.32886186544742674</v>
      </c>
      <c r="P21" s="71">
        <f t="shared" si="4"/>
        <v>0.32886186544742674</v>
      </c>
      <c r="Q21" s="71">
        <f t="shared" si="3"/>
        <v>0.32886186544742674</v>
      </c>
      <c r="R21" s="71">
        <f t="shared" si="3"/>
        <v>0.32886186544742674</v>
      </c>
      <c r="S21" s="71">
        <f t="shared" si="3"/>
        <v>0.32886186544742674</v>
      </c>
      <c r="T21" s="84">
        <f>SUMPRODUCT(F11:S11,F21:S21)</f>
        <v>0</v>
      </c>
      <c r="U21" s="63">
        <f>T21</f>
        <v>0</v>
      </c>
      <c r="V21" s="84"/>
      <c r="X21" s="82" t="s">
        <v>227</v>
      </c>
      <c r="Y21" s="60">
        <v>67795755.926224142</v>
      </c>
      <c r="AA21" s="5"/>
    </row>
    <row r="22" spans="2:32">
      <c r="B22" s="7"/>
      <c r="C22" s="7"/>
      <c r="F22" s="205"/>
      <c r="G22" s="205"/>
      <c r="H22" s="205"/>
      <c r="I22" s="205"/>
      <c r="J22" s="205"/>
      <c r="K22" s="205"/>
      <c r="L22" s="205"/>
      <c r="M22" s="205"/>
      <c r="N22" s="205"/>
      <c r="O22" s="205"/>
      <c r="P22" s="205"/>
      <c r="U22" s="5"/>
      <c r="V22" s="5"/>
      <c r="X22" s="77" t="s">
        <v>179</v>
      </c>
      <c r="Y22" s="61">
        <f>Y19*Y20/Y21</f>
        <v>0</v>
      </c>
      <c r="AA22" s="5"/>
    </row>
    <row r="23" spans="2:32">
      <c r="B23" s="7"/>
      <c r="C23" s="7"/>
      <c r="E23" s="211" t="str">
        <f>"Notes: Allocation and bundled/unbundled split based on "&amp;'Hypothetical Summary'!L4&amp;" sales forecast"</f>
        <v>Notes: Allocation and bundled/unbundled split based on 2026 sales forecast</v>
      </c>
      <c r="R23" s="6"/>
      <c r="S23" s="6"/>
      <c r="T23" s="5"/>
      <c r="Y23" s="356"/>
    </row>
    <row r="24" spans="2:32">
      <c r="B24" s="7"/>
      <c r="C24" s="7"/>
      <c r="D24" s="5"/>
      <c r="E24" s="5"/>
      <c r="F24" s="7"/>
      <c r="G24" s="7"/>
      <c r="H24" s="7"/>
      <c r="I24" s="7"/>
      <c r="J24" s="7"/>
      <c r="K24" s="7"/>
      <c r="L24" s="7"/>
      <c r="M24" s="7"/>
      <c r="N24" s="7"/>
      <c r="O24" s="7"/>
      <c r="P24" s="7"/>
      <c r="Q24" s="5"/>
      <c r="R24" s="11"/>
      <c r="S24" s="139" t="s">
        <v>432</v>
      </c>
      <c r="T24" s="212">
        <f>O10*O20</f>
        <v>0</v>
      </c>
      <c r="U24" s="212"/>
      <c r="X24" s="5"/>
      <c r="Y24" s="5"/>
    </row>
    <row r="25" spans="2:32">
      <c r="B25" s="7"/>
      <c r="C25" s="7"/>
      <c r="D25" s="43"/>
      <c r="E25" s="43"/>
      <c r="F25" s="64"/>
      <c r="G25" s="43"/>
      <c r="H25" s="43"/>
      <c r="I25" s="43"/>
      <c r="J25" s="43"/>
      <c r="K25" s="43"/>
      <c r="L25" s="43"/>
      <c r="M25" s="43"/>
      <c r="N25" s="43"/>
      <c r="O25" s="43"/>
      <c r="P25" s="43"/>
      <c r="Q25" s="43"/>
      <c r="R25" s="11"/>
      <c r="S25" s="225" t="s">
        <v>575</v>
      </c>
      <c r="T25" s="212">
        <f>O11*O21</f>
        <v>0</v>
      </c>
      <c r="U25" s="70"/>
      <c r="V25" s="215"/>
      <c r="X25" s="5"/>
      <c r="Y25" s="5"/>
    </row>
    <row r="26" spans="2:32">
      <c r="B26" s="7"/>
      <c r="C26" s="7"/>
      <c r="D26" s="43"/>
      <c r="E26" s="43"/>
      <c r="F26" s="43"/>
      <c r="G26" s="43"/>
      <c r="H26" s="43"/>
      <c r="I26" s="43"/>
      <c r="J26" s="43"/>
      <c r="K26" s="43"/>
      <c r="L26" s="43"/>
      <c r="M26" s="43"/>
      <c r="N26" s="43"/>
      <c r="O26" s="43"/>
      <c r="P26" s="43"/>
      <c r="Q26" s="43"/>
      <c r="R26" s="216"/>
      <c r="S26" s="216"/>
      <c r="T26" s="11"/>
      <c r="U26" s="215"/>
      <c r="V26" s="5"/>
      <c r="X26" s="5"/>
      <c r="Y26" s="5"/>
      <c r="AB26" s="140"/>
      <c r="AC26" s="140"/>
      <c r="AE26" s="140"/>
      <c r="AF26" s="140"/>
    </row>
    <row r="27" spans="2:32">
      <c r="B27" s="7"/>
      <c r="C27" s="7"/>
      <c r="D27" s="5"/>
      <c r="E27" s="537" t="s">
        <v>23</v>
      </c>
      <c r="F27" s="538"/>
      <c r="G27" s="538"/>
      <c r="H27" s="539"/>
      <c r="I27" s="43"/>
      <c r="J27" s="43"/>
      <c r="N27" s="5"/>
      <c r="O27" s="537" t="s">
        <v>25</v>
      </c>
      <c r="P27" s="538"/>
      <c r="Q27" s="538"/>
      <c r="R27" s="539"/>
      <c r="S27" s="43"/>
      <c r="T27" s="11"/>
      <c r="U27" s="215"/>
      <c r="V27" s="217"/>
      <c r="Z27" s="5"/>
      <c r="AA27" s="141"/>
      <c r="AB27" s="142"/>
      <c r="AC27" s="142"/>
      <c r="AD27" s="143"/>
      <c r="AE27" s="142"/>
      <c r="AF27" s="142"/>
    </row>
    <row r="28" spans="2:32" ht="31">
      <c r="B28" s="7"/>
      <c r="C28" s="7"/>
      <c r="D28" s="5"/>
      <c r="E28" s="6" t="str">
        <f>'Hypothetical Summary'!L4&amp;" Sales"</f>
        <v>2026 Sales</v>
      </c>
      <c r="F28" s="6" t="str">
        <f>TEXT(Summary!L3,"mm/dd/yyyy")&amp;" Avg Rates"</f>
        <v>03/01/2026 Avg Rates</v>
      </c>
      <c r="G28" s="6" t="s">
        <v>189</v>
      </c>
      <c r="H28" s="6" t="s">
        <v>190</v>
      </c>
      <c r="J28" s="6"/>
      <c r="N28" s="5"/>
      <c r="O28" s="6" t="str">
        <f>'Hypothetical Summary'!L4&amp;" Sales"</f>
        <v>2026 Sales</v>
      </c>
      <c r="P28" s="6" t="str">
        <f>F28</f>
        <v>03/01/2026 Avg Rates</v>
      </c>
      <c r="Q28" s="6" t="s">
        <v>189</v>
      </c>
      <c r="R28" s="6" t="s">
        <v>190</v>
      </c>
      <c r="S28" s="6"/>
      <c r="T28" s="11"/>
      <c r="U28" s="215"/>
      <c r="W28" s="212"/>
      <c r="X28" s="212"/>
      <c r="Z28" s="5"/>
      <c r="AA28" s="141"/>
      <c r="AB28" s="144"/>
      <c r="AC28" s="144"/>
      <c r="AD28" s="143"/>
      <c r="AE28" s="144"/>
      <c r="AF28" s="144"/>
    </row>
    <row r="29" spans="2:32">
      <c r="B29" s="7"/>
      <c r="C29" s="7"/>
      <c r="D29" s="363" t="s">
        <v>18</v>
      </c>
      <c r="E29" s="111">
        <v>10313310.03806413</v>
      </c>
      <c r="F29" s="152">
        <f>IF('Hypothetical Summary'!D5="Y",AB50,AC50)</f>
        <v>32.340654762006949</v>
      </c>
      <c r="G29" s="500">
        <f>IF('Hypothetical Summary'!D5="Y",U20/E29*100+F29,SUM(U20-T24)/E29*100+F29)</f>
        <v>32.340654762006949</v>
      </c>
      <c r="H29" s="125">
        <f>G29/F29-1</f>
        <v>0</v>
      </c>
      <c r="J29" s="125"/>
      <c r="N29" s="363" t="s">
        <v>18</v>
      </c>
      <c r="O29" s="60">
        <v>26534621.286881018</v>
      </c>
      <c r="P29" s="152">
        <f>IF('Hypothetical Summary'!D5="Y",AE50,AF50)</f>
        <v>29.788022651798478</v>
      </c>
      <c r="Q29" s="11">
        <f>IF('Hypothetical Summary'!D5="Y",T10/O29*100+P29,SUM(T10-O10)/O29*100+P29)</f>
        <v>29.788022651798478</v>
      </c>
      <c r="R29" s="125">
        <f>Q29/P29-1</f>
        <v>0</v>
      </c>
      <c r="S29" s="125"/>
      <c r="T29" s="125"/>
      <c r="U29" s="125"/>
      <c r="W29" s="212"/>
      <c r="X29" s="70"/>
      <c r="AA29" s="141"/>
      <c r="AB29" s="144"/>
      <c r="AC29" s="144"/>
      <c r="AD29" s="143"/>
      <c r="AE29" s="144"/>
      <c r="AF29" s="144"/>
    </row>
    <row r="30" spans="2:32">
      <c r="D30" s="363" t="s">
        <v>22</v>
      </c>
      <c r="E30" s="111">
        <v>24784494.935273737</v>
      </c>
      <c r="F30" s="152">
        <f>IF('Hypothetical Summary'!D5="Y",AB51,AC51)</f>
        <v>32.596708001946226</v>
      </c>
      <c r="G30" s="500">
        <f>IF('Hypothetical Summary'!D5="Y",U21/E30*100+F30,SUM(U21-T25)/E30*100+F30)</f>
        <v>32.596708001946226</v>
      </c>
      <c r="H30" s="125">
        <f>G30/F30-1</f>
        <v>0</v>
      </c>
      <c r="J30" s="125"/>
      <c r="N30" s="363" t="s">
        <v>22</v>
      </c>
      <c r="O30" s="60">
        <v>75364454.013400629</v>
      </c>
      <c r="P30" s="152">
        <f>IF('Hypothetical Summary'!D5="Y",AE51,AF51)</f>
        <v>26.65073540105055</v>
      </c>
      <c r="Q30" s="11">
        <f>IF('Hypothetical Summary'!D5="Y",T11/O30*100+P30,SUM(T11-O11)/O30*100+P30)</f>
        <v>26.65073540105055</v>
      </c>
      <c r="R30" s="125">
        <f>Q30/P30-1</f>
        <v>0</v>
      </c>
      <c r="S30" s="125"/>
      <c r="T30" s="125"/>
      <c r="U30" s="125"/>
      <c r="V30" s="220"/>
      <c r="AB30" s="142"/>
      <c r="AC30" s="142"/>
      <c r="AD30" s="142"/>
      <c r="AE30" s="142"/>
      <c r="AF30" s="142"/>
    </row>
    <row r="31" spans="2:32">
      <c r="P31" s="5"/>
      <c r="Q31" s="5"/>
      <c r="R31" s="216"/>
      <c r="S31" s="216"/>
      <c r="T31" s="5"/>
      <c r="U31" s="216"/>
      <c r="V31" s="217"/>
      <c r="AB31" s="145"/>
      <c r="AC31" s="145"/>
      <c r="AD31" s="142"/>
      <c r="AE31" s="145"/>
      <c r="AF31" s="145"/>
    </row>
    <row r="32" spans="2:32">
      <c r="P32" s="5"/>
      <c r="Q32" s="5"/>
      <c r="R32" s="216"/>
      <c r="S32" s="216"/>
      <c r="T32" s="5"/>
      <c r="U32" s="216"/>
      <c r="V32" s="220"/>
      <c r="AA32" s="141"/>
      <c r="AB32" s="142"/>
      <c r="AC32" s="142"/>
      <c r="AD32" s="143"/>
      <c r="AE32" s="142"/>
      <c r="AF32" s="142"/>
    </row>
    <row r="33" spans="2:32">
      <c r="B33" s="7"/>
      <c r="C33" s="7"/>
      <c r="D33" s="5"/>
      <c r="E33" s="570"/>
      <c r="F33" s="570"/>
      <c r="G33" s="570"/>
      <c r="H33" s="43"/>
      <c r="I33" s="43"/>
      <c r="J33" s="43"/>
      <c r="K33" s="5"/>
      <c r="L33" s="5"/>
      <c r="M33" s="5"/>
      <c r="N33" s="5"/>
      <c r="O33" s="5"/>
      <c r="P33" s="5"/>
      <c r="Q33" s="5"/>
      <c r="R33" s="216"/>
      <c r="S33" s="216"/>
      <c r="T33" s="5"/>
      <c r="U33" s="216"/>
      <c r="V33" s="220"/>
      <c r="W33" s="220"/>
      <c r="X33" s="217"/>
      <c r="AA33" s="141"/>
      <c r="AB33" s="144"/>
      <c r="AC33" s="144"/>
      <c r="AD33" s="143"/>
      <c r="AE33" s="144"/>
      <c r="AF33" s="144"/>
    </row>
    <row r="34" spans="2:32">
      <c r="B34" s="7"/>
      <c r="C34" s="7"/>
      <c r="D34" s="43"/>
      <c r="E34" s="6"/>
      <c r="F34" s="6"/>
      <c r="G34" s="6"/>
      <c r="H34" s="43"/>
      <c r="I34" s="43"/>
      <c r="J34" s="43"/>
      <c r="K34" s="5"/>
      <c r="L34" s="5"/>
      <c r="M34" s="5"/>
      <c r="N34" s="5"/>
      <c r="O34" s="5"/>
      <c r="P34" s="5"/>
      <c r="Q34" s="5"/>
      <c r="R34" s="216"/>
      <c r="S34" s="216"/>
      <c r="T34" s="5"/>
      <c r="U34" s="216"/>
      <c r="V34" s="217"/>
      <c r="W34" s="220"/>
      <c r="X34" s="217"/>
      <c r="AA34" s="141"/>
      <c r="AB34" s="144"/>
      <c r="AC34" s="144"/>
      <c r="AD34" s="143"/>
      <c r="AE34" s="146"/>
      <c r="AF34" s="146"/>
    </row>
    <row r="35" spans="2:32">
      <c r="B35" s="7"/>
      <c r="C35" s="7"/>
      <c r="D35" s="5"/>
      <c r="E35" s="8"/>
      <c r="F35" s="9"/>
      <c r="G35" s="10"/>
      <c r="H35" s="43"/>
      <c r="I35" s="43"/>
      <c r="J35" s="43"/>
      <c r="K35" s="5"/>
      <c r="L35" s="5"/>
      <c r="M35" s="5"/>
      <c r="N35" s="5"/>
      <c r="O35" s="5"/>
      <c r="P35" s="5"/>
      <c r="Q35" s="5"/>
      <c r="R35" s="216"/>
      <c r="S35" s="216"/>
      <c r="T35" s="5"/>
      <c r="U35" s="5"/>
      <c r="V35" s="215"/>
      <c r="W35" s="220"/>
      <c r="X35" s="217"/>
    </row>
    <row r="36" spans="2:32">
      <c r="D36" s="5"/>
      <c r="E36" s="8"/>
      <c r="F36" s="9"/>
      <c r="G36" s="10"/>
      <c r="H36" s="43"/>
      <c r="I36" s="43"/>
      <c r="J36" s="43"/>
      <c r="K36" s="5"/>
      <c r="L36" s="5"/>
      <c r="M36" s="5"/>
      <c r="N36" s="5"/>
      <c r="O36" s="5"/>
      <c r="P36" s="5"/>
      <c r="Q36" s="5"/>
      <c r="R36" s="216"/>
      <c r="S36" s="216"/>
      <c r="T36" s="5"/>
      <c r="U36" s="216"/>
      <c r="V36" s="217"/>
      <c r="W36" s="220"/>
      <c r="X36" s="220"/>
    </row>
    <row r="37" spans="2:32">
      <c r="D37" s="5"/>
      <c r="E37" s="8"/>
      <c r="F37" s="9"/>
      <c r="G37" s="10"/>
      <c r="H37" s="43"/>
      <c r="I37" s="43"/>
      <c r="J37" s="43"/>
      <c r="K37" s="5"/>
      <c r="L37" s="5"/>
      <c r="M37" s="5"/>
      <c r="N37" s="5"/>
      <c r="O37" s="5"/>
      <c r="P37" s="5"/>
      <c r="Q37" s="5"/>
      <c r="R37" s="216"/>
      <c r="S37" s="216"/>
      <c r="T37" s="5"/>
      <c r="U37" s="5"/>
      <c r="V37" s="5"/>
      <c r="W37" s="220"/>
      <c r="X37" s="217"/>
    </row>
    <row r="38" spans="2:32">
      <c r="D38" s="5"/>
      <c r="E38" s="8"/>
      <c r="F38" s="9"/>
      <c r="G38" s="10"/>
      <c r="H38" s="43"/>
      <c r="I38" s="43"/>
      <c r="J38" s="43"/>
      <c r="K38" s="5"/>
      <c r="L38" s="5"/>
      <c r="M38" s="5"/>
      <c r="N38" s="5"/>
      <c r="O38" s="5"/>
      <c r="P38" s="5"/>
      <c r="Q38" s="5"/>
      <c r="R38" s="216"/>
      <c r="S38" s="216"/>
      <c r="T38" s="536"/>
      <c r="U38" s="536"/>
      <c r="V38" s="5"/>
      <c r="W38" s="5"/>
      <c r="X38" s="5"/>
    </row>
    <row r="39" spans="2:32">
      <c r="B39" s="7"/>
      <c r="C39" s="7"/>
      <c r="D39" s="5"/>
      <c r="E39" s="8"/>
      <c r="F39" s="9"/>
      <c r="G39" s="126"/>
      <c r="H39" s="43"/>
      <c r="I39" s="43"/>
      <c r="J39" s="43"/>
      <c r="K39" s="5"/>
      <c r="L39" s="5"/>
      <c r="M39" s="5"/>
      <c r="N39" s="5"/>
      <c r="O39" s="5"/>
      <c r="P39" s="5"/>
      <c r="Q39" s="5"/>
      <c r="R39" s="216"/>
      <c r="S39" s="216"/>
      <c r="T39" s="5"/>
      <c r="U39" s="216"/>
      <c r="V39" s="220"/>
      <c r="W39" s="220"/>
      <c r="X39" s="217"/>
    </row>
    <row r="40" spans="2:32">
      <c r="B40" s="7"/>
      <c r="C40" s="7"/>
      <c r="D40" s="5"/>
      <c r="E40" s="8"/>
      <c r="F40" s="9"/>
      <c r="G40" s="126"/>
      <c r="H40" s="43"/>
      <c r="I40" s="43"/>
      <c r="J40" s="43"/>
      <c r="K40" s="5"/>
      <c r="L40" s="5"/>
      <c r="M40" s="5"/>
      <c r="N40" s="5"/>
      <c r="O40" s="5"/>
      <c r="P40" s="5"/>
      <c r="Q40" s="5"/>
      <c r="R40" s="216"/>
      <c r="S40" s="216"/>
      <c r="T40" s="5"/>
      <c r="U40" s="216"/>
      <c r="V40" s="220"/>
      <c r="W40" s="217"/>
      <c r="X40" s="217"/>
    </row>
    <row r="41" spans="2:32">
      <c r="B41" s="7"/>
      <c r="C41" s="7"/>
      <c r="D41" s="5"/>
      <c r="E41" s="8"/>
      <c r="F41" s="9"/>
      <c r="G41" s="126"/>
      <c r="H41" s="43"/>
      <c r="I41" s="43"/>
      <c r="J41" s="43"/>
      <c r="K41" s="5"/>
      <c r="L41" s="5"/>
      <c r="M41" s="5"/>
      <c r="N41" s="5"/>
      <c r="O41" s="5"/>
      <c r="P41" s="5"/>
      <c r="Q41" s="5"/>
      <c r="R41" s="216"/>
      <c r="S41" s="216"/>
      <c r="T41" s="5"/>
      <c r="U41" s="216"/>
      <c r="V41" s="220"/>
      <c r="W41" s="220"/>
      <c r="X41" s="220"/>
    </row>
    <row r="42" spans="2:32">
      <c r="B42" s="7"/>
      <c r="C42" s="7"/>
      <c r="D42" s="5"/>
      <c r="E42" s="43"/>
      <c r="F42" s="43"/>
      <c r="G42" s="43"/>
      <c r="H42" s="43"/>
      <c r="I42" s="43"/>
      <c r="J42" s="43"/>
      <c r="K42" s="5"/>
      <c r="L42" s="5"/>
      <c r="M42" s="5"/>
      <c r="N42" s="5"/>
      <c r="O42" s="5"/>
      <c r="P42" s="5"/>
      <c r="Q42" s="5"/>
      <c r="R42" s="216"/>
      <c r="S42" s="216"/>
      <c r="T42" s="5"/>
      <c r="U42" s="216"/>
      <c r="V42" s="220"/>
      <c r="W42" s="220"/>
      <c r="X42" s="217"/>
    </row>
    <row r="43" spans="2:32" ht="46.5">
      <c r="B43" s="7"/>
      <c r="C43" s="7"/>
      <c r="D43" s="5"/>
      <c r="E43" s="43"/>
      <c r="F43" s="43"/>
      <c r="G43" s="43"/>
      <c r="H43" s="43"/>
      <c r="I43" s="43"/>
      <c r="J43" s="43"/>
      <c r="K43" s="5"/>
      <c r="L43" s="5"/>
      <c r="M43" s="5"/>
      <c r="N43" s="5"/>
      <c r="O43" s="5"/>
      <c r="P43" s="5"/>
      <c r="Q43" s="5"/>
      <c r="R43" s="216"/>
      <c r="S43" s="216"/>
      <c r="T43" s="5"/>
      <c r="U43" s="216"/>
      <c r="V43" s="220"/>
      <c r="W43" s="217"/>
      <c r="X43" s="217"/>
      <c r="AA43" s="154"/>
      <c r="AB43" s="250" t="str">
        <f>'SAR and RAR'!AB43</f>
        <v>1/1/26  Bundled
w/Credit</v>
      </c>
      <c r="AC43" s="250" t="str">
        <f>'SAR and RAR'!AC43</f>
        <v>1/1/26  Bundled
w/out Credit</v>
      </c>
      <c r="AD43" s="250">
        <f>'SAR and RAR'!AD43</f>
        <v>0</v>
      </c>
      <c r="AE43" s="250" t="str">
        <f>'SAR and RAR'!AE43</f>
        <v>1/1/26  System
w/Credit</v>
      </c>
      <c r="AF43" s="250" t="str">
        <f>'SAR and RAR'!AF43</f>
        <v>1/1/26  System
w/out Credit</v>
      </c>
    </row>
    <row r="44" spans="2:32">
      <c r="B44" s="7"/>
      <c r="C44" s="7"/>
      <c r="D44" s="5"/>
      <c r="E44" s="43"/>
      <c r="F44" s="43"/>
      <c r="G44" s="43"/>
      <c r="H44" s="43"/>
      <c r="I44" s="43"/>
      <c r="J44" s="43"/>
      <c r="K44" s="5"/>
      <c r="L44" s="5"/>
      <c r="M44" s="5"/>
      <c r="N44" s="5"/>
      <c r="O44" s="5"/>
      <c r="P44" s="5"/>
      <c r="Q44" s="5"/>
      <c r="R44" s="216"/>
      <c r="S44" s="216"/>
      <c r="T44" s="5"/>
      <c r="U44" s="216"/>
      <c r="V44" s="220"/>
      <c r="W44" s="215"/>
      <c r="X44" s="215"/>
      <c r="AA44" s="155"/>
      <c r="AB44" s="164"/>
      <c r="AC44" s="164"/>
      <c r="AD44" s="165"/>
      <c r="AE44" s="164"/>
      <c r="AF44" s="164"/>
    </row>
    <row r="45" spans="2:32">
      <c r="B45" s="7"/>
      <c r="C45" s="7"/>
      <c r="D45" s="5"/>
      <c r="E45" s="43"/>
      <c r="F45" s="43"/>
      <c r="G45" s="43"/>
      <c r="H45" s="43"/>
      <c r="I45" s="43"/>
      <c r="J45" s="43"/>
      <c r="K45" s="5"/>
      <c r="L45" s="5"/>
      <c r="M45" s="5"/>
      <c r="N45" s="5"/>
      <c r="O45" s="5"/>
      <c r="P45" s="5"/>
      <c r="Q45" s="5"/>
      <c r="R45" s="216"/>
      <c r="S45" s="216"/>
      <c r="T45" s="5"/>
      <c r="U45" s="5"/>
      <c r="V45" s="215"/>
      <c r="W45" s="217"/>
      <c r="X45" s="217"/>
      <c r="AA45" s="155" t="s">
        <v>18</v>
      </c>
      <c r="AB45" s="254">
        <f>'SAR and RAR'!AB45</f>
        <v>33.674121802021645</v>
      </c>
      <c r="AC45" s="254">
        <f>'SAR and RAR'!AC45</f>
        <v>34.992096998939267</v>
      </c>
      <c r="AD45" s="254" t="str">
        <f>'SAR and RAR'!AD45</f>
        <v>Residential</v>
      </c>
      <c r="AE45" s="254">
        <f>'SAR and RAR'!AE45</f>
        <v>30.486135087914555</v>
      </c>
      <c r="AF45" s="254">
        <f>'SAR and RAR'!AF45</f>
        <v>31.980709283060875</v>
      </c>
    </row>
    <row r="46" spans="2:32">
      <c r="B46" s="7"/>
      <c r="C46" s="7"/>
      <c r="D46" s="5"/>
      <c r="E46" s="43"/>
      <c r="F46" s="43"/>
      <c r="G46" s="43"/>
      <c r="H46" s="43"/>
      <c r="I46" s="43"/>
      <c r="J46" s="43"/>
      <c r="K46" s="5"/>
      <c r="L46" s="5"/>
      <c r="M46" s="5"/>
      <c r="N46" s="5"/>
      <c r="O46" s="5"/>
      <c r="P46" s="5"/>
      <c r="Q46" s="5"/>
      <c r="R46" s="216"/>
      <c r="S46" s="216"/>
      <c r="T46" s="5"/>
      <c r="U46" s="216"/>
      <c r="V46" s="220"/>
      <c r="W46" s="5"/>
      <c r="X46" s="5"/>
      <c r="AA46" s="155" t="s">
        <v>28</v>
      </c>
      <c r="AB46" s="254">
        <f>'SAR and RAR'!AB46</f>
        <v>33.416008222733581</v>
      </c>
      <c r="AC46" s="254">
        <f>'SAR and RAR'!AC46</f>
        <v>34.072433607860397</v>
      </c>
      <c r="AD46" s="254" t="str">
        <f>'SAR and RAR'!AD46</f>
        <v>Total System</v>
      </c>
      <c r="AE46" s="254">
        <f>'SAR and RAR'!AE46</f>
        <v>27.143640625458705</v>
      </c>
      <c r="AF46" s="254">
        <f>'SAR and RAR'!AF46</f>
        <v>27.73770240701548</v>
      </c>
    </row>
    <row r="47" spans="2:32">
      <c r="B47" s="7"/>
      <c r="C47" s="7"/>
      <c r="D47" s="5"/>
      <c r="E47" s="43"/>
      <c r="F47" s="43"/>
      <c r="G47" s="43"/>
      <c r="H47" s="43"/>
      <c r="I47" s="43"/>
      <c r="J47" s="43"/>
      <c r="K47" s="5"/>
      <c r="L47" s="5"/>
      <c r="M47" s="5"/>
      <c r="N47" s="5"/>
      <c r="O47" s="5"/>
      <c r="P47" s="5"/>
      <c r="Q47" s="5"/>
      <c r="R47" s="216"/>
      <c r="S47" s="216"/>
      <c r="T47" s="5"/>
      <c r="U47" s="5"/>
      <c r="V47" s="5"/>
      <c r="W47" s="5"/>
      <c r="X47" s="5"/>
      <c r="AA47" s="156"/>
      <c r="AB47" s="166"/>
      <c r="AC47" s="166"/>
      <c r="AD47" s="166"/>
      <c r="AE47" s="166"/>
      <c r="AF47" s="167"/>
    </row>
    <row r="48" spans="2:32" ht="46.5">
      <c r="B48" s="7"/>
      <c r="C48" s="7"/>
      <c r="D48" s="5"/>
      <c r="E48" s="43"/>
      <c r="F48" s="43"/>
      <c r="G48" s="43"/>
      <c r="H48" s="43"/>
      <c r="I48" s="43"/>
      <c r="J48" s="43"/>
      <c r="K48" s="5"/>
      <c r="L48" s="5"/>
      <c r="M48" s="5"/>
      <c r="N48" s="5"/>
      <c r="O48" s="5"/>
      <c r="P48" s="5"/>
      <c r="Q48" s="5"/>
      <c r="R48" s="216"/>
      <c r="S48" s="216"/>
      <c r="T48" s="536"/>
      <c r="U48" s="536"/>
      <c r="V48" s="5"/>
      <c r="W48" s="217"/>
      <c r="X48" s="217"/>
      <c r="AA48" s="154"/>
      <c r="AB48" s="246" t="str">
        <f>'SAR and RAR'!AB48</f>
        <v>3/1/26 Bundled
w/Credit</v>
      </c>
      <c r="AC48" s="246" t="str">
        <f>'SAR and RAR'!AC48</f>
        <v>3/1/26 Bundled
w/out Credit</v>
      </c>
      <c r="AD48" s="246"/>
      <c r="AE48" s="246" t="str">
        <f>'SAR and RAR'!AE48</f>
        <v>3/1/26 System
w/Credit</v>
      </c>
      <c r="AF48" s="246" t="str">
        <f>'SAR and RAR'!AF48</f>
        <v>3/1/26 System
w/out Credit</v>
      </c>
    </row>
    <row r="49" spans="2:32">
      <c r="B49" s="7"/>
      <c r="C49" s="7"/>
      <c r="D49" s="5"/>
      <c r="E49" s="43"/>
      <c r="F49" s="43"/>
      <c r="G49" s="43"/>
      <c r="H49" s="43"/>
      <c r="I49" s="43"/>
      <c r="J49" s="43"/>
      <c r="K49" s="5"/>
      <c r="L49" s="5"/>
      <c r="M49" s="5"/>
      <c r="N49" s="5"/>
      <c r="O49" s="5"/>
      <c r="P49" s="5"/>
      <c r="Q49" s="5"/>
      <c r="R49" s="216"/>
      <c r="S49" s="216"/>
      <c r="T49" s="5"/>
      <c r="U49" s="216"/>
      <c r="V49" s="220"/>
      <c r="W49" s="217"/>
      <c r="X49" s="217"/>
      <c r="AA49" s="155"/>
      <c r="AB49" s="164"/>
      <c r="AC49" s="164"/>
      <c r="AD49" s="165"/>
      <c r="AE49" s="164"/>
      <c r="AF49" s="164"/>
    </row>
    <row r="50" spans="2:32">
      <c r="B50" s="7"/>
      <c r="C50" s="7"/>
      <c r="D50" s="5"/>
      <c r="E50" s="43"/>
      <c r="F50" s="43"/>
      <c r="G50" s="43"/>
      <c r="H50" s="43"/>
      <c r="I50" s="43"/>
      <c r="J50" s="43"/>
      <c r="K50" s="5"/>
      <c r="L50" s="5"/>
      <c r="M50" s="5"/>
      <c r="N50" s="5"/>
      <c r="O50" s="5"/>
      <c r="P50" s="5"/>
      <c r="Q50" s="5"/>
      <c r="R50" s="216"/>
      <c r="S50" s="216"/>
      <c r="T50" s="5"/>
      <c r="U50" s="216"/>
      <c r="V50" s="220"/>
      <c r="W50" s="217"/>
      <c r="X50" s="217"/>
      <c r="AA50" s="155" t="s">
        <v>18</v>
      </c>
      <c r="AB50" s="254">
        <f>'SAR and RAR'!AB50</f>
        <v>32.340654762006949</v>
      </c>
      <c r="AC50" s="254">
        <f>'SAR and RAR'!AC50</f>
        <v>33.658629958924571</v>
      </c>
      <c r="AD50" s="165" t="s">
        <v>18</v>
      </c>
      <c r="AE50" s="254">
        <f>'SAR and RAR'!AE50</f>
        <v>29.788022651798478</v>
      </c>
      <c r="AF50" s="254">
        <f>'SAR and RAR'!AF50</f>
        <v>31.282596846944799</v>
      </c>
    </row>
    <row r="51" spans="2:32">
      <c r="B51" s="7"/>
      <c r="C51" s="7"/>
      <c r="D51" s="5"/>
      <c r="E51" s="43"/>
      <c r="F51" s="43"/>
      <c r="G51" s="43"/>
      <c r="H51" s="43"/>
      <c r="I51" s="43"/>
      <c r="J51" s="43"/>
      <c r="K51" s="5"/>
      <c r="L51" s="5"/>
      <c r="M51" s="5"/>
      <c r="N51" s="5"/>
      <c r="O51" s="5"/>
      <c r="P51" s="5"/>
      <c r="Q51" s="5"/>
      <c r="R51" s="216"/>
      <c r="S51" s="216"/>
      <c r="T51" s="5"/>
      <c r="U51" s="5"/>
      <c r="V51" s="215"/>
      <c r="W51" s="220"/>
      <c r="X51" s="217"/>
      <c r="AA51" s="155" t="s">
        <v>28</v>
      </c>
      <c r="AB51" s="254">
        <f>'SAR and RAR'!AB51</f>
        <v>32.596708001946226</v>
      </c>
      <c r="AC51" s="254">
        <f>'SAR and RAR'!AC51</f>
        <v>33.253133387073035</v>
      </c>
      <c r="AD51" s="165" t="s">
        <v>22</v>
      </c>
      <c r="AE51" s="255">
        <f>'SAR and RAR'!AE51</f>
        <v>26.65073540105055</v>
      </c>
      <c r="AF51" s="255">
        <f>'SAR and RAR'!AF51</f>
        <v>27.244797182607329</v>
      </c>
    </row>
    <row r="52" spans="2:32">
      <c r="B52" s="7"/>
      <c r="C52" s="7"/>
      <c r="D52" s="5"/>
      <c r="E52" s="43"/>
      <c r="F52" s="43"/>
      <c r="G52" s="43"/>
      <c r="H52" s="43"/>
      <c r="I52" s="43"/>
      <c r="J52" s="43"/>
      <c r="K52" s="5"/>
      <c r="L52" s="5"/>
      <c r="M52" s="5"/>
      <c r="N52" s="5"/>
      <c r="O52" s="5"/>
      <c r="P52" s="5"/>
      <c r="Q52" s="5"/>
      <c r="R52" s="216"/>
      <c r="S52" s="216"/>
      <c r="T52" s="5"/>
      <c r="U52" s="216"/>
      <c r="V52" s="220"/>
      <c r="W52" s="220"/>
      <c r="X52" s="217"/>
    </row>
    <row r="53" spans="2:32">
      <c r="B53" s="7"/>
      <c r="C53" s="7"/>
      <c r="D53" s="5"/>
      <c r="E53" s="43"/>
      <c r="F53" s="43"/>
      <c r="G53" s="43"/>
      <c r="H53" s="43"/>
      <c r="I53" s="43"/>
      <c r="J53" s="43"/>
      <c r="K53" s="5"/>
      <c r="L53" s="5"/>
      <c r="M53" s="5"/>
      <c r="N53" s="5"/>
      <c r="O53" s="5"/>
      <c r="P53" s="5"/>
      <c r="Q53" s="5"/>
      <c r="R53" s="216"/>
      <c r="S53" s="216"/>
      <c r="T53" s="5"/>
      <c r="U53" s="5"/>
      <c r="V53" s="5"/>
      <c r="W53" s="217"/>
      <c r="X53" s="217"/>
    </row>
    <row r="54" spans="2:32">
      <c r="B54" s="7"/>
      <c r="C54" s="7"/>
      <c r="D54" s="5"/>
      <c r="E54" s="43"/>
      <c r="F54" s="43"/>
      <c r="G54" s="43"/>
      <c r="H54" s="43"/>
      <c r="I54" s="43"/>
      <c r="J54" s="43"/>
      <c r="K54" s="5"/>
      <c r="L54" s="5"/>
      <c r="M54" s="5"/>
      <c r="N54" s="5"/>
      <c r="O54" s="5"/>
      <c r="P54" s="5"/>
      <c r="Q54" s="5"/>
      <c r="R54" s="216"/>
      <c r="S54" s="216"/>
      <c r="T54" s="536"/>
      <c r="U54" s="536"/>
      <c r="V54" s="5"/>
      <c r="W54" s="215"/>
      <c r="X54" s="215"/>
    </row>
    <row r="55" spans="2:32">
      <c r="B55" s="5"/>
      <c r="C55" s="5"/>
      <c r="D55" s="5"/>
      <c r="E55" s="43"/>
      <c r="F55" s="43"/>
      <c r="G55" s="43"/>
      <c r="H55" s="43"/>
      <c r="I55" s="43"/>
      <c r="J55" s="43"/>
      <c r="K55" s="5"/>
      <c r="L55" s="5"/>
      <c r="M55" s="5"/>
      <c r="N55" s="5"/>
      <c r="O55" s="5"/>
      <c r="P55" s="5"/>
      <c r="Q55" s="5"/>
      <c r="R55" s="216"/>
      <c r="S55" s="216"/>
      <c r="T55" s="5"/>
      <c r="U55" s="216"/>
      <c r="V55" s="220"/>
      <c r="W55" s="217"/>
      <c r="X55" s="217"/>
    </row>
    <row r="56" spans="2:32">
      <c r="B56" s="5"/>
      <c r="C56" s="5"/>
      <c r="D56" s="5"/>
      <c r="E56" s="43"/>
      <c r="F56" s="43"/>
      <c r="G56" s="43"/>
      <c r="H56" s="43"/>
      <c r="I56" s="43"/>
      <c r="J56" s="43"/>
      <c r="K56" s="5"/>
      <c r="L56" s="5"/>
      <c r="M56" s="5"/>
      <c r="N56" s="5"/>
      <c r="O56" s="5"/>
      <c r="P56" s="5"/>
      <c r="Q56" s="5"/>
      <c r="R56" s="216"/>
      <c r="S56" s="216"/>
      <c r="T56" s="5"/>
      <c r="U56" s="216"/>
      <c r="V56" s="220"/>
      <c r="W56" s="5"/>
      <c r="X56" s="5"/>
    </row>
    <row r="57" spans="2:32">
      <c r="B57" s="5"/>
      <c r="C57" s="5"/>
      <c r="D57" s="5"/>
      <c r="E57" s="43"/>
      <c r="F57" s="43"/>
      <c r="G57" s="43"/>
      <c r="H57" s="43"/>
      <c r="I57" s="43"/>
      <c r="J57" s="43"/>
      <c r="K57" s="5"/>
      <c r="L57" s="5"/>
      <c r="M57" s="5"/>
      <c r="N57" s="5"/>
      <c r="O57" s="5"/>
      <c r="P57" s="5"/>
      <c r="Q57" s="5"/>
      <c r="R57" s="216"/>
      <c r="S57" s="216"/>
      <c r="T57" s="5"/>
      <c r="U57" s="216"/>
      <c r="V57" s="217"/>
      <c r="W57" s="5"/>
      <c r="X57" s="5"/>
    </row>
    <row r="58" spans="2:32">
      <c r="B58" s="5"/>
      <c r="C58" s="5"/>
      <c r="D58" s="5"/>
      <c r="E58" s="43"/>
      <c r="F58" s="43"/>
      <c r="G58" s="43"/>
      <c r="H58" s="43"/>
      <c r="I58" s="43"/>
      <c r="J58" s="43"/>
      <c r="K58" s="5"/>
      <c r="L58" s="5"/>
      <c r="M58" s="5"/>
      <c r="N58" s="5"/>
      <c r="O58" s="5"/>
      <c r="P58" s="5"/>
      <c r="Q58" s="5"/>
      <c r="R58" s="216"/>
      <c r="S58" s="216"/>
      <c r="T58" s="5"/>
      <c r="U58" s="216"/>
      <c r="V58" s="220"/>
      <c r="W58" s="220"/>
      <c r="X58" s="217"/>
    </row>
    <row r="59" spans="2:32">
      <c r="B59" s="5"/>
      <c r="C59" s="5"/>
      <c r="D59" s="5"/>
      <c r="E59" s="43"/>
      <c r="F59" s="43"/>
      <c r="G59" s="43"/>
      <c r="H59" s="43"/>
      <c r="I59" s="43"/>
      <c r="J59" s="43"/>
      <c r="K59" s="5"/>
      <c r="L59" s="5"/>
      <c r="M59" s="5"/>
      <c r="N59" s="5"/>
      <c r="O59" s="5"/>
      <c r="P59" s="5"/>
      <c r="Q59" s="5"/>
      <c r="R59" s="216"/>
      <c r="S59" s="216"/>
      <c r="T59" s="5"/>
      <c r="U59" s="216"/>
      <c r="V59" s="220"/>
      <c r="W59" s="220"/>
      <c r="X59" s="217"/>
    </row>
    <row r="60" spans="2:32">
      <c r="B60" s="5"/>
      <c r="C60" s="5"/>
      <c r="D60" s="5"/>
      <c r="E60" s="43"/>
      <c r="F60" s="43"/>
      <c r="G60" s="43"/>
      <c r="H60" s="43"/>
      <c r="I60" s="43"/>
      <c r="J60" s="43"/>
      <c r="K60" s="5"/>
      <c r="L60" s="5"/>
      <c r="M60" s="5"/>
      <c r="N60" s="5"/>
      <c r="O60" s="5"/>
      <c r="P60" s="5"/>
      <c r="Q60" s="5"/>
      <c r="R60" s="216"/>
      <c r="S60" s="216"/>
      <c r="T60" s="5"/>
      <c r="U60" s="5"/>
      <c r="V60" s="215"/>
      <c r="W60" s="215"/>
      <c r="X60" s="215"/>
    </row>
    <row r="61" spans="2:32">
      <c r="B61" s="5"/>
      <c r="C61" s="5"/>
      <c r="D61" s="5"/>
      <c r="E61" s="43"/>
      <c r="F61" s="43"/>
      <c r="G61" s="43"/>
      <c r="H61" s="43"/>
      <c r="I61" s="43"/>
      <c r="J61" s="43"/>
      <c r="K61" s="5"/>
      <c r="L61" s="5"/>
      <c r="M61" s="5"/>
      <c r="N61" s="5"/>
      <c r="O61" s="5"/>
      <c r="P61" s="5"/>
      <c r="Q61" s="5"/>
      <c r="R61" s="216"/>
      <c r="S61" s="216"/>
      <c r="T61" s="5"/>
      <c r="U61" s="216"/>
      <c r="V61" s="217"/>
      <c r="W61" s="220"/>
      <c r="X61" s="217"/>
    </row>
    <row r="62" spans="2:32">
      <c r="B62" s="5"/>
      <c r="C62" s="5"/>
      <c r="D62" s="5"/>
      <c r="E62" s="43"/>
      <c r="F62" s="43"/>
      <c r="G62" s="43"/>
      <c r="H62" s="43"/>
      <c r="I62" s="43"/>
      <c r="J62" s="43"/>
      <c r="K62" s="5"/>
      <c r="L62" s="5"/>
      <c r="M62" s="5"/>
      <c r="N62" s="5"/>
      <c r="O62" s="5"/>
      <c r="P62" s="5"/>
      <c r="Q62" s="5"/>
      <c r="R62" s="216"/>
      <c r="S62" s="216"/>
      <c r="T62" s="5"/>
      <c r="U62" s="5"/>
      <c r="V62" s="5"/>
      <c r="W62" s="5"/>
      <c r="X62" s="5"/>
    </row>
    <row r="63" spans="2:32">
      <c r="B63" s="5"/>
      <c r="C63" s="5"/>
      <c r="D63" s="5"/>
      <c r="E63" s="43"/>
      <c r="F63" s="43"/>
      <c r="G63" s="43"/>
      <c r="H63" s="43"/>
      <c r="I63" s="43"/>
      <c r="J63" s="43"/>
      <c r="K63" s="5"/>
      <c r="L63" s="5"/>
      <c r="M63" s="5"/>
      <c r="N63" s="5"/>
      <c r="O63" s="5"/>
      <c r="P63" s="5"/>
      <c r="Q63" s="5"/>
      <c r="R63" s="216"/>
      <c r="S63" s="216"/>
      <c r="T63" s="5"/>
      <c r="U63" s="5"/>
      <c r="V63" s="5"/>
      <c r="W63" s="5"/>
      <c r="X63" s="5"/>
    </row>
    <row r="64" spans="2:32">
      <c r="B64" s="5"/>
      <c r="C64" s="5"/>
      <c r="D64" s="5"/>
      <c r="E64" s="43"/>
      <c r="F64" s="43"/>
      <c r="G64" s="43"/>
      <c r="H64" s="43"/>
      <c r="I64" s="43"/>
      <c r="J64" s="43"/>
      <c r="K64" s="5"/>
      <c r="L64" s="5"/>
      <c r="M64" s="5"/>
      <c r="N64" s="5"/>
      <c r="O64" s="5"/>
      <c r="P64" s="5"/>
      <c r="Q64" s="5"/>
      <c r="R64" s="216"/>
      <c r="S64" s="216"/>
      <c r="T64" s="5"/>
      <c r="U64" s="216"/>
      <c r="V64" s="217"/>
      <c r="W64" s="220"/>
      <c r="X64" s="217"/>
    </row>
    <row r="65" spans="2:24">
      <c r="B65" s="5"/>
      <c r="C65" s="5"/>
      <c r="D65" s="5"/>
      <c r="E65" s="43"/>
      <c r="F65" s="43"/>
      <c r="G65" s="43"/>
      <c r="H65" s="43"/>
      <c r="I65" s="43"/>
      <c r="J65" s="43"/>
      <c r="K65" s="5"/>
      <c r="L65" s="5"/>
      <c r="M65" s="5"/>
      <c r="N65" s="5"/>
      <c r="O65" s="5"/>
      <c r="P65" s="5"/>
      <c r="Q65" s="5"/>
      <c r="R65" s="216"/>
      <c r="S65" s="216"/>
      <c r="T65" s="5"/>
      <c r="U65" s="5"/>
      <c r="V65" s="215"/>
      <c r="W65" s="220"/>
      <c r="X65" s="217"/>
    </row>
    <row r="66" spans="2:24">
      <c r="B66" s="5"/>
      <c r="C66" s="5"/>
      <c r="D66" s="5"/>
      <c r="E66" s="43"/>
      <c r="F66" s="43"/>
      <c r="G66" s="43"/>
      <c r="H66" s="43"/>
      <c r="I66" s="43"/>
      <c r="J66" s="43"/>
      <c r="K66" s="5"/>
      <c r="L66" s="5"/>
      <c r="M66" s="5"/>
      <c r="N66" s="5"/>
      <c r="O66" s="5"/>
      <c r="P66" s="5"/>
      <c r="Q66" s="5"/>
      <c r="R66" s="216"/>
      <c r="S66" s="216"/>
      <c r="T66" s="536"/>
      <c r="U66" s="536"/>
      <c r="V66" s="5"/>
      <c r="W66" s="220"/>
      <c r="X66" s="217"/>
    </row>
    <row r="67" spans="2:24">
      <c r="B67" s="5"/>
      <c r="C67" s="5"/>
      <c r="D67" s="5"/>
      <c r="E67" s="43"/>
      <c r="F67" s="43"/>
      <c r="G67" s="43"/>
      <c r="H67" s="43"/>
      <c r="I67" s="43"/>
      <c r="J67" s="43"/>
      <c r="K67" s="5"/>
      <c r="L67" s="5"/>
      <c r="M67" s="5"/>
      <c r="N67" s="5"/>
      <c r="O67" s="5"/>
      <c r="P67" s="5"/>
      <c r="Q67" s="5"/>
      <c r="R67" s="216"/>
      <c r="S67" s="216"/>
      <c r="T67" s="5"/>
      <c r="U67" s="5"/>
      <c r="V67" s="5"/>
      <c r="W67" s="220"/>
      <c r="X67" s="220"/>
    </row>
    <row r="68" spans="2:24">
      <c r="B68" s="5"/>
      <c r="C68" s="5"/>
      <c r="D68" s="5"/>
      <c r="E68" s="43"/>
      <c r="F68" s="43"/>
      <c r="G68" s="43"/>
      <c r="H68" s="43"/>
      <c r="I68" s="43"/>
      <c r="J68" s="43"/>
      <c r="K68" s="5"/>
      <c r="L68" s="5"/>
      <c r="M68" s="5"/>
      <c r="N68" s="5"/>
      <c r="O68" s="5"/>
      <c r="P68" s="5"/>
      <c r="Q68" s="5"/>
      <c r="R68" s="216"/>
      <c r="S68" s="216"/>
      <c r="T68" s="5"/>
      <c r="U68" s="216"/>
      <c r="V68" s="5"/>
      <c r="W68" s="220"/>
      <c r="X68" s="220"/>
    </row>
    <row r="69" spans="2:24">
      <c r="B69" s="5"/>
      <c r="C69" s="5"/>
      <c r="D69" s="5"/>
      <c r="E69" s="43"/>
      <c r="F69" s="43"/>
      <c r="G69" s="43"/>
      <c r="H69" s="43"/>
      <c r="I69" s="43"/>
      <c r="J69" s="43"/>
      <c r="K69" s="5"/>
      <c r="L69" s="5"/>
      <c r="M69" s="5"/>
      <c r="N69" s="5"/>
      <c r="O69" s="5"/>
      <c r="P69" s="5"/>
      <c r="Q69" s="5"/>
      <c r="R69" s="216"/>
      <c r="S69" s="216"/>
      <c r="T69" s="5"/>
      <c r="U69" s="5"/>
      <c r="V69" s="215"/>
      <c r="W69" s="215"/>
      <c r="X69" s="215"/>
    </row>
    <row r="70" spans="2:24">
      <c r="B70" s="5"/>
      <c r="C70" s="5"/>
      <c r="D70" s="5"/>
      <c r="E70" s="43"/>
      <c r="F70" s="43"/>
      <c r="G70" s="43"/>
      <c r="H70" s="43"/>
      <c r="I70" s="43"/>
      <c r="J70" s="43"/>
      <c r="K70" s="5"/>
      <c r="L70" s="5"/>
      <c r="M70" s="5"/>
      <c r="N70" s="5"/>
      <c r="O70" s="5"/>
      <c r="P70" s="5"/>
      <c r="Q70" s="5"/>
      <c r="R70" s="216"/>
      <c r="S70" s="216"/>
      <c r="T70" s="5"/>
      <c r="U70" s="216"/>
      <c r="V70" s="5"/>
      <c r="W70" s="220"/>
      <c r="X70" s="217"/>
    </row>
    <row r="71" spans="2:24">
      <c r="B71" s="5"/>
      <c r="C71" s="5"/>
      <c r="D71" s="5"/>
      <c r="E71" s="43"/>
      <c r="F71" s="43"/>
      <c r="G71" s="43"/>
      <c r="H71" s="43"/>
      <c r="I71" s="43"/>
      <c r="J71" s="43"/>
      <c r="K71" s="5"/>
      <c r="L71" s="5"/>
      <c r="M71" s="5"/>
      <c r="N71" s="5"/>
      <c r="O71" s="5"/>
      <c r="P71" s="5"/>
      <c r="Q71" s="5"/>
      <c r="R71" s="216"/>
      <c r="S71" s="216"/>
      <c r="T71" s="5"/>
      <c r="U71" s="5"/>
      <c r="V71" s="5"/>
      <c r="W71" s="5"/>
      <c r="X71" s="5"/>
    </row>
    <row r="72" spans="2:24">
      <c r="B72" s="5"/>
      <c r="C72" s="5"/>
      <c r="D72" s="5"/>
      <c r="E72" s="43"/>
      <c r="F72" s="43"/>
      <c r="G72" s="43"/>
      <c r="H72" s="43"/>
      <c r="I72" s="43"/>
      <c r="J72" s="43"/>
      <c r="K72" s="5"/>
      <c r="L72" s="5"/>
      <c r="M72" s="5"/>
      <c r="N72" s="5"/>
      <c r="O72" s="5"/>
      <c r="P72" s="5"/>
      <c r="Q72" s="5"/>
      <c r="R72" s="216"/>
      <c r="S72" s="216"/>
      <c r="T72" s="5"/>
      <c r="U72" s="5"/>
      <c r="V72" s="215"/>
      <c r="W72" s="5"/>
      <c r="X72" s="5"/>
    </row>
    <row r="73" spans="2:24">
      <c r="B73" s="5"/>
      <c r="C73" s="5"/>
      <c r="D73" s="5"/>
      <c r="E73" s="43"/>
      <c r="F73" s="43"/>
      <c r="G73" s="43"/>
      <c r="H73" s="43"/>
      <c r="I73" s="43"/>
      <c r="J73" s="43"/>
      <c r="K73" s="5"/>
      <c r="L73" s="5"/>
      <c r="M73" s="5"/>
      <c r="N73" s="5"/>
      <c r="O73" s="5"/>
      <c r="P73" s="5"/>
      <c r="Q73" s="5"/>
      <c r="R73" s="216"/>
      <c r="S73" s="216"/>
      <c r="T73" s="536"/>
      <c r="U73" s="536"/>
      <c r="V73" s="217"/>
      <c r="W73" s="217"/>
      <c r="X73" s="217"/>
    </row>
    <row r="74" spans="2:24">
      <c r="B74" s="5"/>
      <c r="C74" s="5"/>
      <c r="D74" s="5"/>
      <c r="E74" s="43"/>
      <c r="F74" s="43"/>
      <c r="G74" s="43"/>
      <c r="H74" s="43"/>
      <c r="I74" s="43"/>
      <c r="J74" s="43"/>
      <c r="K74" s="5"/>
      <c r="L74" s="5"/>
      <c r="M74" s="5"/>
      <c r="N74" s="5"/>
      <c r="O74" s="5"/>
      <c r="P74" s="5"/>
      <c r="Q74" s="5"/>
      <c r="R74" s="5"/>
      <c r="S74" s="5"/>
      <c r="T74" s="5"/>
      <c r="U74" s="5"/>
      <c r="V74" s="5"/>
      <c r="W74" s="215"/>
      <c r="X74" s="215"/>
    </row>
    <row r="75" spans="2:24">
      <c r="B75" s="5"/>
      <c r="C75" s="5"/>
      <c r="W75" s="5"/>
      <c r="X75" s="5"/>
    </row>
    <row r="76" spans="2:24">
      <c r="B76" s="5"/>
      <c r="C76" s="5"/>
      <c r="W76" s="5"/>
      <c r="X76" s="5"/>
    </row>
    <row r="77" spans="2:24">
      <c r="B77" s="5"/>
      <c r="C77" s="5"/>
      <c r="W77" s="5"/>
      <c r="X77" s="5"/>
    </row>
    <row r="78" spans="2:24">
      <c r="B78" s="5"/>
      <c r="C78" s="5"/>
      <c r="W78" s="215"/>
      <c r="X78" s="215"/>
    </row>
    <row r="79" spans="2:24">
      <c r="B79" s="5"/>
      <c r="C79" s="5"/>
      <c r="W79" s="5"/>
      <c r="X79" s="5"/>
    </row>
    <row r="80" spans="2:24">
      <c r="B80" s="5"/>
      <c r="C80" s="5"/>
      <c r="W80" s="5"/>
      <c r="X80" s="5"/>
    </row>
    <row r="81" spans="2:24">
      <c r="B81" s="5"/>
      <c r="C81" s="5"/>
      <c r="W81" s="215"/>
      <c r="X81" s="215"/>
    </row>
    <row r="82" spans="2:24">
      <c r="B82" s="5"/>
      <c r="C82" s="5"/>
      <c r="W82" s="217"/>
      <c r="X82" s="217"/>
    </row>
    <row r="83" spans="2:24">
      <c r="B83" s="5"/>
      <c r="C83" s="5"/>
      <c r="W83" s="5"/>
      <c r="X83" s="5"/>
    </row>
  </sheetData>
  <mergeCells count="14">
    <mergeCell ref="T73:U73"/>
    <mergeCell ref="E33:G33"/>
    <mergeCell ref="T38:U38"/>
    <mergeCell ref="T48:U48"/>
    <mergeCell ref="T54:U54"/>
    <mergeCell ref="T66:U66"/>
    <mergeCell ref="B1:W1"/>
    <mergeCell ref="F4:O4"/>
    <mergeCell ref="F8:Q8"/>
    <mergeCell ref="T16:U16"/>
    <mergeCell ref="E27:H27"/>
    <mergeCell ref="O27:R27"/>
    <mergeCell ref="F18:P18"/>
    <mergeCell ref="T18:U18"/>
  </mergeCells>
  <pageMargins left="0.7" right="0.7" top="0.75" bottom="0.75" header="0.3" footer="0.3"/>
  <pageSetup orientation="portrait" horizontalDpi="1200" verticalDpi="1200" r:id="rId1"/>
  <headerFooter>
    <oddHeader>&amp;R&amp;F</oddHeader>
    <oddFooter xml:space="preserve">&amp;C_x000D_&amp;1#&amp;"Aptos"&amp;12&amp;K000000 Public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8C8AF-B96E-4B42-B266-DD578E366D3B}">
  <sheetPr codeName="Sheet8">
    <tabColor rgb="FF92D050"/>
    <pageSetUpPr autoPageBreaks="0"/>
  </sheetPr>
  <dimension ref="A1:AD126"/>
  <sheetViews>
    <sheetView tabSelected="1" topLeftCell="C1" workbookViewId="0"/>
  </sheetViews>
  <sheetFormatPr defaultColWidth="8.81640625" defaultRowHeight="14.5"/>
  <cols>
    <col min="1" max="1" width="7.453125" style="20" customWidth="1"/>
    <col min="2" max="2" width="14.453125" style="20" customWidth="1"/>
    <col min="3" max="4" width="13" style="20" customWidth="1"/>
    <col min="5" max="5" width="15.7265625" style="20" bestFit="1" customWidth="1"/>
    <col min="6" max="6" width="13.54296875" style="20" customWidth="1"/>
    <col min="7" max="7" width="15" style="20" bestFit="1" customWidth="1"/>
    <col min="8" max="8" width="14.1796875" style="20" customWidth="1"/>
    <col min="9" max="9" width="15" style="20" customWidth="1"/>
    <col min="10" max="10" width="14" style="20" customWidth="1"/>
    <col min="11" max="11" width="15" style="20" bestFit="1" customWidth="1"/>
    <col min="12" max="12" width="13" style="20" customWidth="1"/>
    <col min="13" max="14" width="14.1796875" style="20" customWidth="1"/>
    <col min="15" max="15" width="14.54296875" style="20" customWidth="1"/>
    <col min="16" max="16" width="25.81640625" style="20" customWidth="1"/>
    <col min="17" max="17" width="13" style="20" customWidth="1"/>
    <col min="18" max="18" width="15" style="20" bestFit="1" customWidth="1"/>
    <col min="19" max="19" width="13" style="20" customWidth="1"/>
    <col min="20" max="20" width="15.54296875" style="20" customWidth="1"/>
    <col min="21" max="21" width="16.54296875" style="20" customWidth="1"/>
    <col min="22" max="23" width="14" style="20" customWidth="1"/>
    <col min="24" max="24" width="29.1796875" style="20" bestFit="1" customWidth="1"/>
    <col min="25" max="25" width="15.7265625" style="20" bestFit="1" customWidth="1"/>
    <col min="26" max="26" width="12.81640625" style="20" customWidth="1"/>
    <col min="27" max="28" width="8.81640625" style="20"/>
    <col min="29" max="29" width="14.7265625" style="20" customWidth="1"/>
    <col min="30" max="30" width="13.1796875" style="20" customWidth="1"/>
    <col min="31" max="16384" width="8.81640625" style="20"/>
  </cols>
  <sheetData>
    <row r="1" spans="1:25">
      <c r="A1" s="383"/>
      <c r="B1" s="383"/>
      <c r="C1" s="383"/>
      <c r="D1" s="383"/>
      <c r="E1" s="383"/>
      <c r="F1" s="383"/>
      <c r="G1" s="383"/>
      <c r="H1" s="383"/>
      <c r="I1" s="383"/>
    </row>
    <row r="2" spans="1:25">
      <c r="A2" s="385"/>
      <c r="B2" s="557"/>
      <c r="C2" s="557"/>
      <c r="D2" s="557"/>
      <c r="F2" s="385"/>
    </row>
    <row r="3" spans="1:25">
      <c r="E3" s="558" t="s">
        <v>62</v>
      </c>
      <c r="F3" s="558"/>
      <c r="G3" s="558"/>
      <c r="H3" s="558"/>
      <c r="I3" s="558"/>
      <c r="M3" s="45"/>
      <c r="N3" s="45"/>
      <c r="O3" s="45"/>
      <c r="P3" s="558" t="s">
        <v>63</v>
      </c>
      <c r="Q3" s="558"/>
      <c r="R3" s="558"/>
      <c r="S3" s="558"/>
      <c r="T3" s="558"/>
    </row>
    <row r="4" spans="1:25" ht="15.75" customHeight="1">
      <c r="D4" s="5"/>
      <c r="E4" s="386">
        <f>'Hypothetical Summary'!$L$4</f>
        <v>2026</v>
      </c>
      <c r="F4" s="387">
        <f>'Hypothetical Summary'!$L$3</f>
        <v>46082</v>
      </c>
      <c r="G4" s="387">
        <f>'Hypothetical Summary'!$L$3</f>
        <v>46082</v>
      </c>
      <c r="H4" s="389" t="s">
        <v>20</v>
      </c>
      <c r="I4" s="389" t="s">
        <v>20</v>
      </c>
      <c r="L4" s="43"/>
      <c r="O4" s="5"/>
      <c r="P4" s="386">
        <f>'Hypothetical Summary'!$L$4</f>
        <v>2026</v>
      </c>
      <c r="Q4" s="387">
        <f>'Hypothetical Summary'!$L$3</f>
        <v>46082</v>
      </c>
      <c r="R4" s="387">
        <f>'Hypothetical Summary'!$L$3</f>
        <v>46082</v>
      </c>
      <c r="S4" s="501" t="s">
        <v>20</v>
      </c>
      <c r="T4" s="389" t="s">
        <v>20</v>
      </c>
    </row>
    <row r="5" spans="1:25" ht="30.65" customHeight="1">
      <c r="D5" s="5"/>
      <c r="E5" s="389" t="s">
        <v>39</v>
      </c>
      <c r="F5" s="389" t="s">
        <v>24</v>
      </c>
      <c r="G5" s="389" t="s">
        <v>40</v>
      </c>
      <c r="H5" s="389" t="s">
        <v>188</v>
      </c>
      <c r="I5" s="389" t="s">
        <v>40</v>
      </c>
      <c r="L5" s="6"/>
      <c r="M5" s="266"/>
      <c r="N5" s="266"/>
      <c r="O5" s="6"/>
      <c r="P5" s="389" t="s">
        <v>39</v>
      </c>
      <c r="Q5" s="389" t="s">
        <v>24</v>
      </c>
      <c r="R5" s="389" t="s">
        <v>40</v>
      </c>
      <c r="S5" s="389" t="s">
        <v>188</v>
      </c>
      <c r="T5" s="389" t="s">
        <v>40</v>
      </c>
      <c r="U5" s="389"/>
      <c r="V5" s="389"/>
    </row>
    <row r="6" spans="1:25" ht="15.5">
      <c r="B6" s="390"/>
      <c r="D6" s="390"/>
      <c r="E6" s="5"/>
      <c r="F6" s="5"/>
      <c r="G6" s="5"/>
      <c r="J6" s="43"/>
      <c r="K6" s="43"/>
      <c r="L6" s="43"/>
      <c r="O6" s="390"/>
      <c r="P6" s="5"/>
      <c r="Q6" s="5"/>
      <c r="R6" s="5"/>
      <c r="U6" s="43"/>
      <c r="V6" s="43"/>
    </row>
    <row r="7" spans="1:25" ht="15.5">
      <c r="D7" s="391" t="s">
        <v>41</v>
      </c>
      <c r="E7" s="75">
        <f>'Res Bill Impact'!Y39</f>
        <v>1452800430.3594003</v>
      </c>
      <c r="F7" s="392">
        <v>0.32561295831876069</v>
      </c>
      <c r="G7" s="129">
        <f t="shared" ref="G7:G12" si="0">F7*E7</f>
        <v>473050645.97609299</v>
      </c>
      <c r="H7" s="393">
        <f>(Y10/SUM(SUM(E7:E8),F9/F7*SUM(E9:E10),F11/F7*SUM(E11:E12),SUM(P7:P8)*(1+(Q7/F7-1)),SUM(P9:P10)*(1+(Q9/F9-1))*F9/F7,SUM(P11:P12)*(1+(Q11/F11-1))*F11/F7))</f>
        <v>0.32561295831876069</v>
      </c>
      <c r="I7" s="129">
        <f t="shared" ref="I7:I12" si="1">E7*H7</f>
        <v>473050645.97609299</v>
      </c>
      <c r="J7" s="393"/>
      <c r="K7" s="129"/>
      <c r="L7" s="394"/>
      <c r="O7" s="391" t="s">
        <v>41</v>
      </c>
      <c r="P7" s="75">
        <f>'Res Bill Impact'!Y51</f>
        <v>910964982.79669785</v>
      </c>
      <c r="Q7" s="392">
        <v>0.20127263378676605</v>
      </c>
      <c r="R7" s="129">
        <f t="shared" ref="R7:R12" si="2">Q7*P7</f>
        <v>183352321.37500739</v>
      </c>
      <c r="S7" s="393">
        <f t="shared" ref="S7:S12" si="3">H7*(1+(Q7/F7-1))</f>
        <v>0.20127263378676605</v>
      </c>
      <c r="T7" s="129">
        <f t="shared" ref="T7:T12" si="4">P7*S7</f>
        <v>183352321.37500739</v>
      </c>
      <c r="U7" s="393"/>
      <c r="V7" s="129"/>
      <c r="W7" s="394"/>
      <c r="X7" s="20" t="s">
        <v>46</v>
      </c>
    </row>
    <row r="8" spans="1:25" ht="15.5">
      <c r="D8" s="395" t="s">
        <v>42</v>
      </c>
      <c r="E8" s="75">
        <f>'Res Bill Impact'!Y40</f>
        <v>2191990574.7972364</v>
      </c>
      <c r="F8" s="392">
        <v>0.32561295831876069</v>
      </c>
      <c r="G8" s="129">
        <f t="shared" si="0"/>
        <v>713740535.66656888</v>
      </c>
      <c r="H8" s="393">
        <f>H7</f>
        <v>0.32561295831876069</v>
      </c>
      <c r="I8" s="129">
        <f t="shared" si="1"/>
        <v>713740535.66656888</v>
      </c>
      <c r="O8" s="395" t="s">
        <v>42</v>
      </c>
      <c r="P8" s="75">
        <f>'Res Bill Impact'!Y52</f>
        <v>1698591264.0983658</v>
      </c>
      <c r="Q8" s="392">
        <v>0.20127263378676605</v>
      </c>
      <c r="R8" s="129">
        <f t="shared" si="2"/>
        <v>341879937.45227039</v>
      </c>
      <c r="S8" s="393">
        <f t="shared" si="3"/>
        <v>0.20127263378676605</v>
      </c>
      <c r="T8" s="129">
        <f t="shared" si="4"/>
        <v>341879937.45227039</v>
      </c>
      <c r="U8" s="393"/>
      <c r="V8" s="129"/>
      <c r="W8" s="394"/>
      <c r="X8" s="20" t="s">
        <v>19</v>
      </c>
      <c r="Y8" s="396">
        <f>SUM(G7:G12)+SUM(R7:R12)</f>
        <v>3138661707.3271513</v>
      </c>
    </row>
    <row r="9" spans="1:25" ht="15.5">
      <c r="D9" s="391" t="s">
        <v>43</v>
      </c>
      <c r="E9" s="75">
        <f>'Res Bill Impact'!Y41</f>
        <v>1236691652.402801</v>
      </c>
      <c r="F9" s="392">
        <v>0.40701593321730439</v>
      </c>
      <c r="G9" s="129">
        <f t="shared" si="0"/>
        <v>503353207.0047763</v>
      </c>
      <c r="H9" s="393">
        <f>F9/F$7*H$7</f>
        <v>0.40701593321730439</v>
      </c>
      <c r="I9" s="129">
        <f t="shared" si="1"/>
        <v>503353207.0047763</v>
      </c>
      <c r="O9" s="391" t="s">
        <v>43</v>
      </c>
      <c r="P9" s="75">
        <f>'Res Bill Impact'!Y53</f>
        <v>708171358.60665298</v>
      </c>
      <c r="Q9" s="392">
        <v>0.25418456747082041</v>
      </c>
      <c r="R9" s="129">
        <f t="shared" si="2"/>
        <v>180006230.48265535</v>
      </c>
      <c r="S9" s="393">
        <f t="shared" si="3"/>
        <v>0.25418456747082041</v>
      </c>
      <c r="T9" s="129">
        <f t="shared" si="4"/>
        <v>180006230.48265535</v>
      </c>
      <c r="U9" s="393"/>
      <c r="V9" s="129"/>
      <c r="W9" s="394"/>
      <c r="X9" s="20" t="s">
        <v>187</v>
      </c>
      <c r="Y9" s="396">
        <f>('Hypothetical SAR and RAR'!U20-('Hypothetical SAR and RAR'!O10*'Hypothetical SAR and RAR'!O20))*1000</f>
        <v>0</v>
      </c>
    </row>
    <row r="10" spans="1:25" ht="15.5">
      <c r="D10" s="395" t="s">
        <v>42</v>
      </c>
      <c r="E10" s="75">
        <f>'Res Bill Impact'!Y42</f>
        <v>1347324889.4706311</v>
      </c>
      <c r="F10" s="392">
        <v>0.40701593321730439</v>
      </c>
      <c r="G10" s="129">
        <f t="shared" si="0"/>
        <v>548382697.23479044</v>
      </c>
      <c r="H10" s="393">
        <f>H9</f>
        <v>0.40701593321730439</v>
      </c>
      <c r="I10" s="129">
        <f t="shared" si="1"/>
        <v>548382697.23479044</v>
      </c>
      <c r="O10" s="395" t="s">
        <v>42</v>
      </c>
      <c r="P10" s="75">
        <f>'Res Bill Impact'!Y54</f>
        <v>766750452.53234386</v>
      </c>
      <c r="Q10" s="392">
        <v>0.25418456747082041</v>
      </c>
      <c r="R10" s="129">
        <f t="shared" si="2"/>
        <v>194896132.13498965</v>
      </c>
      <c r="S10" s="393">
        <f t="shared" si="3"/>
        <v>0.25418456747082041</v>
      </c>
      <c r="T10" s="129">
        <f t="shared" si="4"/>
        <v>194896132.13498965</v>
      </c>
      <c r="U10" s="393"/>
      <c r="V10" s="129"/>
      <c r="W10" s="394"/>
      <c r="X10" s="20" t="s">
        <v>20</v>
      </c>
      <c r="Y10" s="396">
        <f>Y8+Y9</f>
        <v>3138661707.3271513</v>
      </c>
    </row>
    <row r="11" spans="1:25" ht="15.5">
      <c r="D11" s="391" t="s">
        <v>44</v>
      </c>
      <c r="E11" s="75">
        <v>0</v>
      </c>
      <c r="F11" s="392">
        <v>0.40701593321730439</v>
      </c>
      <c r="G11" s="129">
        <f t="shared" si="0"/>
        <v>0</v>
      </c>
      <c r="H11" s="393">
        <f>F11/F$7*H$7</f>
        <v>0.40701593321730439</v>
      </c>
      <c r="I11" s="129">
        <f t="shared" si="1"/>
        <v>0</v>
      </c>
      <c r="O11" s="391" t="s">
        <v>44</v>
      </c>
      <c r="P11" s="75">
        <f>0</f>
        <v>0</v>
      </c>
      <c r="Q11" s="392">
        <v>0.25418456747081958</v>
      </c>
      <c r="R11" s="129">
        <f t="shared" si="2"/>
        <v>0</v>
      </c>
      <c r="S11" s="393">
        <f t="shared" si="3"/>
        <v>0.25418456747081958</v>
      </c>
      <c r="T11" s="129">
        <f t="shared" si="4"/>
        <v>0</v>
      </c>
      <c r="U11" s="393"/>
      <c r="V11" s="129"/>
      <c r="W11" s="394"/>
      <c r="Y11" s="396"/>
    </row>
    <row r="12" spans="1:25" ht="15.5">
      <c r="D12" s="395" t="s">
        <v>42</v>
      </c>
      <c r="E12" s="75">
        <v>0</v>
      </c>
      <c r="F12" s="392">
        <v>0.40701593321730439</v>
      </c>
      <c r="G12" s="129">
        <f t="shared" si="0"/>
        <v>0</v>
      </c>
      <c r="H12" s="393">
        <f>H11</f>
        <v>0.40701593321730439</v>
      </c>
      <c r="I12" s="129">
        <f t="shared" si="1"/>
        <v>0</v>
      </c>
      <c r="O12" s="395" t="s">
        <v>42</v>
      </c>
      <c r="P12" s="75">
        <v>0</v>
      </c>
      <c r="Q12" s="392">
        <v>0.25418456747081958</v>
      </c>
      <c r="R12" s="129">
        <f t="shared" si="2"/>
        <v>0</v>
      </c>
      <c r="S12" s="393">
        <f t="shared" si="3"/>
        <v>0.25418456747081958</v>
      </c>
      <c r="T12" s="129">
        <f t="shared" si="4"/>
        <v>0</v>
      </c>
      <c r="U12" s="393"/>
      <c r="V12" s="129"/>
      <c r="W12" s="394"/>
      <c r="Y12" s="396"/>
    </row>
    <row r="13" spans="1:25" ht="15.5">
      <c r="D13" s="395"/>
      <c r="E13" s="401"/>
      <c r="F13" s="392"/>
      <c r="G13" s="399"/>
      <c r="H13" s="5"/>
      <c r="I13" s="398"/>
      <c r="O13" s="395"/>
      <c r="P13" s="399"/>
      <c r="Q13" s="392"/>
      <c r="R13" s="399"/>
      <c r="S13" s="5"/>
      <c r="T13" s="398"/>
      <c r="U13" s="5"/>
      <c r="V13" s="398"/>
    </row>
    <row r="14" spans="1:25" ht="15.5">
      <c r="D14" s="395" t="s">
        <v>649</v>
      </c>
      <c r="E14" s="401"/>
      <c r="F14" s="392"/>
      <c r="G14" s="399"/>
      <c r="H14" s="399"/>
      <c r="I14" s="399"/>
      <c r="O14" s="395"/>
      <c r="P14" s="399"/>
      <c r="Q14" s="392"/>
      <c r="R14" s="399"/>
      <c r="S14" s="399"/>
      <c r="T14" s="399"/>
      <c r="U14" s="399"/>
      <c r="V14" s="399"/>
    </row>
    <row r="15" spans="1:25" ht="15.5">
      <c r="D15" s="20" t="s">
        <v>634</v>
      </c>
      <c r="E15" s="75">
        <f>'Res Bill Impact'!E15</f>
        <v>13081501.821975876</v>
      </c>
      <c r="F15" s="402">
        <f>12.08/R33</f>
        <v>0.39687885010266943</v>
      </c>
      <c r="G15" s="129">
        <f>F15*E15</f>
        <v>5191771.4007217605</v>
      </c>
      <c r="H15" s="393">
        <f>F15</f>
        <v>0.39687885010266943</v>
      </c>
      <c r="I15" s="129">
        <f>E15*H15</f>
        <v>5191771.4007217605</v>
      </c>
      <c r="J15" s="393"/>
      <c r="K15" s="129"/>
      <c r="L15" s="159"/>
      <c r="O15" s="20" t="s">
        <v>636</v>
      </c>
      <c r="P15" s="75">
        <f>'Res Bill Impact'!P15</f>
        <v>7779985.4698770009</v>
      </c>
      <c r="Q15" s="403">
        <f>6/R33</f>
        <v>0.1971252566735113</v>
      </c>
      <c r="R15" s="129">
        <f>Q15*P15</f>
        <v>1533631.6326656921</v>
      </c>
      <c r="S15" s="393">
        <f>Q15</f>
        <v>0.1971252566735113</v>
      </c>
      <c r="T15" s="129">
        <f>P15*S15</f>
        <v>1533631.6326656921</v>
      </c>
      <c r="U15" s="393"/>
      <c r="V15" s="129"/>
    </row>
    <row r="16" spans="1:25" ht="15.5">
      <c r="D16" s="20" t="s">
        <v>635</v>
      </c>
      <c r="E16" s="75">
        <f>'Res Bill Impact'!E16</f>
        <v>392462333.15946174</v>
      </c>
      <c r="F16" s="402">
        <f>24.15/R33</f>
        <v>0.79342915811088288</v>
      </c>
      <c r="G16" s="129">
        <f>F16*E16</f>
        <v>311391058.58894455</v>
      </c>
      <c r="H16" s="393">
        <f>F16</f>
        <v>0.79342915811088288</v>
      </c>
      <c r="I16" s="129">
        <f t="shared" ref="I16" si="5">E16*H16</f>
        <v>311391058.58894455</v>
      </c>
      <c r="J16" s="393"/>
      <c r="K16" s="129"/>
      <c r="P16" s="399"/>
      <c r="Q16" s="392"/>
      <c r="S16" s="159"/>
      <c r="U16" s="159"/>
    </row>
    <row r="17" spans="2:30">
      <c r="O17" s="404"/>
    </row>
    <row r="19" spans="2:30">
      <c r="B19" s="406"/>
      <c r="P19" s="20" t="str">
        <f>'Res Bill Impact'!P19</f>
        <v>2025 Recorded Average Monthly Usage (kWh) - Bundled/Basic/non-medical/non-FERA</v>
      </c>
      <c r="X19" s="20" t="str">
        <f>'Res Bill Impact'!X19</f>
        <v>2025 Recorded Average Monthly Usage (kWh) - Bundled/All Electric/non-medical/non-FERA</v>
      </c>
    </row>
    <row r="20" spans="2:30">
      <c r="B20" s="407" t="s">
        <v>145</v>
      </c>
      <c r="C20" s="407"/>
      <c r="E20" s="408"/>
      <c r="F20" s="408"/>
      <c r="H20" s="407" t="s">
        <v>36</v>
      </c>
      <c r="I20" s="407"/>
      <c r="J20" s="407"/>
      <c r="K20" s="407"/>
      <c r="L20" s="407" t="s">
        <v>216</v>
      </c>
      <c r="M20" s="407"/>
      <c r="N20" s="407"/>
      <c r="P20" s="409" t="s">
        <v>30</v>
      </c>
      <c r="Q20" s="410" t="s">
        <v>143</v>
      </c>
      <c r="R20" s="410" t="s">
        <v>144</v>
      </c>
      <c r="S20" s="410" t="s">
        <v>143</v>
      </c>
      <c r="T20" s="410" t="s">
        <v>144</v>
      </c>
      <c r="U20" s="547" t="s">
        <v>168</v>
      </c>
      <c r="V20" s="548"/>
      <c r="X20" s="409" t="s">
        <v>30</v>
      </c>
      <c r="Y20" s="410" t="s">
        <v>143</v>
      </c>
      <c r="Z20" s="410" t="s">
        <v>144</v>
      </c>
      <c r="AA20" s="410" t="s">
        <v>143</v>
      </c>
      <c r="AB20" s="410" t="s">
        <v>144</v>
      </c>
      <c r="AC20" s="547" t="s">
        <v>168</v>
      </c>
      <c r="AD20" s="548"/>
    </row>
    <row r="21" spans="2:30">
      <c r="B21" s="413" t="s">
        <v>24</v>
      </c>
      <c r="C21" s="414">
        <v>46023</v>
      </c>
      <c r="D21" s="414">
        <f>F4</f>
        <v>46082</v>
      </c>
      <c r="E21" s="415" t="s">
        <v>20</v>
      </c>
      <c r="F21" s="54"/>
      <c r="H21" s="416" t="s">
        <v>30</v>
      </c>
      <c r="I21" s="416" t="s">
        <v>576</v>
      </c>
      <c r="J21" s="416" t="s">
        <v>577</v>
      </c>
      <c r="L21" s="416" t="s">
        <v>30</v>
      </c>
      <c r="M21" s="416" t="s">
        <v>576</v>
      </c>
      <c r="N21" s="416" t="s">
        <v>577</v>
      </c>
      <c r="P21" s="290"/>
      <c r="Q21" s="547" t="s">
        <v>47</v>
      </c>
      <c r="R21" s="548"/>
      <c r="S21" s="547" t="s">
        <v>48</v>
      </c>
      <c r="T21" s="548"/>
      <c r="U21" s="502" t="s">
        <v>47</v>
      </c>
      <c r="V21" s="503" t="s">
        <v>48</v>
      </c>
      <c r="X21" s="290"/>
      <c r="Y21" s="547" t="s">
        <v>47</v>
      </c>
      <c r="Z21" s="548"/>
      <c r="AA21" s="547" t="s">
        <v>48</v>
      </c>
      <c r="AB21" s="548"/>
      <c r="AC21" s="411" t="s">
        <v>47</v>
      </c>
      <c r="AD21" s="412" t="s">
        <v>48</v>
      </c>
    </row>
    <row r="22" spans="2:30">
      <c r="B22" s="420" t="s">
        <v>26</v>
      </c>
      <c r="C22" s="54">
        <v>0.37839</v>
      </c>
      <c r="D22" s="54">
        <f>F7</f>
        <v>0.32561295831876069</v>
      </c>
      <c r="E22" s="54">
        <f>H7</f>
        <v>0.32561295831876069</v>
      </c>
      <c r="F22" s="54"/>
      <c r="H22" s="20" t="s">
        <v>195</v>
      </c>
      <c r="I22" s="396">
        <f>13.5*$R$33</f>
        <v>410.90625</v>
      </c>
      <c r="J22" s="396">
        <f>11*$R$33</f>
        <v>334.8125</v>
      </c>
      <c r="L22" s="20" t="s">
        <v>195</v>
      </c>
      <c r="M22" s="396">
        <f>15.2*$R$33</f>
        <v>462.65</v>
      </c>
      <c r="N22" s="396">
        <f>26*$R$33</f>
        <v>791.375</v>
      </c>
      <c r="P22" s="291" t="s">
        <v>195</v>
      </c>
      <c r="Q22" s="425">
        <f>'Res Bill Impact'!Q22</f>
        <v>499.75</v>
      </c>
      <c r="R22" s="425">
        <f>'Res Bill Impact'!R22</f>
        <v>389.5</v>
      </c>
      <c r="S22" s="425">
        <f>'Res Bill Impact'!S22</f>
        <v>603.75</v>
      </c>
      <c r="T22" s="425">
        <f>'Res Bill Impact'!T22</f>
        <v>509.875</v>
      </c>
      <c r="U22" s="257">
        <f>'Res Bill Impact'!U22</f>
        <v>4.9722793062389657E-2</v>
      </c>
      <c r="V22" s="168">
        <f>'Res Bill Impact'!V22</f>
        <v>2.5777934863202203E-2</v>
      </c>
      <c r="X22" s="291" t="s">
        <v>195</v>
      </c>
      <c r="Y22" s="425">
        <f>'Res Bill Impact'!Y22</f>
        <v>564.75</v>
      </c>
      <c r="Z22" s="425">
        <f>'Res Bill Impact'!Z22</f>
        <v>521.875</v>
      </c>
      <c r="AA22" s="425">
        <f>'Res Bill Impact'!AA22</f>
        <v>677.75</v>
      </c>
      <c r="AB22" s="425">
        <f>'Res Bill Impact'!AB22</f>
        <v>685.25</v>
      </c>
      <c r="AC22" s="256">
        <f>'Res Bill Impact'!AC22</f>
        <v>0.20088531148607908</v>
      </c>
      <c r="AD22" s="168">
        <f>'Res Bill Impact'!AD22</f>
        <v>0.17939553219448096</v>
      </c>
    </row>
    <row r="23" spans="2:30">
      <c r="B23" s="420" t="s">
        <v>27</v>
      </c>
      <c r="C23" s="54">
        <v>0.47405000000000003</v>
      </c>
      <c r="D23" s="54">
        <f>F9</f>
        <v>0.40701593321730439</v>
      </c>
      <c r="E23" s="54">
        <f>H9</f>
        <v>0.40701593321730439</v>
      </c>
      <c r="F23" s="54"/>
      <c r="H23" s="20" t="s">
        <v>196</v>
      </c>
      <c r="I23" s="396">
        <f>9.8*$R$33</f>
        <v>298.28750000000002</v>
      </c>
      <c r="J23" s="396">
        <f>11*$R$33</f>
        <v>334.8125</v>
      </c>
      <c r="L23" s="20" t="s">
        <v>196</v>
      </c>
      <c r="M23" s="396">
        <f>8.5*$R$33</f>
        <v>258.71875</v>
      </c>
      <c r="N23" s="396">
        <f>26*$R$33</f>
        <v>791.375</v>
      </c>
      <c r="P23" s="424" t="s">
        <v>196</v>
      </c>
      <c r="Q23" s="425">
        <f>'Res Bill Impact'!Q23</f>
        <v>354.25</v>
      </c>
      <c r="R23" s="425">
        <f>'Res Bill Impact'!R23</f>
        <v>413.5</v>
      </c>
      <c r="S23" s="425">
        <f>'Res Bill Impact'!S23</f>
        <v>323.75</v>
      </c>
      <c r="T23" s="425">
        <f>'Res Bill Impact'!T23</f>
        <v>440.875</v>
      </c>
      <c r="U23" s="257">
        <f>'Res Bill Impact'!U23</f>
        <v>3.6428896970648226E-4</v>
      </c>
      <c r="V23" s="168">
        <f>'Res Bill Impact'!V23</f>
        <v>1.1761705482757428E-4</v>
      </c>
      <c r="X23" s="424" t="s">
        <v>196</v>
      </c>
      <c r="Y23" s="425">
        <f>'Res Bill Impact'!Y23</f>
        <v>467.5</v>
      </c>
      <c r="Z23" s="425">
        <f>'Res Bill Impact'!Z23</f>
        <v>622</v>
      </c>
      <c r="AA23" s="425">
        <f>'Res Bill Impact'!AA23</f>
        <v>510</v>
      </c>
      <c r="AB23" s="425">
        <f>'Res Bill Impact'!AB23</f>
        <v>635.875</v>
      </c>
      <c r="AC23" s="257">
        <f>'Res Bill Impact'!AC23</f>
        <v>1.3542873003263688E-3</v>
      </c>
      <c r="AD23" s="168">
        <f>'Res Bill Impact'!AD23</f>
        <v>5.3613666228646514E-4</v>
      </c>
    </row>
    <row r="24" spans="2:30">
      <c r="B24" s="420" t="s">
        <v>64</v>
      </c>
      <c r="C24" s="54">
        <v>0.47405000000000003</v>
      </c>
      <c r="D24" s="54">
        <f>F11</f>
        <v>0.40701593321730439</v>
      </c>
      <c r="E24" s="54">
        <f>H11</f>
        <v>0.40701593321730439</v>
      </c>
      <c r="F24" s="54"/>
      <c r="H24" s="20" t="s">
        <v>197</v>
      </c>
      <c r="I24" s="396">
        <f>17.7*$R$33</f>
        <v>538.74374999999998</v>
      </c>
      <c r="J24" s="396">
        <f>10.4*$R$33</f>
        <v>316.55</v>
      </c>
      <c r="L24" s="20" t="s">
        <v>197</v>
      </c>
      <c r="M24" s="396">
        <f>19.9*$R$33</f>
        <v>605.70624999999995</v>
      </c>
      <c r="N24" s="396">
        <f>26.7*$R$33</f>
        <v>812.68124999999998</v>
      </c>
      <c r="P24" s="424" t="s">
        <v>197</v>
      </c>
      <c r="Q24" s="425">
        <f>'Res Bill Impact'!Q24</f>
        <v>735.5</v>
      </c>
      <c r="R24" s="425">
        <f>'Res Bill Impact'!R24</f>
        <v>391.25</v>
      </c>
      <c r="S24" s="425">
        <f>'Res Bill Impact'!S24</f>
        <v>862.5</v>
      </c>
      <c r="T24" s="425">
        <f>'Res Bill Impact'!T24</f>
        <v>443.375</v>
      </c>
      <c r="U24" s="257">
        <f>'Res Bill Impact'!U24</f>
        <v>0.29532859050658705</v>
      </c>
      <c r="V24" s="168">
        <f>'Res Bill Impact'!V24</f>
        <v>0.40234489398654733</v>
      </c>
      <c r="X24" s="424" t="s">
        <v>197</v>
      </c>
      <c r="Y24" s="425">
        <f>'Res Bill Impact'!Y24</f>
        <v>729.25</v>
      </c>
      <c r="Z24" s="425">
        <f>'Res Bill Impact'!Z24</f>
        <v>499.875</v>
      </c>
      <c r="AA24" s="425">
        <f>'Res Bill Impact'!AA24</f>
        <v>876.25</v>
      </c>
      <c r="AB24" s="425">
        <f>'Res Bill Impact'!AB24</f>
        <v>595.25</v>
      </c>
      <c r="AC24" s="257">
        <f>'Res Bill Impact'!AC24</f>
        <v>0.26385153565651831</v>
      </c>
      <c r="AD24" s="168">
        <f>'Res Bill Impact'!AD24</f>
        <v>0.34918715975220577</v>
      </c>
    </row>
    <row r="25" spans="2:30">
      <c r="B25" s="420" t="s">
        <v>635</v>
      </c>
      <c r="D25" s="54">
        <f>F16</f>
        <v>0.79342915811088288</v>
      </c>
      <c r="E25" s="54">
        <f>H16</f>
        <v>0.79342915811088288</v>
      </c>
      <c r="H25" s="20" t="s">
        <v>198</v>
      </c>
      <c r="I25" s="396">
        <f>15*$R$33</f>
        <v>456.5625</v>
      </c>
      <c r="J25" s="396">
        <f>10.2*$R$33</f>
        <v>310.46249999999998</v>
      </c>
      <c r="L25" s="20" t="s">
        <v>198</v>
      </c>
      <c r="M25" s="396">
        <f>17.8*$R$33</f>
        <v>541.78750000000002</v>
      </c>
      <c r="N25" s="396">
        <f>23.7*$R$33</f>
        <v>721.36874999999998</v>
      </c>
      <c r="P25" s="424" t="s">
        <v>198</v>
      </c>
      <c r="Q25" s="425">
        <f>'Res Bill Impact'!Q25</f>
        <v>611</v>
      </c>
      <c r="R25" s="425">
        <f>'Res Bill Impact'!R25</f>
        <v>390.875</v>
      </c>
      <c r="S25" s="425">
        <f>'Res Bill Impact'!S25</f>
        <v>709.25</v>
      </c>
      <c r="T25" s="425">
        <f>'Res Bill Impact'!T25</f>
        <v>436.625</v>
      </c>
      <c r="U25" s="257">
        <f>'Res Bill Impact'!U25</f>
        <v>0.34351389322303205</v>
      </c>
      <c r="V25" s="168">
        <f>'Res Bill Impact'!V25</f>
        <v>0.27223147036390066</v>
      </c>
      <c r="X25" s="424" t="s">
        <v>198</v>
      </c>
      <c r="Y25" s="425">
        <f>'Res Bill Impact'!Y25</f>
        <v>623.25</v>
      </c>
      <c r="Z25" s="425">
        <f>'Res Bill Impact'!Z25</f>
        <v>487</v>
      </c>
      <c r="AA25" s="425">
        <f>'Res Bill Impact'!AA25</f>
        <v>733.75</v>
      </c>
      <c r="AB25" s="425">
        <f>'Res Bill Impact'!AB25</f>
        <v>553.375</v>
      </c>
      <c r="AC25" s="257">
        <f>'Res Bill Impact'!AC25</f>
        <v>0.25556693433381505</v>
      </c>
      <c r="AD25" s="168">
        <f>'Res Bill Impact'!AD25</f>
        <v>0.2392701332832739</v>
      </c>
    </row>
    <row r="26" spans="2:30">
      <c r="B26" s="407" t="s">
        <v>186</v>
      </c>
      <c r="C26" s="407"/>
      <c r="D26" s="407"/>
      <c r="E26" s="408"/>
      <c r="F26" s="408"/>
      <c r="H26" s="20" t="s">
        <v>199</v>
      </c>
      <c r="I26" s="396">
        <f>6.5*$R$33</f>
        <v>197.84375</v>
      </c>
      <c r="J26" s="396">
        <f>7.5*$R$33</f>
        <v>228.28125</v>
      </c>
      <c r="L26" s="20" t="s">
        <v>199</v>
      </c>
      <c r="M26" s="396">
        <f>7.1*$R$33</f>
        <v>216.10624999999999</v>
      </c>
      <c r="N26" s="396">
        <f>12.9*$R$33</f>
        <v>392.64375000000001</v>
      </c>
      <c r="P26" s="424" t="s">
        <v>199</v>
      </c>
      <c r="Q26" s="425">
        <f>'Res Bill Impact'!Q26</f>
        <v>267</v>
      </c>
      <c r="R26" s="425">
        <f>'Res Bill Impact'!R26</f>
        <v>305.125</v>
      </c>
      <c r="S26" s="425">
        <f>'Res Bill Impact'!S26</f>
        <v>268.5</v>
      </c>
      <c r="T26" s="425">
        <f>'Res Bill Impact'!T26</f>
        <v>307.5</v>
      </c>
      <c r="U26" s="257">
        <f>'Res Bill Impact'!U26</f>
        <v>4.1946522697403392E-2</v>
      </c>
      <c r="V26" s="168">
        <f>'Res Bill Impact'!V26</f>
        <v>2.1486685483425305E-2</v>
      </c>
      <c r="X26" s="424" t="s">
        <v>199</v>
      </c>
      <c r="Y26" s="425">
        <f>'Res Bill Impact'!Y26</f>
        <v>270.5</v>
      </c>
      <c r="Z26" s="425">
        <f>'Res Bill Impact'!Z26</f>
        <v>345.5</v>
      </c>
      <c r="AA26" s="425">
        <f>'Res Bill Impact'!AA26</f>
        <v>262.75</v>
      </c>
      <c r="AB26" s="425">
        <f>'Res Bill Impact'!AB26</f>
        <v>334.125</v>
      </c>
      <c r="AC26" s="257">
        <f>'Res Bill Impact'!AC26</f>
        <v>2.8472574485801518E-2</v>
      </c>
      <c r="AD26" s="168">
        <f>'Res Bill Impact'!AD26</f>
        <v>2.4819973718791064E-2</v>
      </c>
    </row>
    <row r="27" spans="2:30">
      <c r="B27" s="413" t="s">
        <v>24</v>
      </c>
      <c r="C27" s="414">
        <f>$C$21</f>
        <v>46023</v>
      </c>
      <c r="D27" s="414">
        <f>D21</f>
        <v>46082</v>
      </c>
      <c r="E27" s="415" t="s">
        <v>20</v>
      </c>
      <c r="F27" s="408"/>
      <c r="H27" s="20" t="s">
        <v>200</v>
      </c>
      <c r="I27" s="396">
        <f>7.1*$R$33</f>
        <v>216.10624999999999</v>
      </c>
      <c r="J27" s="396">
        <f>8.1*$R$33</f>
        <v>246.54374999999999</v>
      </c>
      <c r="L27" s="20" t="s">
        <v>200</v>
      </c>
      <c r="M27" s="396">
        <f>10.4*$R$33</f>
        <v>316.55</v>
      </c>
      <c r="N27" s="396">
        <f>19.1*$R$33</f>
        <v>581.35625000000005</v>
      </c>
      <c r="P27" s="424" t="s">
        <v>200</v>
      </c>
      <c r="Q27" s="425">
        <f>'Res Bill Impact'!Q27</f>
        <v>313.75</v>
      </c>
      <c r="R27" s="425">
        <f>'Res Bill Impact'!R27</f>
        <v>355.875</v>
      </c>
      <c r="S27" s="425">
        <f>'Res Bill Impact'!S27</f>
        <v>284.25</v>
      </c>
      <c r="T27" s="425">
        <f>'Res Bill Impact'!T27</f>
        <v>347.625</v>
      </c>
      <c r="U27" s="257">
        <f>'Res Bill Impact'!U27</f>
        <v>1.9773414381884604E-3</v>
      </c>
      <c r="V27" s="168">
        <f>'Res Bill Impact'!V27</f>
        <v>1.4465715662838597E-3</v>
      </c>
      <c r="X27" s="424" t="s">
        <v>200</v>
      </c>
      <c r="Y27" s="425">
        <f>'Res Bill Impact'!Y27</f>
        <v>398.25</v>
      </c>
      <c r="Z27" s="425">
        <f>'Res Bill Impact'!Z27</f>
        <v>500.375</v>
      </c>
      <c r="AA27" s="425">
        <f>'Res Bill Impact'!AA27</f>
        <v>409.25</v>
      </c>
      <c r="AB27" s="425">
        <f>'Res Bill Impact'!AB27</f>
        <v>564.875</v>
      </c>
      <c r="AC27" s="257">
        <f>'Res Bill Impact'!AC27</f>
        <v>1.9677842328417062E-3</v>
      </c>
      <c r="AD27" s="168">
        <f>'Res Bill Impact'!AD27</f>
        <v>1.7345597897503286E-3</v>
      </c>
    </row>
    <row r="28" spans="2:30">
      <c r="B28" s="420" t="s">
        <v>26</v>
      </c>
      <c r="C28" s="54">
        <v>0.23024</v>
      </c>
      <c r="D28" s="54">
        <f>Q7</f>
        <v>0.20127263378676605</v>
      </c>
      <c r="E28" s="54">
        <f>S7</f>
        <v>0.20127263378676605</v>
      </c>
      <c r="F28" s="408"/>
      <c r="H28" s="20" t="s">
        <v>201</v>
      </c>
      <c r="I28" s="396">
        <f>19.2*$R$33</f>
        <v>584.4</v>
      </c>
      <c r="J28" s="396">
        <f>9.8*$R$33</f>
        <v>298.28750000000002</v>
      </c>
      <c r="L28" s="20" t="s">
        <v>201</v>
      </c>
      <c r="M28" s="396">
        <f>22.4*$R$33</f>
        <v>681.8</v>
      </c>
      <c r="N28" s="396">
        <f>19*$R$33</f>
        <v>578.3125</v>
      </c>
      <c r="P28" s="424" t="s">
        <v>201</v>
      </c>
      <c r="Q28" s="425">
        <f>'Res Bill Impact'!Q28</f>
        <v>807</v>
      </c>
      <c r="R28" s="425">
        <f>'Res Bill Impact'!R28</f>
        <v>354.125</v>
      </c>
      <c r="S28" s="425">
        <f>'Res Bill Impact'!S28</f>
        <v>933.75</v>
      </c>
      <c r="T28" s="425">
        <f>'Res Bill Impact'!T28</f>
        <v>413.875</v>
      </c>
      <c r="U28" s="257">
        <f>'Res Bill Impact'!U28</f>
        <v>0.14001555254072998</v>
      </c>
      <c r="V28" s="168">
        <f>'Res Bill Impact'!V28</f>
        <v>0.23920294645498355</v>
      </c>
      <c r="X28" s="424" t="s">
        <v>201</v>
      </c>
      <c r="Y28" s="425">
        <f>'Res Bill Impact'!Y28</f>
        <v>796.25</v>
      </c>
      <c r="Z28" s="425">
        <f>'Res Bill Impact'!Z28</f>
        <v>411.5</v>
      </c>
      <c r="AA28" s="425">
        <f>'Res Bill Impact'!AA28</f>
        <v>962.25</v>
      </c>
      <c r="AB28" s="425">
        <f>'Res Bill Impact'!AB28</f>
        <v>475.125</v>
      </c>
      <c r="AC28" s="257">
        <f>'Res Bill Impact'!AC28</f>
        <v>8.0058956959505378E-2</v>
      </c>
      <c r="AD28" s="168">
        <f>'Res Bill Impact'!AD28</f>
        <v>0.13965083536699832</v>
      </c>
    </row>
    <row r="29" spans="2:30">
      <c r="B29" s="420" t="s">
        <v>27</v>
      </c>
      <c r="C29" s="54">
        <v>0.29241</v>
      </c>
      <c r="D29" s="54">
        <f>Q9</f>
        <v>0.25418456747082041</v>
      </c>
      <c r="E29" s="54">
        <f>S9</f>
        <v>0.25418456747082041</v>
      </c>
      <c r="F29" s="54"/>
      <c r="H29" s="20" t="s">
        <v>202</v>
      </c>
      <c r="I29" s="396">
        <f>9.8*$R$33</f>
        <v>298.28750000000002</v>
      </c>
      <c r="J29" s="396">
        <f>9.7*$R$33</f>
        <v>295.24374999999998</v>
      </c>
      <c r="L29" s="20" t="s">
        <v>202</v>
      </c>
      <c r="M29" s="396">
        <f>8.5*$R$33</f>
        <v>258.71875</v>
      </c>
      <c r="N29" s="396">
        <f>14.6*$R$33</f>
        <v>444.38749999999999</v>
      </c>
      <c r="P29" s="424" t="s">
        <v>202</v>
      </c>
      <c r="Q29" s="425">
        <f>'Res Bill Impact'!Q29</f>
        <v>413.75</v>
      </c>
      <c r="R29" s="425">
        <f>'Res Bill Impact'!R29</f>
        <v>400.625</v>
      </c>
      <c r="S29" s="425">
        <f>'Res Bill Impact'!S29</f>
        <v>390.75</v>
      </c>
      <c r="T29" s="425">
        <f>'Res Bill Impact'!T29</f>
        <v>383</v>
      </c>
      <c r="U29" s="257">
        <f>'Res Bill Impact'!U29</f>
        <v>0.1034058367365011</v>
      </c>
      <c r="V29" s="168">
        <f>'Res Bill Impact'!V29</f>
        <v>3.2649666963467494E-2</v>
      </c>
      <c r="X29" s="424" t="s">
        <v>202</v>
      </c>
      <c r="Y29" s="425">
        <f>'Res Bill Impact'!Y29</f>
        <v>401.25</v>
      </c>
      <c r="Z29" s="425">
        <f>'Res Bill Impact'!Z29</f>
        <v>458</v>
      </c>
      <c r="AA29" s="425">
        <f>'Res Bill Impact'!AA29</f>
        <v>376.5</v>
      </c>
      <c r="AB29" s="425">
        <f>'Res Bill Impact'!AB29</f>
        <v>438.5</v>
      </c>
      <c r="AC29" s="257">
        <f>'Res Bill Impact'!AC29</f>
        <v>4.8529425839610271E-2</v>
      </c>
      <c r="AD29" s="168">
        <f>'Res Bill Impact'!AD29</f>
        <v>3.5006570302233905E-2</v>
      </c>
    </row>
    <row r="30" spans="2:30">
      <c r="B30" s="420" t="s">
        <v>64</v>
      </c>
      <c r="C30" s="54">
        <v>0.29241</v>
      </c>
      <c r="D30" s="54">
        <f>Q11</f>
        <v>0.25418456747081958</v>
      </c>
      <c r="E30" s="54">
        <f>S12</f>
        <v>0.25418456747081958</v>
      </c>
      <c r="F30" s="54"/>
      <c r="H30" s="20" t="s">
        <v>203</v>
      </c>
      <c r="I30" s="396">
        <f>10.5*$R$33</f>
        <v>319.59375</v>
      </c>
      <c r="J30" s="396">
        <f>11.1*$R$33</f>
        <v>337.85624999999999</v>
      </c>
      <c r="L30" s="20" t="s">
        <v>203</v>
      </c>
      <c r="M30" s="396">
        <f>12*$R$33</f>
        <v>365.25</v>
      </c>
      <c r="N30" s="396">
        <f>24*$R$33</f>
        <v>730.5</v>
      </c>
      <c r="P30" s="424" t="s">
        <v>203</v>
      </c>
      <c r="Q30" s="425">
        <f>'Res Bill Impact'!Q30</f>
        <v>348</v>
      </c>
      <c r="R30" s="425">
        <f>'Res Bill Impact'!R30</f>
        <v>314.625</v>
      </c>
      <c r="S30" s="425">
        <f>'Res Bill Impact'!S30</f>
        <v>497.75</v>
      </c>
      <c r="T30" s="425">
        <f>'Res Bill Impact'!T30</f>
        <v>489.625</v>
      </c>
      <c r="U30" s="257">
        <f>'Res Bill Impact'!U30</f>
        <v>2.1761626160508266E-2</v>
      </c>
      <c r="V30" s="168">
        <f>'Res Bill Impact'!V30</f>
        <v>4.6766077704682493E-3</v>
      </c>
      <c r="X30" s="424" t="s">
        <v>203</v>
      </c>
      <c r="Y30" s="425">
        <f>'Res Bill Impact'!Y30</f>
        <v>349.25</v>
      </c>
      <c r="Z30" s="425">
        <f>'Res Bill Impact'!Z30</f>
        <v>342.375</v>
      </c>
      <c r="AA30" s="425">
        <f>'Res Bill Impact'!AA30</f>
        <v>576.75</v>
      </c>
      <c r="AB30" s="425">
        <f>'Res Bill Impact'!AB30</f>
        <v>647.625</v>
      </c>
      <c r="AC30" s="257">
        <f>'Res Bill Impact'!AC30</f>
        <v>0.10653503440751128</v>
      </c>
      <c r="AD30" s="168">
        <f>'Res Bill Impact'!AD30</f>
        <v>2.9905012201989864E-2</v>
      </c>
    </row>
    <row r="31" spans="2:30">
      <c r="B31" s="420" t="s">
        <v>636</v>
      </c>
      <c r="C31" s="56"/>
      <c r="D31" s="54">
        <f>Q15</f>
        <v>0.1971252566735113</v>
      </c>
      <c r="E31" s="54">
        <f>S15</f>
        <v>0.1971252566735113</v>
      </c>
      <c r="F31" s="79"/>
      <c r="H31" s="20" t="s">
        <v>204</v>
      </c>
      <c r="I31" s="396">
        <f>5.9*$R$33</f>
        <v>179.58125000000001</v>
      </c>
      <c r="J31" s="396">
        <f>7.8*$R$33</f>
        <v>237.41249999999999</v>
      </c>
      <c r="L31" s="20" t="s">
        <v>204</v>
      </c>
      <c r="M31" s="396">
        <f>6.7*$R$33</f>
        <v>203.93125000000001</v>
      </c>
      <c r="N31" s="396">
        <f>15.7*$R$33</f>
        <v>477.86874999999998</v>
      </c>
      <c r="P31" s="55" t="s">
        <v>204</v>
      </c>
      <c r="Q31" s="427">
        <f>'Res Bill Impact'!Q31</f>
        <v>197.75</v>
      </c>
      <c r="R31" s="427">
        <f>'Res Bill Impact'!R31</f>
        <v>171.125</v>
      </c>
      <c r="S31" s="427">
        <f>'Res Bill Impact'!S31</f>
        <v>215</v>
      </c>
      <c r="T31" s="427">
        <f>'Res Bill Impact'!T31</f>
        <v>303.875</v>
      </c>
      <c r="U31" s="258">
        <f>'Res Bill Impact'!U31</f>
        <v>1.9635546649535715E-3</v>
      </c>
      <c r="V31" s="169">
        <f>'Res Bill Impact'!V31</f>
        <v>6.5605492893772597E-5</v>
      </c>
      <c r="X31" s="55" t="s">
        <v>204</v>
      </c>
      <c r="Y31" s="427">
        <f>'Res Bill Impact'!Y31</f>
        <v>204</v>
      </c>
      <c r="Z31" s="427">
        <f>'Res Bill Impact'!Z31</f>
        <v>168.5</v>
      </c>
      <c r="AA31" s="427">
        <f>'Res Bill Impact'!AA31</f>
        <v>345</v>
      </c>
      <c r="AB31" s="427">
        <f>'Res Bill Impact'!AB31</f>
        <v>449</v>
      </c>
      <c r="AC31" s="258">
        <f>'Res Bill Impact'!AC31</f>
        <v>1.277815529799106E-2</v>
      </c>
      <c r="AD31" s="169">
        <f>'Res Bill Impact'!AD31</f>
        <v>4.9408672798948751E-4</v>
      </c>
    </row>
    <row r="32" spans="2:30">
      <c r="B32" s="406"/>
      <c r="C32" s="56"/>
      <c r="D32" s="56"/>
      <c r="E32" s="79"/>
      <c r="F32" s="79"/>
    </row>
    <row r="33" spans="2:18">
      <c r="B33" s="406"/>
      <c r="C33" s="56"/>
      <c r="D33" s="56"/>
      <c r="E33" s="79"/>
      <c r="F33" s="79"/>
      <c r="Q33" s="21" t="s">
        <v>45</v>
      </c>
      <c r="R33" s="20">
        <f>365.25/12</f>
        <v>30.4375</v>
      </c>
    </row>
    <row r="34" spans="2:18">
      <c r="B34" s="406"/>
      <c r="C34" s="549" t="s">
        <v>238</v>
      </c>
      <c r="D34" s="549"/>
      <c r="E34" s="549"/>
      <c r="F34" s="549"/>
      <c r="G34" s="549"/>
      <c r="H34" s="549"/>
      <c r="J34" s="406"/>
      <c r="K34" s="549" t="s">
        <v>247</v>
      </c>
      <c r="L34" s="549"/>
      <c r="M34" s="549"/>
      <c r="N34" s="549"/>
      <c r="O34" s="549"/>
      <c r="P34" s="549"/>
    </row>
    <row r="35" spans="2:18">
      <c r="B35" s="406"/>
      <c r="C35" s="551">
        <f>$C$21</f>
        <v>46023</v>
      </c>
      <c r="D35" s="551"/>
      <c r="E35" s="550">
        <f>D27</f>
        <v>46082</v>
      </c>
      <c r="F35" s="551"/>
      <c r="G35" s="552" t="str">
        <f>E21</f>
        <v>Proposed</v>
      </c>
      <c r="H35" s="552"/>
      <c r="I35" s="98"/>
      <c r="J35" s="406"/>
      <c r="K35" s="551">
        <f>$C$21</f>
        <v>46023</v>
      </c>
      <c r="L35" s="551"/>
      <c r="M35" s="550">
        <f>$D$21</f>
        <v>46082</v>
      </c>
      <c r="N35" s="551"/>
      <c r="O35" s="552" t="str">
        <f>$E$21</f>
        <v>Proposed</v>
      </c>
      <c r="P35" s="552"/>
    </row>
    <row r="36" spans="2:18">
      <c r="B36" s="406"/>
      <c r="C36" s="56" t="s">
        <v>143</v>
      </c>
      <c r="D36" s="56" t="s">
        <v>144</v>
      </c>
      <c r="E36" s="56" t="s">
        <v>143</v>
      </c>
      <c r="F36" s="56" t="s">
        <v>144</v>
      </c>
      <c r="G36" s="56" t="s">
        <v>143</v>
      </c>
      <c r="H36" s="56" t="s">
        <v>144</v>
      </c>
      <c r="I36" s="56"/>
      <c r="J36" s="406"/>
      <c r="K36" s="56" t="s">
        <v>143</v>
      </c>
      <c r="L36" s="56" t="s">
        <v>144</v>
      </c>
      <c r="M36" s="56" t="s">
        <v>143</v>
      </c>
      <c r="N36" s="56" t="s">
        <v>144</v>
      </c>
      <c r="O36" s="56" t="s">
        <v>143</v>
      </c>
      <c r="P36" s="56" t="s">
        <v>144</v>
      </c>
    </row>
    <row r="37" spans="2:18">
      <c r="B37" s="20" t="s">
        <v>195</v>
      </c>
      <c r="C37" s="56">
        <f>IF(I22&lt;Q22,$C$22*I22+$C$23*(Q22-I22),$C$22*Q22)+($C$25*365.25/12)</f>
        <v>197.59919562499999</v>
      </c>
      <c r="D37" s="56">
        <f>IF(J22&lt;R22,$C$22*J22+$C$23*(R22-J22),$C$22*R22)+($C$25*365.25/12)</f>
        <v>152.61431125000001</v>
      </c>
      <c r="E37" s="56">
        <f>IF(I22&lt;Q22,$D$22*I22+$D$23*(Q22-I22),$D$22*Q22)+($D$25*365.25/12)</f>
        <v>194.10722147094313</v>
      </c>
      <c r="F37" s="56">
        <f>IF(J22&lt;R22,$D$22*J22+$D$23*(R22-J22),$D$22*R22)+($D$25*365.25/12)</f>
        <v>155.42797245492142</v>
      </c>
      <c r="G37" s="56">
        <f>IF(I22&lt;Q22,$E$22*I22+$E$23*(Q22-I22),$E$22*Q22)+($E$25*365.25/12)</f>
        <v>194.10722147094313</v>
      </c>
      <c r="H37" s="56">
        <f>IF(J22&lt;R22,$E$22*J22+$E$23*(R22-J22),$E$22*R22)+($E$25*365.25/12)</f>
        <v>155.42797245492142</v>
      </c>
      <c r="I37" s="56"/>
      <c r="J37" s="20" t="s">
        <v>195</v>
      </c>
      <c r="K37" s="56">
        <f>IF(M22&lt;Y22,$C$22*M22+$C$23*(Y22-M22),$C$22*Y22)+($C$25*365.25/12)</f>
        <v>223.4626385</v>
      </c>
      <c r="L37" s="56">
        <f>IF(N22&lt;Z22,$C$22*N22+$C$23*(Z22-N22),$C$22*Z22)+($C$25*365.25/12)</f>
        <v>197.47228125000001</v>
      </c>
      <c r="M37" s="56">
        <f>IF(M22&lt;Y22,$D$22*M22+$D$23*(Y22-M22),$D$22*Y22)+($D$25*365.25/12)</f>
        <v>216.35116194766144</v>
      </c>
      <c r="N37" s="56">
        <f>IF(N22&lt;Z22,$D$22*N22+$D$23*(Z22-N22),$D$22*Z22)+($D$25*365.25/12)</f>
        <v>194.07926262260324</v>
      </c>
      <c r="O37" s="56">
        <f>IF(M22&lt;Y22,$E$22*M22+$E$23*(Y22-M22),$E$22*Y22)+($E$25*365.25/12)</f>
        <v>216.35116194766144</v>
      </c>
      <c r="P37" s="56">
        <f>IF(N22&lt;Z22,$E$22*N22+$E$23*(Z22-N22),$E$22*Z22)+($E$25*365.25/12)</f>
        <v>194.07926262260324</v>
      </c>
    </row>
    <row r="38" spans="2:18" ht="18">
      <c r="B38" s="20" t="s">
        <v>196</v>
      </c>
      <c r="C38" s="56">
        <f t="shared" ref="C38:C46" si="6">IF(I23&lt;Q23,$C$22*I23+$C$23*(Q23-I23),$C$22*Q23)+($C$25*365.25/12)</f>
        <v>139.39803025000001</v>
      </c>
      <c r="D38" s="56">
        <f t="shared" ref="D38:D46" si="7">IF(J23&lt;R23,$C$22*J23+$C$23*(R23-J23),$C$22*R23)+($C$25*365.25/12)</f>
        <v>163.99151125</v>
      </c>
      <c r="E38" s="56">
        <f t="shared" ref="E38:E45" si="8">IF(I23&lt;Q23,$D$22*I23+$D$23*(Q23-I23),$D$22*Q23)+($D$25*365.25/12)</f>
        <v>144.05390446718073</v>
      </c>
      <c r="F38" s="56">
        <f t="shared" ref="F38:F46" si="9">IF(J23&lt;R23,$D$22*J23+$D$23*(R23-J23),$D$22*R23)+($D$25*365.25/12)</f>
        <v>165.19635485213669</v>
      </c>
      <c r="G38" s="56">
        <f t="shared" ref="G38:G46" si="10">IF(I23&lt;Q23,$E$22*I23+$E$23*(Q23-I23),$E$22*Q23)+($E$25*365.25/12)</f>
        <v>144.05390446718073</v>
      </c>
      <c r="H38" s="56">
        <f t="shared" ref="H38:H46" si="11">IF(J23&lt;R23,$E$22*J23+$E$23*(R23-J23),$E$22*R23)+($E$25*365.25/12)</f>
        <v>165.19635485213669</v>
      </c>
      <c r="I38" s="56"/>
      <c r="J38" s="20" t="s">
        <v>196</v>
      </c>
      <c r="K38" s="56">
        <f t="shared" ref="K38:K46" si="12">IF(M23&lt;Y23,$C$22*M23+$C$23*(Y23-M23),$C$22*Y23)+($C$25*365.25/12)</f>
        <v>196.86933937500001</v>
      </c>
      <c r="L38" s="56">
        <f t="shared" ref="L38:L46" si="13">IF(N23&lt;Z23,$C$22*N23+$C$23*(Z23-N23),$C$22*Z23)+($C$25*365.25/12)</f>
        <v>235.35857999999999</v>
      </c>
      <c r="M38" s="56">
        <f>IF(M23&lt;Y23,$D$22*M23+$D$23*(Y23-M23),$D$22*Y23)+($D$25*365.25/12)</f>
        <v>193.3694728670572</v>
      </c>
      <c r="N38" s="56">
        <f t="shared" ref="N38:N46" si="14">IF(N23&lt;Z23,$D$22*N23+$D$23*(Z23-N23),$D$22*Z23)+($D$25*365.25/12)</f>
        <v>226.68126007426915</v>
      </c>
      <c r="O38" s="56">
        <f t="shared" ref="O38:O46" si="15">IF(M23&lt;Y23,$E$22*M23+$E$23*(Y23-M23),$E$22*Y23)+($E$25*365.25/12)</f>
        <v>193.3694728670572</v>
      </c>
      <c r="P38" s="56">
        <f t="shared" ref="P38:P46" si="16">IF(N23&lt;Z23,$E$22*N23+$E$23*(Z23-N23),$E$22*Z23)+($E$25*365.25/12)</f>
        <v>226.68126007426915</v>
      </c>
      <c r="R38" s="504"/>
    </row>
    <row r="39" spans="2:18" ht="18">
      <c r="B39" s="20" t="s">
        <v>197</v>
      </c>
      <c r="C39" s="56">
        <f t="shared" si="6"/>
        <v>297.127547875</v>
      </c>
      <c r="D39" s="56">
        <f t="shared" si="7"/>
        <v>155.1908895</v>
      </c>
      <c r="E39" s="56">
        <f t="shared" si="8"/>
        <v>279.65487492333006</v>
      </c>
      <c r="F39" s="56">
        <f t="shared" si="9"/>
        <v>157.62687216713636</v>
      </c>
      <c r="G39" s="56">
        <f t="shared" si="10"/>
        <v>279.65487492333006</v>
      </c>
      <c r="H39" s="56">
        <f t="shared" si="11"/>
        <v>157.62687216713636</v>
      </c>
      <c r="I39" s="56"/>
      <c r="J39" s="20" t="s">
        <v>197</v>
      </c>
      <c r="K39" s="56">
        <f t="shared" si="12"/>
        <v>287.75910262500003</v>
      </c>
      <c r="L39" s="56">
        <f t="shared" si="13"/>
        <v>189.14770125000001</v>
      </c>
      <c r="M39" s="56">
        <f t="shared" ref="M39:M46" si="17">IF(M24&lt;Y24,$D$22*M24+$D$23*(Y24-M24),$D$22*Y24)+($D$25*365.25/12)</f>
        <v>271.66007863407816</v>
      </c>
      <c r="N39" s="56">
        <f t="shared" si="14"/>
        <v>186.91577753959049</v>
      </c>
      <c r="O39" s="56">
        <f t="shared" si="15"/>
        <v>271.66007863407816</v>
      </c>
      <c r="P39" s="56">
        <f t="shared" si="16"/>
        <v>186.91577753959049</v>
      </c>
      <c r="R39" s="504"/>
    </row>
    <row r="40" spans="2:18" ht="18">
      <c r="B40" s="20" t="s">
        <v>198</v>
      </c>
      <c r="C40" s="56">
        <f t="shared" si="6"/>
        <v>245.96978125000001</v>
      </c>
      <c r="D40" s="56">
        <f t="shared" si="7"/>
        <v>155.59545100000003</v>
      </c>
      <c r="E40" s="56">
        <f t="shared" si="8"/>
        <v>235.67118946865665</v>
      </c>
      <c r="F40" s="56">
        <f t="shared" si="9"/>
        <v>157.96978180187475</v>
      </c>
      <c r="G40" s="56">
        <f t="shared" si="10"/>
        <v>235.67118946865665</v>
      </c>
      <c r="H40" s="56">
        <f t="shared" si="11"/>
        <v>157.96978180187475</v>
      </c>
      <c r="I40" s="56"/>
      <c r="J40" s="20" t="s">
        <v>198</v>
      </c>
      <c r="K40" s="56">
        <f t="shared" si="12"/>
        <v>243.62427025</v>
      </c>
      <c r="L40" s="56">
        <f t="shared" si="13"/>
        <v>184.27592999999999</v>
      </c>
      <c r="M40" s="56">
        <f t="shared" si="17"/>
        <v>233.71956611484021</v>
      </c>
      <c r="N40" s="56">
        <f t="shared" si="14"/>
        <v>182.72351070123645</v>
      </c>
      <c r="O40" s="56">
        <f t="shared" si="15"/>
        <v>233.71956611484021</v>
      </c>
      <c r="P40" s="56">
        <f t="shared" si="16"/>
        <v>182.72351070123645</v>
      </c>
      <c r="R40" s="504"/>
    </row>
    <row r="41" spans="2:18" ht="18">
      <c r="B41" s="20" t="s">
        <v>199</v>
      </c>
      <c r="C41" s="56">
        <f t="shared" si="6"/>
        <v>107.645616875</v>
      </c>
      <c r="D41" s="56">
        <f t="shared" si="7"/>
        <v>122.80712187500001</v>
      </c>
      <c r="E41" s="56">
        <f t="shared" si="8"/>
        <v>116.71818435393651</v>
      </c>
      <c r="F41" s="56">
        <f t="shared" si="9"/>
        <v>129.75796375937182</v>
      </c>
      <c r="G41" s="56">
        <f t="shared" si="10"/>
        <v>116.71818435393651</v>
      </c>
      <c r="H41" s="56">
        <f t="shared" si="11"/>
        <v>129.75796375937182</v>
      </c>
      <c r="I41" s="56"/>
      <c r="J41" s="20" t="s">
        <v>199</v>
      </c>
      <c r="K41" s="56">
        <f t="shared" si="12"/>
        <v>107.55780112500001</v>
      </c>
      <c r="L41" s="56">
        <f t="shared" si="13"/>
        <v>130.733745</v>
      </c>
      <c r="M41" s="56">
        <f t="shared" si="17"/>
        <v>116.65611829111242</v>
      </c>
      <c r="N41" s="56">
        <f t="shared" si="14"/>
        <v>136.64927709913181</v>
      </c>
      <c r="O41" s="56">
        <f t="shared" si="15"/>
        <v>116.65611829111242</v>
      </c>
      <c r="P41" s="56">
        <f t="shared" si="16"/>
        <v>136.64927709913181</v>
      </c>
      <c r="R41" s="504"/>
    </row>
    <row r="42" spans="2:18" ht="15" customHeight="1">
      <c r="B42" s="20" t="s">
        <v>200</v>
      </c>
      <c r="C42" s="56">
        <f t="shared" si="6"/>
        <v>128.06046362500001</v>
      </c>
      <c r="D42" s="56">
        <f t="shared" si="7"/>
        <v>145.11816862500001</v>
      </c>
      <c r="E42" s="56">
        <f t="shared" si="8"/>
        <v>134.25955740276083</v>
      </c>
      <c r="F42" s="56">
        <f t="shared" si="9"/>
        <v>148.92740054106537</v>
      </c>
      <c r="G42" s="56">
        <f t="shared" si="10"/>
        <v>134.25955740276083</v>
      </c>
      <c r="H42" s="56">
        <f t="shared" si="11"/>
        <v>148.92740054106537</v>
      </c>
      <c r="I42" s="56"/>
      <c r="J42" s="20" t="s">
        <v>200</v>
      </c>
      <c r="K42" s="56">
        <f t="shared" si="12"/>
        <v>158.50923950000001</v>
      </c>
      <c r="L42" s="56">
        <f t="shared" si="13"/>
        <v>189.33689625</v>
      </c>
      <c r="M42" s="56">
        <f t="shared" si="17"/>
        <v>160.47598369965746</v>
      </c>
      <c r="N42" s="56">
        <f t="shared" si="14"/>
        <v>187.07858401874989</v>
      </c>
      <c r="O42" s="56">
        <f t="shared" si="15"/>
        <v>160.47598369965746</v>
      </c>
      <c r="P42" s="56">
        <f t="shared" si="16"/>
        <v>187.07858401874989</v>
      </c>
      <c r="R42" s="504"/>
    </row>
    <row r="43" spans="2:18" ht="15" customHeight="1">
      <c r="B43" s="20" t="s">
        <v>201</v>
      </c>
      <c r="C43" s="56">
        <f t="shared" si="6"/>
        <v>326.65464600000001</v>
      </c>
      <c r="D43" s="56">
        <f t="shared" si="7"/>
        <v>139.338774</v>
      </c>
      <c r="E43" s="56">
        <f t="shared" si="8"/>
        <v>305.0399595756557</v>
      </c>
      <c r="F43" s="56">
        <f t="shared" si="9"/>
        <v>144.00302747552857</v>
      </c>
      <c r="G43" s="56">
        <f t="shared" si="10"/>
        <v>305.0399595756557</v>
      </c>
      <c r="H43" s="56">
        <f t="shared" si="11"/>
        <v>144.00302747552857</v>
      </c>
      <c r="I43" s="56"/>
      <c r="J43" s="20" t="s">
        <v>201</v>
      </c>
      <c r="K43" s="56">
        <f t="shared" si="12"/>
        <v>312.24132450000002</v>
      </c>
      <c r="L43" s="56">
        <f t="shared" si="13"/>
        <v>155.70748499999999</v>
      </c>
      <c r="M43" s="56">
        <f t="shared" si="17"/>
        <v>292.73588853845149</v>
      </c>
      <c r="N43" s="56">
        <f t="shared" si="14"/>
        <v>158.13973234817004</v>
      </c>
      <c r="O43" s="56">
        <f t="shared" si="15"/>
        <v>292.73588853845149</v>
      </c>
      <c r="P43" s="56">
        <f t="shared" si="16"/>
        <v>158.13973234817004</v>
      </c>
      <c r="R43" s="504"/>
    </row>
    <row r="44" spans="2:18" ht="15" customHeight="1">
      <c r="B44" s="20" t="s">
        <v>202</v>
      </c>
      <c r="C44" s="56">
        <f t="shared" si="6"/>
        <v>167.60400525</v>
      </c>
      <c r="D44" s="56">
        <f t="shared" si="7"/>
        <v>161.673264125</v>
      </c>
      <c r="E44" s="56">
        <f t="shared" si="8"/>
        <v>168.27135249361035</v>
      </c>
      <c r="F44" s="56">
        <f t="shared" si="9"/>
        <v>163.17703867498068</v>
      </c>
      <c r="G44" s="56">
        <f t="shared" si="10"/>
        <v>168.27135249361035</v>
      </c>
      <c r="H44" s="56">
        <f t="shared" si="11"/>
        <v>163.17703867498068</v>
      </c>
      <c r="I44" s="56"/>
      <c r="J44" s="20" t="s">
        <v>202</v>
      </c>
      <c r="K44" s="56">
        <f t="shared" si="12"/>
        <v>165.46352687500001</v>
      </c>
      <c r="L44" s="56">
        <f t="shared" si="13"/>
        <v>174.60479175</v>
      </c>
      <c r="M44" s="56">
        <f t="shared" si="17"/>
        <v>166.40466729141079</v>
      </c>
      <c r="N44" s="56">
        <f t="shared" si="14"/>
        <v>174.38883290579881</v>
      </c>
      <c r="O44" s="56">
        <f t="shared" si="15"/>
        <v>166.40466729141079</v>
      </c>
      <c r="P44" s="56">
        <f t="shared" si="16"/>
        <v>174.38883290579881</v>
      </c>
      <c r="R44" s="504"/>
    </row>
    <row r="45" spans="2:18">
      <c r="B45" s="20" t="s">
        <v>203</v>
      </c>
      <c r="C45" s="56">
        <f t="shared" si="6"/>
        <v>134.39706187499999</v>
      </c>
      <c r="D45" s="56">
        <f t="shared" si="7"/>
        <v>119.05095375000001</v>
      </c>
      <c r="E45" s="56">
        <f t="shared" si="8"/>
        <v>139.77566275064046</v>
      </c>
      <c r="F45" s="56">
        <f t="shared" si="9"/>
        <v>126.59597701104008</v>
      </c>
      <c r="G45" s="56">
        <f t="shared" si="10"/>
        <v>139.77566275064046</v>
      </c>
      <c r="H45" s="56">
        <f t="shared" si="11"/>
        <v>126.59597701104008</v>
      </c>
      <c r="I45" s="56"/>
      <c r="J45" s="20" t="s">
        <v>203</v>
      </c>
      <c r="K45" s="56">
        <f t="shared" si="12"/>
        <v>132.15270749999999</v>
      </c>
      <c r="L45" s="56">
        <f t="shared" si="13"/>
        <v>129.55127625</v>
      </c>
      <c r="M45" s="56">
        <f t="shared" si="17"/>
        <v>137.87032569282718</v>
      </c>
      <c r="N45" s="56">
        <f t="shared" si="14"/>
        <v>135.63173660438568</v>
      </c>
      <c r="O45" s="56">
        <f t="shared" si="15"/>
        <v>137.87032569282718</v>
      </c>
      <c r="P45" s="56">
        <f t="shared" si="16"/>
        <v>135.63173660438568</v>
      </c>
    </row>
    <row r="46" spans="2:18">
      <c r="B46" s="20" t="s">
        <v>204</v>
      </c>
      <c r="C46" s="56">
        <f t="shared" si="6"/>
        <v>76.564645124999998</v>
      </c>
      <c r="D46" s="56">
        <f t="shared" si="7"/>
        <v>64.751988749999995</v>
      </c>
      <c r="E46" s="56">
        <f>IF(I31&lt;Q31,$D$22*I31+$D$23*(Q31-I31),$D$22*Q31)+($D$25*365.25/12)</f>
        <v>90.01895280772284</v>
      </c>
      <c r="F46" s="56">
        <f t="shared" si="9"/>
        <v>79.870517492297921</v>
      </c>
      <c r="G46" s="56">
        <f t="shared" si="10"/>
        <v>90.01895280772284</v>
      </c>
      <c r="H46" s="56">
        <f t="shared" si="11"/>
        <v>79.870517492297921</v>
      </c>
      <c r="I46" s="56"/>
      <c r="J46" s="20" t="s">
        <v>204</v>
      </c>
      <c r="K46" s="56">
        <f t="shared" si="12"/>
        <v>77.198136625000004</v>
      </c>
      <c r="L46" s="56">
        <f t="shared" si="13"/>
        <v>63.758715000000002</v>
      </c>
      <c r="M46" s="56">
        <f t="shared" si="17"/>
        <v>90.580639951551447</v>
      </c>
      <c r="N46" s="56">
        <f t="shared" si="14"/>
        <v>79.015783476711178</v>
      </c>
      <c r="O46" s="56">
        <f t="shared" si="15"/>
        <v>90.580639951551447</v>
      </c>
      <c r="P46" s="56">
        <f t="shared" si="16"/>
        <v>79.015783476711178</v>
      </c>
    </row>
    <row r="47" spans="2:18" s="440" customFormat="1">
      <c r="B47" s="20" t="s">
        <v>194</v>
      </c>
      <c r="C47" s="78">
        <f t="shared" ref="C47:H47" si="18">SUMPRODUCT(C37:C46,$U$22:$U$31)</f>
        <v>253.0318413746771</v>
      </c>
      <c r="D47" s="78">
        <f t="shared" si="18"/>
        <v>151.31337681086688</v>
      </c>
      <c r="E47" s="78">
        <f t="shared" si="18"/>
        <v>241.74091860757559</v>
      </c>
      <c r="F47" s="78">
        <f t="shared" si="18"/>
        <v>154.29029068644891</v>
      </c>
      <c r="G47" s="78">
        <f t="shared" si="18"/>
        <v>241.74091860757559</v>
      </c>
      <c r="H47" s="78">
        <f t="shared" si="18"/>
        <v>154.29029068644891</v>
      </c>
      <c r="I47" s="78"/>
      <c r="J47" s="20" t="s">
        <v>194</v>
      </c>
      <c r="K47" s="78">
        <f t="shared" ref="K47:P47" si="19">SUMPRODUCT(K37:K46,$AC$22:$AC$31)</f>
        <v>234.81223561170768</v>
      </c>
      <c r="L47" s="78">
        <f t="shared" si="19"/>
        <v>176.6403878255326</v>
      </c>
      <c r="M47" s="78">
        <f t="shared" si="19"/>
        <v>226.12697867475751</v>
      </c>
      <c r="N47" s="78">
        <f t="shared" si="19"/>
        <v>176.15235372568586</v>
      </c>
      <c r="O47" s="78">
        <f t="shared" si="19"/>
        <v>226.12697867475751</v>
      </c>
      <c r="P47" s="78">
        <f t="shared" si="19"/>
        <v>176.15235372568586</v>
      </c>
    </row>
    <row r="48" spans="2:18">
      <c r="B48" s="406"/>
      <c r="C48" s="56"/>
      <c r="D48" s="56"/>
      <c r="E48" s="79"/>
      <c r="F48" s="441"/>
      <c r="G48" s="443"/>
      <c r="H48" s="443"/>
      <c r="I48" s="443"/>
      <c r="J48" s="406"/>
      <c r="K48" s="56"/>
      <c r="L48" s="56"/>
      <c r="M48" s="79"/>
      <c r="N48" s="441"/>
      <c r="O48" s="443"/>
      <c r="P48" s="443"/>
    </row>
    <row r="49" spans="2:16">
      <c r="B49" s="406"/>
      <c r="C49" s="56"/>
      <c r="D49" s="56"/>
      <c r="E49" s="79"/>
      <c r="F49" s="56"/>
      <c r="G49" s="443"/>
      <c r="H49" s="443"/>
      <c r="I49" s="443"/>
      <c r="J49" s="406"/>
      <c r="K49" s="56"/>
      <c r="L49" s="56"/>
      <c r="M49" s="79"/>
      <c r="N49" s="56"/>
      <c r="O49" s="443"/>
      <c r="P49" s="443"/>
    </row>
    <row r="50" spans="2:16">
      <c r="B50" s="406"/>
      <c r="C50" s="549" t="s">
        <v>239</v>
      </c>
      <c r="D50" s="549"/>
      <c r="E50" s="549"/>
      <c r="F50" s="549"/>
      <c r="G50" s="549"/>
      <c r="H50" s="549"/>
      <c r="J50" s="406"/>
      <c r="K50" s="549" t="s">
        <v>248</v>
      </c>
      <c r="L50" s="549"/>
      <c r="M50" s="549"/>
      <c r="N50" s="549"/>
      <c r="O50" s="549"/>
      <c r="P50" s="549"/>
    </row>
    <row r="51" spans="2:16">
      <c r="B51" s="406"/>
      <c r="C51" s="551">
        <f>$C$21</f>
        <v>46023</v>
      </c>
      <c r="D51" s="551"/>
      <c r="E51" s="550">
        <f>D27</f>
        <v>46082</v>
      </c>
      <c r="F51" s="550"/>
      <c r="G51" s="552" t="str">
        <f>E27</f>
        <v>Proposed</v>
      </c>
      <c r="H51" s="552"/>
      <c r="I51" s="98"/>
      <c r="J51" s="406"/>
      <c r="K51" s="551">
        <f>$C$21</f>
        <v>46023</v>
      </c>
      <c r="L51" s="551"/>
      <c r="M51" s="550">
        <f>$D$21</f>
        <v>46082</v>
      </c>
      <c r="N51" s="550"/>
      <c r="O51" s="552" t="str">
        <f>$E$21</f>
        <v>Proposed</v>
      </c>
      <c r="P51" s="552"/>
    </row>
    <row r="52" spans="2:16">
      <c r="B52" s="406"/>
      <c r="C52" s="56" t="s">
        <v>143</v>
      </c>
      <c r="D52" s="56" t="s">
        <v>144</v>
      </c>
      <c r="E52" s="56" t="s">
        <v>143</v>
      </c>
      <c r="F52" s="56" t="s">
        <v>144</v>
      </c>
      <c r="G52" s="56" t="s">
        <v>143</v>
      </c>
      <c r="H52" s="56" t="s">
        <v>144</v>
      </c>
      <c r="I52" s="56"/>
      <c r="J52" s="406"/>
      <c r="K52" s="56" t="s">
        <v>143</v>
      </c>
      <c r="L52" s="56" t="s">
        <v>144</v>
      </c>
      <c r="M52" s="56" t="s">
        <v>143</v>
      </c>
      <c r="N52" s="56" t="s">
        <v>144</v>
      </c>
      <c r="O52" s="56" t="s">
        <v>143</v>
      </c>
      <c r="P52" s="56" t="s">
        <v>144</v>
      </c>
    </row>
    <row r="53" spans="2:16">
      <c r="B53" s="20" t="s">
        <v>195</v>
      </c>
      <c r="C53" s="56">
        <f>IF(I22&lt;S22,$C$28*I22+$C$29*(S22-I22),$C$28*S22)+($C$31*365.25/12)</f>
        <v>150.99649593750001</v>
      </c>
      <c r="D53" s="56">
        <f>IF(J22&lt;T22,$C$28*J22+$C$29*(T22-J22),$C$28*T22)+($C$31*365.25/12)</f>
        <v>128.27725562500001</v>
      </c>
      <c r="E53" s="56">
        <f>IF(I22&lt;S22,$D$28*I22+$D$29*(S22-I22),$D$28*S22)+($D$31*365.25/12)</f>
        <v>137.72208836014437</v>
      </c>
      <c r="F53" s="56">
        <f>IF(J22&lt;T22,$D$28*J22+$D$29*(T22-J22),$D$28*T22)+($D$30*365.25/12)</f>
        <v>119.62352231498518</v>
      </c>
      <c r="G53" s="56">
        <f>IF(I22&lt;S22,$E$28*I22+$E$29*(S22-I22),$E$28*S22)+($E$31*365.25/12)</f>
        <v>137.72208836014437</v>
      </c>
      <c r="H53" s="56">
        <f>IF(J22&lt;T22,$E$28*J22+$E$29*(T22-J22),$E$28*T22)+($E$31*365.25/12)</f>
        <v>117.88677954259211</v>
      </c>
      <c r="I53" s="56"/>
      <c r="J53" s="20" t="s">
        <v>195</v>
      </c>
      <c r="K53" s="56">
        <f>IF(M22&lt;AA22,$C$28*M22+$C$29*(AA22-M22),$C$28*AA22)+($C$31*365.25/12)</f>
        <v>169.41792699999999</v>
      </c>
      <c r="L53" s="56">
        <f>IF(N22&lt;AB22,$C$28*N22+$C$29*(AB22-N22),$C$28*AB22)+($C$31*365.25/12)</f>
        <v>157.77196000000001</v>
      </c>
      <c r="M53" s="56">
        <f>IF(M22&lt;AA22,$D$28*M22+$D$29*(AA22-M22),$D$28*AA22)+($D$31*365.25/12)</f>
        <v>153.7938844844208</v>
      </c>
      <c r="N53" s="56">
        <f>IF(N22&lt;AB22,$D$28*N22+$D$29*(AB22-N22),$D$28*AB22)+($D$31*365.25/12)</f>
        <v>143.92207230238142</v>
      </c>
      <c r="O53" s="56">
        <f>IF(M22&lt;AA22,$E$28*M22+$E$29*(AA22-M22),$E$28*AA22)+($E$31*365.25/12)</f>
        <v>153.7938844844208</v>
      </c>
      <c r="P53" s="56">
        <f>IF(N22&lt;AB22,$E$28*N22+$E$29*(AB22-N22),$E$28*AB22)+($E$31*365.25/12)</f>
        <v>143.92207230238142</v>
      </c>
    </row>
    <row r="54" spans="2:16">
      <c r="B54" s="20" t="s">
        <v>196</v>
      </c>
      <c r="C54" s="56">
        <f t="shared" ref="C54:C62" si="20">IF(I23&lt;S23,$C$28*I23+$C$29*(S23-I23),$C$28*S23)+($C$31*365.25/12)</f>
        <v>76.123203625000002</v>
      </c>
      <c r="D54" s="56">
        <f t="shared" ref="D54:D62" si="21">IF(J23&lt;T23,$C$28*J23+$C$29*(T23-J23),$C$28*T23)+($C$31*365.25/12)</f>
        <v>108.100965625</v>
      </c>
      <c r="E54" s="56">
        <f>IF(I23&lt;S23,$D$28*I23+$D$29*(S23-I23),$D$28*S23)+($D$31*365.25/12)</f>
        <v>72.509285299895737</v>
      </c>
      <c r="F54" s="56">
        <f t="shared" ref="F54:F62" si="22">IF(J23&lt;T23,$D$28*J23+$D$29*(T23-J23),$D$28*T23)+($D$30*365.25/12)</f>
        <v>102.08478715949856</v>
      </c>
      <c r="G54" s="56">
        <f t="shared" ref="G54:G61" si="23">IF(I23&lt;S23,$E$28*I23+$E$29*(S23-I23),$E$28*S23)+($E$31*365.25/12)</f>
        <v>72.509285299895737</v>
      </c>
      <c r="H54" s="56">
        <f t="shared" ref="H54:H62" si="24">IF(J23&lt;T23,$E$28*J23+$E$29*(T23-J23),$E$28*T23)+($E$31*365.25/12)</f>
        <v>100.34804438710549</v>
      </c>
      <c r="I54" s="56"/>
      <c r="J54" s="20" t="s">
        <v>196</v>
      </c>
      <c r="K54" s="56">
        <f t="shared" ref="K54:K61" si="25">IF(M23&lt;AA23,$C$28*M23+$C$29*(AA23-M23),$C$28*AA23)+($C$31*365.25/12)</f>
        <v>133.04455531249999</v>
      </c>
      <c r="L54" s="56">
        <f t="shared" ref="L54:L62" si="26">IF(N23&lt;AB23,$C$28*N23+$C$29*(AB23-N23),$C$28*AB23)+($C$31*365.25/12)</f>
        <v>146.40386000000001</v>
      </c>
      <c r="M54" s="56">
        <f t="shared" ref="M54:M62" si="27">IF(M23&lt;AA23,$D$28*M23+$D$29*(AA23-M23),$D$28*AA23)+($D$31*365.25/12)</f>
        <v>121.94482006729697</v>
      </c>
      <c r="N54" s="56">
        <f t="shared" ref="N54:N62" si="28">IF(N23&lt;AB23,$D$28*N23+$D$29*(AB23-N23),$D$28*AB23)+($D$31*365.25/12)</f>
        <v>133.98423600915987</v>
      </c>
      <c r="O54" s="56">
        <f t="shared" ref="O54:O62" si="29">IF(M23&lt;AA23,$E$28*M23+$E$29*(AA23-M23),$E$28*AA23)+($E$31*365.25/12)</f>
        <v>121.94482006729697</v>
      </c>
      <c r="P54" s="56">
        <f t="shared" ref="P54:P62" si="30">IF(N23&lt;AB23,$E$28*N23+$E$29*(AB23-N23),$E$28*AB23)+($E$31*365.25/12)</f>
        <v>133.98423600915987</v>
      </c>
    </row>
    <row r="55" spans="2:16">
      <c r="B55" s="20" t="s">
        <v>197</v>
      </c>
      <c r="C55" s="56">
        <f t="shared" si="20"/>
        <v>218.70992606250002</v>
      </c>
      <c r="D55" s="56">
        <f t="shared" si="21"/>
        <v>109.96737025</v>
      </c>
      <c r="E55" s="56">
        <f t="shared" ref="E55:E62" si="31">IF(I24&lt;S24,$D$28*I24+$D$29*(S24-I24),$D$28*S24)+($D$31*365.25/12)</f>
        <v>196.72821587088384</v>
      </c>
      <c r="F55" s="56">
        <f t="shared" si="22"/>
        <v>103.68655276708066</v>
      </c>
      <c r="G55" s="56">
        <f t="shared" si="23"/>
        <v>196.72821587088384</v>
      </c>
      <c r="H55" s="56">
        <f t="shared" si="24"/>
        <v>101.94980999468758</v>
      </c>
      <c r="I55" s="56"/>
      <c r="J55" s="20" t="s">
        <v>197</v>
      </c>
      <c r="K55" s="56">
        <f t="shared" si="25"/>
        <v>218.56750493750002</v>
      </c>
      <c r="L55" s="56">
        <f t="shared" si="26"/>
        <v>137.05036000000001</v>
      </c>
      <c r="M55" s="56">
        <f t="shared" si="27"/>
        <v>196.68013831428914</v>
      </c>
      <c r="N55" s="56">
        <f t="shared" si="28"/>
        <v>125.8075352615725</v>
      </c>
      <c r="O55" s="56">
        <f t="shared" si="29"/>
        <v>196.68013831428914</v>
      </c>
      <c r="P55" s="56">
        <f t="shared" si="30"/>
        <v>125.8075352615725</v>
      </c>
    </row>
    <row r="56" spans="2:16">
      <c r="B56" s="20" t="s">
        <v>198</v>
      </c>
      <c r="C56" s="56">
        <f t="shared" si="20"/>
        <v>179.007301875</v>
      </c>
      <c r="D56" s="56">
        <f t="shared" si="21"/>
        <v>108.37206262500001</v>
      </c>
      <c r="E56" s="56">
        <f t="shared" si="31"/>
        <v>162.1227997560533</v>
      </c>
      <c r="F56" s="56">
        <f t="shared" si="22"/>
        <v>102.2929083329543</v>
      </c>
      <c r="G56" s="56">
        <f t="shared" si="23"/>
        <v>162.1227997560533</v>
      </c>
      <c r="H56" s="56">
        <f t="shared" si="24"/>
        <v>100.55616556056123</v>
      </c>
      <c r="I56" s="56"/>
      <c r="J56" s="20" t="s">
        <v>198</v>
      </c>
      <c r="K56" s="56">
        <f t="shared" si="25"/>
        <v>180.87290862500001</v>
      </c>
      <c r="L56" s="56">
        <f t="shared" si="26"/>
        <v>127.40906</v>
      </c>
      <c r="M56" s="56">
        <f t="shared" si="27"/>
        <v>163.84090211086487</v>
      </c>
      <c r="N56" s="56">
        <f t="shared" si="28"/>
        <v>117.37924372175166</v>
      </c>
      <c r="O56" s="56">
        <f t="shared" si="29"/>
        <v>163.84090211086487</v>
      </c>
      <c r="P56" s="56">
        <f t="shared" si="30"/>
        <v>117.37924372175166</v>
      </c>
    </row>
    <row r="57" spans="2:16">
      <c r="B57" s="20" t="s">
        <v>199</v>
      </c>
      <c r="C57" s="56">
        <f t="shared" si="20"/>
        <v>66.2121390625</v>
      </c>
      <c r="D57" s="56">
        <f t="shared" si="21"/>
        <v>75.7238296875</v>
      </c>
      <c r="E57" s="56">
        <f t="shared" si="31"/>
        <v>63.780260986110648</v>
      </c>
      <c r="F57" s="56">
        <f t="shared" si="22"/>
        <v>73.819694908357306</v>
      </c>
      <c r="G57" s="56">
        <f t="shared" si="23"/>
        <v>63.780260986110648</v>
      </c>
      <c r="H57" s="56">
        <f t="shared" si="24"/>
        <v>72.082952135964234</v>
      </c>
      <c r="I57" s="56"/>
      <c r="J57" s="20" t="s">
        <v>199</v>
      </c>
      <c r="K57" s="56">
        <f t="shared" si="25"/>
        <v>63.395401937499997</v>
      </c>
      <c r="L57" s="56">
        <f t="shared" si="26"/>
        <v>76.928939999999997</v>
      </c>
      <c r="M57" s="56">
        <f t="shared" si="27"/>
        <v>61.352395534248394</v>
      </c>
      <c r="N57" s="56">
        <f t="shared" si="28"/>
        <v>73.250218764003208</v>
      </c>
      <c r="O57" s="56">
        <f t="shared" si="29"/>
        <v>61.352395534248394</v>
      </c>
      <c r="P57" s="56">
        <f t="shared" si="30"/>
        <v>73.250218764003208</v>
      </c>
    </row>
    <row r="58" spans="2:16">
      <c r="B58" s="20" t="s">
        <v>200</v>
      </c>
      <c r="C58" s="56">
        <f t="shared" si="20"/>
        <v>69.682216937500002</v>
      </c>
      <c r="D58" s="56">
        <f t="shared" si="21"/>
        <v>86.321401312500001</v>
      </c>
      <c r="E58" s="56">
        <f t="shared" si="31"/>
        <v>66.817363734871037</v>
      </c>
      <c r="F58" s="56">
        <f t="shared" si="22"/>
        <v>83.05254648921894</v>
      </c>
      <c r="G58" s="56">
        <f t="shared" si="23"/>
        <v>66.817363734871037</v>
      </c>
      <c r="H58" s="56">
        <f t="shared" si="24"/>
        <v>81.315803716825869</v>
      </c>
      <c r="I58" s="56"/>
      <c r="J58" s="20" t="s">
        <v>200</v>
      </c>
      <c r="K58" s="56">
        <f t="shared" si="25"/>
        <v>99.988878999999997</v>
      </c>
      <c r="L58" s="56">
        <f t="shared" si="26"/>
        <v>130.05681999999999</v>
      </c>
      <c r="M58" s="56">
        <f t="shared" si="27"/>
        <v>93.275761629745844</v>
      </c>
      <c r="N58" s="56">
        <f t="shared" si="28"/>
        <v>119.69387901029947</v>
      </c>
      <c r="O58" s="56">
        <f t="shared" si="29"/>
        <v>93.275761629745844</v>
      </c>
      <c r="P58" s="56">
        <f t="shared" si="30"/>
        <v>119.69387901029947</v>
      </c>
    </row>
    <row r="59" spans="2:16">
      <c r="B59" s="20" t="s">
        <v>201</v>
      </c>
      <c r="C59" s="56">
        <f t="shared" si="20"/>
        <v>236.70568950000001</v>
      </c>
      <c r="D59" s="56">
        <f t="shared" si="21"/>
        <v>102.47665487500001</v>
      </c>
      <c r="E59" s="56">
        <f t="shared" si="31"/>
        <v>212.42310583091719</v>
      </c>
      <c r="F59" s="56">
        <f t="shared" si="22"/>
        <v>97.154412215596508</v>
      </c>
      <c r="G59" s="56">
        <f t="shared" si="23"/>
        <v>212.42310583091719</v>
      </c>
      <c r="H59" s="56">
        <f t="shared" si="24"/>
        <v>95.417669443203437</v>
      </c>
      <c r="I59" s="56"/>
      <c r="J59" s="20" t="s">
        <v>201</v>
      </c>
      <c r="K59" s="56">
        <f t="shared" si="25"/>
        <v>238.9840165</v>
      </c>
      <c r="L59" s="56">
        <f t="shared" si="26"/>
        <v>109.39278</v>
      </c>
      <c r="M59" s="56">
        <f t="shared" si="27"/>
        <v>214.51374366300868</v>
      </c>
      <c r="N59" s="56">
        <f t="shared" si="28"/>
        <v>101.62966012793721</v>
      </c>
      <c r="O59" s="56">
        <f t="shared" si="29"/>
        <v>214.51374366300868</v>
      </c>
      <c r="P59" s="56">
        <f t="shared" si="30"/>
        <v>101.62966012793721</v>
      </c>
    </row>
    <row r="60" spans="2:16">
      <c r="B60" s="20" t="s">
        <v>202</v>
      </c>
      <c r="C60" s="56">
        <f t="shared" si="20"/>
        <v>95.714673625000003</v>
      </c>
      <c r="D60" s="56">
        <f t="shared" si="21"/>
        <v>93.637726062499993</v>
      </c>
      <c r="E60" s="56">
        <f t="shared" si="31"/>
        <v>89.539651320440711</v>
      </c>
      <c r="F60" s="56">
        <f t="shared" si="22"/>
        <v>89.467514393085764</v>
      </c>
      <c r="G60" s="56">
        <f t="shared" si="23"/>
        <v>89.539651320440711</v>
      </c>
      <c r="H60" s="56">
        <f t="shared" si="24"/>
        <v>87.730771620692693</v>
      </c>
      <c r="I60" s="56"/>
      <c r="J60" s="20" t="s">
        <v>202</v>
      </c>
      <c r="K60" s="56">
        <f t="shared" si="25"/>
        <v>94.007820312500002</v>
      </c>
      <c r="L60" s="56">
        <f t="shared" si="26"/>
        <v>100.96024</v>
      </c>
      <c r="M60" s="56">
        <f t="shared" si="27"/>
        <v>88.011180309942446</v>
      </c>
      <c r="N60" s="56">
        <f t="shared" si="28"/>
        <v>94.258049915496912</v>
      </c>
      <c r="O60" s="56">
        <f t="shared" si="29"/>
        <v>88.011180309942446</v>
      </c>
      <c r="P60" s="56">
        <f t="shared" si="30"/>
        <v>94.258049915496912</v>
      </c>
    </row>
    <row r="61" spans="2:16">
      <c r="B61" s="20" t="s">
        <v>203</v>
      </c>
      <c r="C61" s="56">
        <f t="shared" si="20"/>
        <v>125.6779340625</v>
      </c>
      <c r="D61" s="56">
        <f t="shared" si="21"/>
        <v>122.1667231875</v>
      </c>
      <c r="E61" s="56">
        <f t="shared" si="31"/>
        <v>115.61004515276261</v>
      </c>
      <c r="F61" s="56">
        <f t="shared" si="22"/>
        <v>114.31523412555022</v>
      </c>
      <c r="G61" s="56">
        <f t="shared" si="23"/>
        <v>115.61004515276261</v>
      </c>
      <c r="H61" s="56">
        <f t="shared" si="24"/>
        <v>112.57849135315715</v>
      </c>
      <c r="I61" s="56"/>
      <c r="J61" s="20" t="s">
        <v>203</v>
      </c>
      <c r="K61" s="56">
        <f t="shared" si="25"/>
        <v>145.939875</v>
      </c>
      <c r="L61" s="56">
        <f t="shared" si="26"/>
        <v>149.10918000000001</v>
      </c>
      <c r="M61" s="56">
        <f t="shared" si="27"/>
        <v>133.27486551069481</v>
      </c>
      <c r="N61" s="56">
        <f t="shared" si="28"/>
        <v>136.34918945615436</v>
      </c>
      <c r="O61" s="56">
        <f t="shared" si="29"/>
        <v>133.27486551069481</v>
      </c>
      <c r="P61" s="56">
        <f t="shared" si="30"/>
        <v>136.34918945615436</v>
      </c>
    </row>
    <row r="62" spans="2:16">
      <c r="B62" s="20" t="s">
        <v>204</v>
      </c>
      <c r="C62" s="56">
        <f t="shared" si="20"/>
        <v>51.7035836875</v>
      </c>
      <c r="D62" s="56">
        <f t="shared" si="21"/>
        <v>74.096153624999999</v>
      </c>
      <c r="E62" s="56">
        <f t="shared" si="31"/>
        <v>51.147690815326797</v>
      </c>
      <c r="F62" s="56">
        <f t="shared" si="22"/>
        <v>72.415123756823064</v>
      </c>
      <c r="G62" s="56">
        <f>IF(I31&lt;S31,$E$28*I31+$E$29*(S31-I31),$E$28*S31)+($E$31*365.25/12)</f>
        <v>51.147690815326797</v>
      </c>
      <c r="H62" s="56">
        <f t="shared" si="24"/>
        <v>70.678380984429992</v>
      </c>
      <c r="I62" s="56"/>
      <c r="J62" s="20" t="s">
        <v>204</v>
      </c>
      <c r="K62" s="56">
        <f>IF(M31&lt;AA31,$C$28*M31+$C$29*(AA31-M31),$C$28*AA31)+($C$31*365.25/12)</f>
        <v>88.203044187499998</v>
      </c>
      <c r="L62" s="56">
        <f t="shared" si="26"/>
        <v>103.37775999999999</v>
      </c>
      <c r="M62" s="56">
        <f t="shared" si="27"/>
        <v>82.903279001326723</v>
      </c>
      <c r="N62" s="56">
        <f t="shared" si="28"/>
        <v>96.371412570257959</v>
      </c>
      <c r="O62" s="56">
        <f t="shared" si="29"/>
        <v>82.903279001326723</v>
      </c>
      <c r="P62" s="56">
        <f t="shared" si="30"/>
        <v>96.371412570257959</v>
      </c>
    </row>
    <row r="63" spans="2:16">
      <c r="B63" s="20" t="s">
        <v>194</v>
      </c>
      <c r="C63" s="78">
        <f t="shared" ref="C63:H63" si="32">SUMPRODUCT(C53:C62,$V$22:$V$31)</f>
        <v>202.48994298604629</v>
      </c>
      <c r="D63" s="78">
        <f t="shared" si="32"/>
        <v>106.96460265565565</v>
      </c>
      <c r="E63" s="78">
        <f t="shared" si="32"/>
        <v>182.59301418424832</v>
      </c>
      <c r="F63" s="78">
        <f t="shared" si="32"/>
        <v>101.06710477590713</v>
      </c>
      <c r="G63" s="78">
        <f t="shared" si="32"/>
        <v>182.59301418424832</v>
      </c>
      <c r="H63" s="78">
        <f t="shared" si="32"/>
        <v>99.33036200351404</v>
      </c>
      <c r="I63" s="78"/>
      <c r="J63" s="20" t="s">
        <v>194</v>
      </c>
      <c r="K63" s="78">
        <f t="shared" ref="K63:P63" si="33">SUMPRODUCT(K53:K62,$AD$22:$AD$31)</f>
        <v>192.88263196792494</v>
      </c>
      <c r="L63" s="78">
        <f t="shared" si="33"/>
        <v>132.17970580081848</v>
      </c>
      <c r="M63" s="78">
        <f t="shared" si="33"/>
        <v>174.28482639765664</v>
      </c>
      <c r="N63" s="78">
        <f t="shared" si="33"/>
        <v>121.54967651012252</v>
      </c>
      <c r="O63" s="78">
        <f t="shared" si="33"/>
        <v>174.28482639765664</v>
      </c>
      <c r="P63" s="78">
        <f t="shared" si="33"/>
        <v>121.54967651012252</v>
      </c>
    </row>
    <row r="64" spans="2:16">
      <c r="B64" s="406"/>
      <c r="C64" s="56"/>
      <c r="D64" s="56"/>
      <c r="E64" s="79"/>
      <c r="F64" s="56"/>
      <c r="G64" s="443"/>
      <c r="H64" s="443"/>
      <c r="I64" s="443"/>
      <c r="J64" s="406"/>
      <c r="K64" s="56"/>
      <c r="L64" s="56"/>
      <c r="M64" s="79"/>
      <c r="N64" s="56"/>
      <c r="O64" s="443"/>
      <c r="P64" s="443"/>
    </row>
    <row r="65" spans="2:16">
      <c r="B65" s="406"/>
      <c r="C65" s="56"/>
      <c r="D65" s="56"/>
      <c r="E65" s="79"/>
      <c r="G65" s="443"/>
      <c r="H65" s="443"/>
      <c r="I65" s="443"/>
      <c r="J65" s="406"/>
      <c r="K65" s="56"/>
      <c r="L65" s="56"/>
      <c r="M65" s="79"/>
      <c r="O65" s="443"/>
      <c r="P65" s="443"/>
    </row>
    <row r="66" spans="2:16">
      <c r="B66" s="406"/>
      <c r="C66" s="549" t="s">
        <v>217</v>
      </c>
      <c r="D66" s="549"/>
      <c r="E66" s="549"/>
      <c r="F66" s="549"/>
      <c r="G66" s="549"/>
      <c r="H66" s="549"/>
      <c r="J66" s="406"/>
      <c r="K66" s="549" t="s">
        <v>219</v>
      </c>
      <c r="L66" s="549"/>
      <c r="M66" s="549"/>
      <c r="N66" s="549"/>
      <c r="O66" s="549"/>
      <c r="P66" s="549"/>
    </row>
    <row r="67" spans="2:16">
      <c r="B67" s="406"/>
      <c r="C67" s="550">
        <f>$C$27</f>
        <v>46023</v>
      </c>
      <c r="D67" s="551"/>
      <c r="E67" s="550">
        <f>$D$27</f>
        <v>46082</v>
      </c>
      <c r="F67" s="551"/>
      <c r="G67" s="552" t="str">
        <f>$E$21</f>
        <v>Proposed</v>
      </c>
      <c r="H67" s="552"/>
      <c r="I67" s="98"/>
      <c r="J67" s="406"/>
      <c r="K67" s="550">
        <f>$C$27</f>
        <v>46023</v>
      </c>
      <c r="L67" s="551"/>
      <c r="M67" s="550">
        <f>$D$21</f>
        <v>46082</v>
      </c>
      <c r="N67" s="551"/>
      <c r="O67" s="552" t="str">
        <f>$E$21</f>
        <v>Proposed</v>
      </c>
      <c r="P67" s="552"/>
    </row>
    <row r="68" spans="2:16">
      <c r="B68" s="406"/>
      <c r="C68" s="56" t="s">
        <v>143</v>
      </c>
      <c r="D68" s="56" t="s">
        <v>144</v>
      </c>
      <c r="E68" s="56" t="s">
        <v>143</v>
      </c>
      <c r="F68" s="56" t="s">
        <v>144</v>
      </c>
      <c r="G68" s="56" t="s">
        <v>143</v>
      </c>
      <c r="H68" s="56" t="s">
        <v>144</v>
      </c>
      <c r="I68" s="56"/>
      <c r="J68" s="406"/>
      <c r="K68" s="56" t="s">
        <v>143</v>
      </c>
      <c r="L68" s="56" t="s">
        <v>144</v>
      </c>
      <c r="M68" s="56" t="s">
        <v>143</v>
      </c>
      <c r="N68" s="56" t="s">
        <v>144</v>
      </c>
      <c r="O68" s="56" t="s">
        <v>143</v>
      </c>
      <c r="P68" s="56" t="s">
        <v>144</v>
      </c>
    </row>
    <row r="69" spans="2:16" ht="15" customHeight="1">
      <c r="B69" s="20" t="s">
        <v>195</v>
      </c>
      <c r="C69" s="56">
        <f>C$22*I22+($C$25*365.25/12)</f>
        <v>155.48281593749999</v>
      </c>
      <c r="D69" s="56">
        <f>C$22*J22+($C$25*365.25/12)</f>
        <v>126.689701875</v>
      </c>
      <c r="E69" s="56">
        <f>D$22*I22+($D$25*365.25/12)</f>
        <v>157.94639965416826</v>
      </c>
      <c r="F69" s="56">
        <f>D$22*J22+($D$25*365.25/12)</f>
        <v>133.16928860710007</v>
      </c>
      <c r="G69" s="56">
        <f>E$22*I22+($E$25*365.25/12)</f>
        <v>157.94639965416826</v>
      </c>
      <c r="H69" s="56">
        <f>E$22*J22+($E$25*365.25/12)</f>
        <v>133.16928860710007</v>
      </c>
      <c r="I69" s="56"/>
      <c r="J69" s="20" t="s">
        <v>195</v>
      </c>
      <c r="K69" s="56">
        <f>$C$22*M22+($C$25*365.25/12)</f>
        <v>175.06213349999999</v>
      </c>
      <c r="L69" s="56">
        <f>$C$22*N22+($C$25*365.25/12)</f>
        <v>299.44838625</v>
      </c>
      <c r="M69" s="56">
        <f>$D$22*M22+($D$25*365.25/12)</f>
        <v>174.79483516617464</v>
      </c>
      <c r="N69" s="56">
        <f>$D$22*N22+($D$25*365.25/12)</f>
        <v>281.83195488950923</v>
      </c>
      <c r="O69" s="56">
        <f>$E$22*M22+($E$25*365.25/12)</f>
        <v>174.79483516617464</v>
      </c>
      <c r="P69" s="56">
        <f>$E$22*N22+($E$25*365.25/12)</f>
        <v>281.83195488950923</v>
      </c>
    </row>
    <row r="70" spans="2:16" ht="15" customHeight="1">
      <c r="B70" s="20" t="s">
        <v>196</v>
      </c>
      <c r="C70" s="56">
        <f t="shared" ref="C70:C78" si="34">C$22*I23+($C$25*365.25/12)</f>
        <v>112.86900712500001</v>
      </c>
      <c r="D70" s="56">
        <f t="shared" ref="D70:D78" si="35">C$22*J23</f>
        <v>126.689701875</v>
      </c>
      <c r="E70" s="56">
        <f>D$22*I23+($D$25*365.25/12)</f>
        <v>121.27627530450732</v>
      </c>
      <c r="F70" s="56">
        <f>D$22*J23+($D$25*365.25/12)</f>
        <v>133.16928860710007</v>
      </c>
      <c r="G70" s="56">
        <f t="shared" ref="G70:G78" si="36">E$22*I23+($E$25*365.25/12)</f>
        <v>121.27627530450732</v>
      </c>
      <c r="H70" s="56">
        <f t="shared" ref="H70:H78" si="37">E$22*J23+($E$25*365.25/12)</f>
        <v>133.16928860710007</v>
      </c>
      <c r="I70" s="56"/>
      <c r="J70" s="20" t="s">
        <v>196</v>
      </c>
      <c r="K70" s="56">
        <f t="shared" ref="K70:K78" si="38">$C$22*M23+($C$25*365.25/12)</f>
        <v>97.896587812500002</v>
      </c>
      <c r="L70" s="56">
        <f t="shared" ref="L70:L78" si="39">$C$22*N23+($C$25*365.25/12)</f>
        <v>299.44838625</v>
      </c>
      <c r="M70" s="56">
        <f t="shared" ref="M70:N78" si="40">$D$22*M23+($D$25*365.25/12)</f>
        <v>108.39217756003185</v>
      </c>
      <c r="N70" s="56">
        <f t="shared" si="40"/>
        <v>281.83195488950923</v>
      </c>
      <c r="O70" s="56">
        <f t="shared" ref="O70:O78" si="41">$E$22*M23+($E$25*365.25/12)</f>
        <v>108.39217756003185</v>
      </c>
      <c r="P70" s="56">
        <f t="shared" ref="P70:P78" si="42">$E$22*N23+($E$25*365.25/12)</f>
        <v>281.83195488950923</v>
      </c>
    </row>
    <row r="71" spans="2:16">
      <c r="B71" s="20" t="s">
        <v>197</v>
      </c>
      <c r="C71" s="56">
        <f t="shared" si="34"/>
        <v>203.85524756249998</v>
      </c>
      <c r="D71" s="56">
        <f t="shared" si="35"/>
        <v>119.77935450000001</v>
      </c>
      <c r="E71" s="56">
        <f>D$22*I24+($D$25*365.25/12)</f>
        <v>199.57194621324282</v>
      </c>
      <c r="F71" s="56">
        <f t="shared" ref="F71:F78" si="43">D$22*J24+($D$25*365.25/12)</f>
        <v>127.2227819558037</v>
      </c>
      <c r="G71" s="56">
        <f t="shared" si="36"/>
        <v>199.57194621324282</v>
      </c>
      <c r="H71" s="56">
        <f t="shared" si="37"/>
        <v>127.2227819558037</v>
      </c>
      <c r="I71" s="56"/>
      <c r="J71" s="20" t="s">
        <v>197</v>
      </c>
      <c r="K71" s="56">
        <f t="shared" si="38"/>
        <v>229.1931879375</v>
      </c>
      <c r="L71" s="56">
        <f t="shared" si="39"/>
        <v>307.51045818749998</v>
      </c>
      <c r="M71" s="56">
        <f t="shared" si="40"/>
        <v>221.37580393466283</v>
      </c>
      <c r="N71" s="56">
        <f t="shared" si="40"/>
        <v>288.76954598268833</v>
      </c>
      <c r="O71" s="56">
        <f t="shared" si="41"/>
        <v>221.37580393466283</v>
      </c>
      <c r="P71" s="56">
        <f t="shared" si="42"/>
        <v>288.76954598268833</v>
      </c>
    </row>
    <row r="72" spans="2:16" s="440" customFormat="1">
      <c r="B72" s="20" t="s">
        <v>198</v>
      </c>
      <c r="C72" s="56">
        <f t="shared" si="34"/>
        <v>172.758684375</v>
      </c>
      <c r="D72" s="56">
        <f t="shared" si="35"/>
        <v>117.475905375</v>
      </c>
      <c r="E72" s="56">
        <f t="shared" ref="E72:E78" si="44">D$22*I25+($D$25*365.25/12)</f>
        <v>172.8126662824092</v>
      </c>
      <c r="F72" s="56">
        <f t="shared" si="43"/>
        <v>125.24061307203823</v>
      </c>
      <c r="G72" s="56">
        <f t="shared" si="36"/>
        <v>172.8126662824092</v>
      </c>
      <c r="H72" s="56">
        <f t="shared" si="37"/>
        <v>125.24061307203823</v>
      </c>
      <c r="I72" s="56"/>
      <c r="J72" s="20" t="s">
        <v>198</v>
      </c>
      <c r="K72" s="56">
        <f t="shared" si="38"/>
        <v>205.006972125</v>
      </c>
      <c r="L72" s="56">
        <f t="shared" si="39"/>
        <v>272.95872131250002</v>
      </c>
      <c r="M72" s="56">
        <f t="shared" si="40"/>
        <v>200.56303065512557</v>
      </c>
      <c r="N72" s="56">
        <f t="shared" si="40"/>
        <v>259.03701272620651</v>
      </c>
      <c r="O72" s="56">
        <f t="shared" si="41"/>
        <v>200.56303065512557</v>
      </c>
      <c r="P72" s="56">
        <f t="shared" si="42"/>
        <v>259.03701272620651</v>
      </c>
    </row>
    <row r="73" spans="2:16">
      <c r="B73" s="20" t="s">
        <v>199</v>
      </c>
      <c r="C73" s="56">
        <f t="shared" si="34"/>
        <v>74.8620965625</v>
      </c>
      <c r="D73" s="56">
        <f t="shared" si="35"/>
        <v>86.379342187500001</v>
      </c>
      <c r="E73" s="56">
        <f t="shared" si="44"/>
        <v>88.570488722377306</v>
      </c>
      <c r="F73" s="56">
        <f t="shared" si="43"/>
        <v>98.481333141204587</v>
      </c>
      <c r="G73" s="56">
        <f t="shared" si="36"/>
        <v>88.570488722377306</v>
      </c>
      <c r="H73" s="56">
        <f t="shared" si="37"/>
        <v>98.481333141204587</v>
      </c>
      <c r="I73" s="56"/>
      <c r="J73" s="20" t="s">
        <v>199</v>
      </c>
      <c r="K73" s="56">
        <f t="shared" si="38"/>
        <v>81.7724439375</v>
      </c>
      <c r="L73" s="56">
        <f t="shared" si="39"/>
        <v>148.57246856250001</v>
      </c>
      <c r="M73" s="56">
        <f t="shared" si="40"/>
        <v>94.516995373673666</v>
      </c>
      <c r="N73" s="56">
        <f t="shared" si="40"/>
        <v>151.99989300287189</v>
      </c>
      <c r="O73" s="56">
        <f t="shared" si="41"/>
        <v>94.516995373673666</v>
      </c>
      <c r="P73" s="56">
        <f t="shared" si="42"/>
        <v>151.99989300287189</v>
      </c>
    </row>
    <row r="74" spans="2:16">
      <c r="B74" s="20" t="s">
        <v>200</v>
      </c>
      <c r="C74" s="56">
        <f t="shared" si="34"/>
        <v>81.7724439375</v>
      </c>
      <c r="D74" s="56">
        <f t="shared" si="35"/>
        <v>93.289689562500001</v>
      </c>
      <c r="E74" s="56">
        <f t="shared" si="44"/>
        <v>94.516995373673666</v>
      </c>
      <c r="F74" s="56">
        <f t="shared" si="43"/>
        <v>104.42783979250095</v>
      </c>
      <c r="G74" s="56">
        <f t="shared" si="36"/>
        <v>94.516995373673666</v>
      </c>
      <c r="H74" s="56">
        <f t="shared" si="37"/>
        <v>104.42783979250095</v>
      </c>
      <c r="I74" s="56"/>
      <c r="J74" s="20" t="s">
        <v>200</v>
      </c>
      <c r="K74" s="56">
        <f t="shared" si="38"/>
        <v>119.77935450000001</v>
      </c>
      <c r="L74" s="56">
        <f t="shared" si="39"/>
        <v>219.97939143750003</v>
      </c>
      <c r="M74" s="56">
        <f t="shared" si="40"/>
        <v>127.2227819558037</v>
      </c>
      <c r="N74" s="56">
        <f t="shared" si="40"/>
        <v>213.44712839960104</v>
      </c>
      <c r="O74" s="56">
        <f t="shared" si="41"/>
        <v>127.2227819558037</v>
      </c>
      <c r="P74" s="56">
        <f t="shared" si="42"/>
        <v>213.44712839960104</v>
      </c>
    </row>
    <row r="75" spans="2:16">
      <c r="B75" s="20" t="s">
        <v>201</v>
      </c>
      <c r="C75" s="56">
        <f t="shared" si="34"/>
        <v>221.13111599999999</v>
      </c>
      <c r="D75" s="56">
        <f t="shared" si="35"/>
        <v>112.86900712500001</v>
      </c>
      <c r="E75" s="56">
        <f t="shared" si="44"/>
        <v>214.43821284148376</v>
      </c>
      <c r="F75" s="56">
        <f t="shared" si="43"/>
        <v>121.27627530450732</v>
      </c>
      <c r="G75" s="56">
        <f t="shared" si="36"/>
        <v>214.43821284148376</v>
      </c>
      <c r="H75" s="56">
        <f t="shared" si="37"/>
        <v>121.27627530450732</v>
      </c>
      <c r="I75" s="56"/>
      <c r="J75" s="20" t="s">
        <v>201</v>
      </c>
      <c r="K75" s="56">
        <f t="shared" si="38"/>
        <v>257.98630199999997</v>
      </c>
      <c r="L75" s="56">
        <f t="shared" si="39"/>
        <v>218.82766687500001</v>
      </c>
      <c r="M75" s="56">
        <f t="shared" si="40"/>
        <v>246.15291498173104</v>
      </c>
      <c r="N75" s="56">
        <f t="shared" si="40"/>
        <v>212.45604395771829</v>
      </c>
      <c r="O75" s="56">
        <f t="shared" si="41"/>
        <v>246.15291498173104</v>
      </c>
      <c r="P75" s="56">
        <f t="shared" si="42"/>
        <v>212.45604395771829</v>
      </c>
    </row>
    <row r="76" spans="2:16">
      <c r="B76" s="20" t="s">
        <v>202</v>
      </c>
      <c r="C76" s="56">
        <f t="shared" si="34"/>
        <v>112.86900712500001</v>
      </c>
      <c r="D76" s="56">
        <f t="shared" si="35"/>
        <v>111.71728256249999</v>
      </c>
      <c r="E76" s="56">
        <f t="shared" si="44"/>
        <v>121.27627530450732</v>
      </c>
      <c r="F76" s="56">
        <f t="shared" si="43"/>
        <v>120.28519086262459</v>
      </c>
      <c r="G76" s="56">
        <f t="shared" si="36"/>
        <v>121.27627530450732</v>
      </c>
      <c r="H76" s="56">
        <f t="shared" si="37"/>
        <v>120.28519086262459</v>
      </c>
      <c r="I76" s="56"/>
      <c r="J76" s="20" t="s">
        <v>202</v>
      </c>
      <c r="K76" s="56">
        <f t="shared" si="38"/>
        <v>97.896587812500002</v>
      </c>
      <c r="L76" s="56">
        <f t="shared" si="39"/>
        <v>168.151786125</v>
      </c>
      <c r="M76" s="56">
        <f t="shared" si="40"/>
        <v>108.39217756003185</v>
      </c>
      <c r="N76" s="56">
        <f t="shared" si="40"/>
        <v>168.84832851487826</v>
      </c>
      <c r="O76" s="56">
        <f t="shared" si="41"/>
        <v>108.39217756003185</v>
      </c>
      <c r="P76" s="56">
        <f t="shared" si="42"/>
        <v>168.84832851487826</v>
      </c>
    </row>
    <row r="77" spans="2:16">
      <c r="B77" s="20" t="s">
        <v>203</v>
      </c>
      <c r="C77" s="56">
        <f t="shared" si="34"/>
        <v>120.9310790625</v>
      </c>
      <c r="D77" s="56">
        <f t="shared" si="35"/>
        <v>127.84142643749999</v>
      </c>
      <c r="E77" s="56">
        <f t="shared" si="44"/>
        <v>128.21386639768642</v>
      </c>
      <c r="F77" s="56">
        <f t="shared" si="43"/>
        <v>134.16037304898279</v>
      </c>
      <c r="G77" s="56">
        <f t="shared" si="36"/>
        <v>128.21386639768642</v>
      </c>
      <c r="H77" s="56">
        <f t="shared" si="37"/>
        <v>134.16037304898279</v>
      </c>
      <c r="I77" s="56"/>
      <c r="J77" s="20" t="s">
        <v>203</v>
      </c>
      <c r="K77" s="56">
        <f t="shared" si="38"/>
        <v>138.20694750000001</v>
      </c>
      <c r="L77" s="56">
        <f t="shared" si="39"/>
        <v>276.41389500000002</v>
      </c>
      <c r="M77" s="56">
        <f t="shared" si="40"/>
        <v>143.08013302592735</v>
      </c>
      <c r="N77" s="56">
        <f t="shared" si="40"/>
        <v>262.01026605185467</v>
      </c>
      <c r="O77" s="56">
        <f t="shared" si="41"/>
        <v>143.08013302592735</v>
      </c>
      <c r="P77" s="56">
        <f t="shared" si="42"/>
        <v>262.01026605185467</v>
      </c>
    </row>
    <row r="78" spans="2:16">
      <c r="B78" s="20" t="s">
        <v>204</v>
      </c>
      <c r="C78" s="56">
        <f t="shared" si="34"/>
        <v>67.951749187499999</v>
      </c>
      <c r="D78" s="56">
        <f t="shared" si="35"/>
        <v>89.834515874999994</v>
      </c>
      <c r="E78" s="56">
        <f t="shared" si="44"/>
        <v>82.623982071080945</v>
      </c>
      <c r="F78" s="56">
        <f t="shared" si="43"/>
        <v>101.45458646685276</v>
      </c>
      <c r="G78" s="56">
        <f t="shared" si="36"/>
        <v>82.623982071080945</v>
      </c>
      <c r="H78" s="56">
        <f t="shared" si="37"/>
        <v>101.45458646685276</v>
      </c>
      <c r="I78" s="56"/>
      <c r="J78" s="20" t="s">
        <v>204</v>
      </c>
      <c r="K78" s="56">
        <f t="shared" si="38"/>
        <v>77.1655456875</v>
      </c>
      <c r="L78" s="56">
        <f t="shared" si="39"/>
        <v>180.82075631249998</v>
      </c>
      <c r="M78" s="56">
        <f t="shared" si="40"/>
        <v>90.552657606142759</v>
      </c>
      <c r="N78" s="56">
        <f t="shared" si="40"/>
        <v>179.75025737558826</v>
      </c>
      <c r="O78" s="56">
        <f t="shared" si="41"/>
        <v>90.552657606142759</v>
      </c>
      <c r="P78" s="56">
        <f t="shared" si="42"/>
        <v>179.75025737558826</v>
      </c>
    </row>
    <row r="79" spans="2:16">
      <c r="B79" s="20" t="s">
        <v>194</v>
      </c>
      <c r="C79" s="78">
        <f t="shared" ref="C79:H79" si="45">SUMPRODUCT(C69:C78,$U$22:$U$31)</f>
        <v>176.02153810013954</v>
      </c>
      <c r="D79" s="78">
        <f t="shared" si="45"/>
        <v>116.19623743987103</v>
      </c>
      <c r="E79" s="78">
        <f t="shared" si="45"/>
        <v>175.62042402971773</v>
      </c>
      <c r="F79" s="78">
        <f t="shared" si="45"/>
        <v>124.13943053015551</v>
      </c>
      <c r="G79" s="78">
        <f t="shared" si="45"/>
        <v>175.62042402971773</v>
      </c>
      <c r="H79" s="78">
        <f t="shared" si="45"/>
        <v>124.13943053015551</v>
      </c>
      <c r="I79" s="78"/>
      <c r="J79" s="20" t="s">
        <v>194</v>
      </c>
      <c r="K79" s="78">
        <f t="shared" ref="K79:P79" si="46">SUMPRODUCT(K69:K78,$AC$22:$AC$31)</f>
        <v>191.84483591152912</v>
      </c>
      <c r="L79" s="78">
        <f t="shared" si="46"/>
        <v>273.55750829511413</v>
      </c>
      <c r="M79" s="78">
        <f t="shared" si="46"/>
        <v>189.23672152892576</v>
      </c>
      <c r="N79" s="78">
        <f t="shared" si="46"/>
        <v>259.55228215936216</v>
      </c>
      <c r="O79" s="78">
        <f t="shared" si="46"/>
        <v>189.23672152892576</v>
      </c>
      <c r="P79" s="78">
        <f t="shared" si="46"/>
        <v>259.55228215936216</v>
      </c>
    </row>
    <row r="80" spans="2:16">
      <c r="B80" s="406"/>
      <c r="C80" s="56"/>
      <c r="D80" s="56"/>
      <c r="E80" s="79"/>
      <c r="F80" s="441"/>
      <c r="G80" s="443"/>
      <c r="H80" s="443"/>
      <c r="I80" s="443"/>
      <c r="J80" s="406"/>
      <c r="K80" s="56"/>
      <c r="L80" s="56"/>
      <c r="M80" s="79"/>
      <c r="N80" s="441"/>
      <c r="O80" s="443"/>
      <c r="P80" s="443"/>
    </row>
    <row r="81" spans="2:16">
      <c r="B81" s="406"/>
      <c r="C81" s="56"/>
      <c r="D81" s="56"/>
      <c r="E81" s="79"/>
      <c r="F81" s="56"/>
      <c r="G81" s="443"/>
      <c r="H81" s="443"/>
      <c r="I81" s="443"/>
      <c r="J81" s="406"/>
      <c r="K81" s="56"/>
      <c r="L81" s="56"/>
      <c r="M81" s="79"/>
      <c r="N81" s="56"/>
      <c r="O81" s="443"/>
      <c r="P81" s="443"/>
    </row>
    <row r="82" spans="2:16">
      <c r="B82" s="406"/>
      <c r="C82" s="549" t="s">
        <v>218</v>
      </c>
      <c r="D82" s="549"/>
      <c r="E82" s="549"/>
      <c r="F82" s="549"/>
      <c r="G82" s="549"/>
      <c r="H82" s="549"/>
      <c r="J82" s="406"/>
      <c r="K82" s="549" t="s">
        <v>220</v>
      </c>
      <c r="L82" s="549"/>
      <c r="M82" s="549"/>
      <c r="N82" s="549"/>
      <c r="O82" s="549"/>
      <c r="P82" s="549"/>
    </row>
    <row r="83" spans="2:16">
      <c r="B83" s="406"/>
      <c r="C83" s="550">
        <f>$C$27</f>
        <v>46023</v>
      </c>
      <c r="D83" s="551"/>
      <c r="E83" s="550">
        <f>$D$27</f>
        <v>46082</v>
      </c>
      <c r="F83" s="551"/>
      <c r="G83" s="552" t="str">
        <f>$E$21</f>
        <v>Proposed</v>
      </c>
      <c r="H83" s="552"/>
      <c r="I83" s="98"/>
      <c r="J83" s="406"/>
      <c r="K83" s="550">
        <f>$C$27</f>
        <v>46023</v>
      </c>
      <c r="L83" s="551"/>
      <c r="M83" s="550">
        <f>$D$21</f>
        <v>46082</v>
      </c>
      <c r="N83" s="551"/>
      <c r="O83" s="552" t="str">
        <f>$E$21</f>
        <v>Proposed</v>
      </c>
      <c r="P83" s="552"/>
    </row>
    <row r="84" spans="2:16">
      <c r="B84" s="406"/>
      <c r="C84" s="56" t="s">
        <v>143</v>
      </c>
      <c r="D84" s="56" t="s">
        <v>144</v>
      </c>
      <c r="E84" s="56" t="s">
        <v>143</v>
      </c>
      <c r="F84" s="56" t="s">
        <v>144</v>
      </c>
      <c r="G84" s="56" t="s">
        <v>143</v>
      </c>
      <c r="H84" s="56" t="s">
        <v>144</v>
      </c>
      <c r="I84" s="56"/>
      <c r="J84" s="406"/>
      <c r="K84" s="56" t="s">
        <v>143</v>
      </c>
      <c r="L84" s="56" t="s">
        <v>144</v>
      </c>
      <c r="M84" s="56" t="s">
        <v>143</v>
      </c>
      <c r="N84" s="56" t="s">
        <v>144</v>
      </c>
      <c r="O84" s="56" t="s">
        <v>143</v>
      </c>
      <c r="P84" s="56" t="s">
        <v>144</v>
      </c>
    </row>
    <row r="85" spans="2:16">
      <c r="B85" s="20" t="s">
        <v>195</v>
      </c>
      <c r="C85" s="56">
        <f>C$28*I22+($C$31*365.25/12)</f>
        <v>94.607055000000003</v>
      </c>
      <c r="D85" s="56">
        <f>C$28*J22+($C$31*365.25/12)</f>
        <v>77.087230000000005</v>
      </c>
      <c r="E85" s="56">
        <f>D$28*I22+($D$31*365.25/12)</f>
        <v>88.704183176943332</v>
      </c>
      <c r="F85" s="56">
        <f>D$28*J22+($D$31*365.25/12)</f>
        <v>73.388593699731601</v>
      </c>
      <c r="G85" s="56">
        <f>E$28*I22+($E$31*365.25/12)</f>
        <v>88.704183176943332</v>
      </c>
      <c r="H85" s="56">
        <f>E$28*J22+($E$31*365.25/12)</f>
        <v>73.388593699731601</v>
      </c>
      <c r="I85" s="56"/>
      <c r="J85" s="20" t="s">
        <v>195</v>
      </c>
      <c r="K85" s="56">
        <f>$C$28*M22+($C$31*365.25/12)</f>
        <v>106.52053599999999</v>
      </c>
      <c r="L85" s="56">
        <f>$C$28*N22+($C$31*365.25/12)</f>
        <v>182.20617999999999</v>
      </c>
      <c r="M85" s="56">
        <f>$D$28*M22+($D$31*365.25/12)</f>
        <v>99.118784021447311</v>
      </c>
      <c r="N85" s="56">
        <f>$D$28*N22+($D$31*365.25/12)</f>
        <v>165.28213056300197</v>
      </c>
      <c r="O85" s="56">
        <f>$E$28*M22+($E$31*365.25/12)</f>
        <v>99.118784021447311</v>
      </c>
      <c r="P85" s="56">
        <f>$E$28*N22+($E$31*365.25/12)</f>
        <v>165.28213056300197</v>
      </c>
    </row>
    <row r="86" spans="2:16">
      <c r="B86" s="20" t="s">
        <v>196</v>
      </c>
      <c r="C86" s="56">
        <f t="shared" ref="C86:C94" si="47">C$28*I23+($C$31*365.25/12)</f>
        <v>68.677714000000009</v>
      </c>
      <c r="D86" s="56">
        <f t="shared" ref="D86:D94" si="48">C$28*J23+($C$31*365.25/12)</f>
        <v>77.087230000000005</v>
      </c>
      <c r="E86" s="56">
        <f>D$28*I23+($D$31*365.25/12)</f>
        <v>66.037110750669981</v>
      </c>
      <c r="F86" s="56">
        <f t="shared" ref="F86:F94" si="49">D$28*J23+($D$31*365.25/12)</f>
        <v>73.388593699731601</v>
      </c>
      <c r="G86" s="56">
        <f t="shared" ref="G86:G94" si="50">E$28*I23+($E$31*365.25/12)</f>
        <v>66.037110750669981</v>
      </c>
      <c r="H86" s="56">
        <f t="shared" ref="H86:H94" si="51">E$28*J23+($E$31*365.25/12)</f>
        <v>73.388593699731601</v>
      </c>
      <c r="I86" s="56"/>
      <c r="J86" s="20" t="s">
        <v>196</v>
      </c>
      <c r="K86" s="56">
        <f t="shared" ref="K86:K94" si="52">$C$28*M23+($C$31*365.25/12)</f>
        <v>59.567405000000001</v>
      </c>
      <c r="L86" s="56">
        <f t="shared" ref="L86:L94" si="53">$C$28*N23+($C$31*365.25/12)</f>
        <v>182.20617999999999</v>
      </c>
      <c r="M86" s="56">
        <f>$D$28*M23+($D$31*365.25/12)</f>
        <v>58.073004222519877</v>
      </c>
      <c r="N86" s="56">
        <f>$D$28*N23+($D$31*365.25/12)</f>
        <v>165.28213056300197</v>
      </c>
      <c r="O86" s="56">
        <f t="shared" ref="O86:O94" si="54">$E$28*M23+($E$31*365.25/12)</f>
        <v>58.073004222519877</v>
      </c>
      <c r="P86" s="56">
        <f t="shared" ref="P86:P94" si="55">$E$28*N23+($E$31*365.25/12)</f>
        <v>165.28213056300197</v>
      </c>
    </row>
    <row r="87" spans="2:16">
      <c r="B87" s="20" t="s">
        <v>197</v>
      </c>
      <c r="C87" s="56">
        <f t="shared" si="47"/>
        <v>124.04036099999999</v>
      </c>
      <c r="D87" s="56">
        <f t="shared" si="48"/>
        <v>72.882472000000007</v>
      </c>
      <c r="E87" s="56">
        <f t="shared" ref="E87:E94" si="56">D$28*I24+($D$31*365.25/12)</f>
        <v>114.43437349865904</v>
      </c>
      <c r="F87" s="56">
        <f t="shared" si="49"/>
        <v>69.712852225200791</v>
      </c>
      <c r="G87" s="56">
        <f t="shared" si="50"/>
        <v>114.43437349865904</v>
      </c>
      <c r="H87" s="56">
        <f t="shared" si="51"/>
        <v>69.712852225200791</v>
      </c>
      <c r="I87" s="56"/>
      <c r="J87" s="20" t="s">
        <v>197</v>
      </c>
      <c r="K87" s="56">
        <f t="shared" si="52"/>
        <v>139.457807</v>
      </c>
      <c r="L87" s="56">
        <f t="shared" si="53"/>
        <v>187.11173099999999</v>
      </c>
      <c r="M87" s="56">
        <f t="shared" ref="M87:N94" si="57">$D$28*M24+($D$31*365.25/12)</f>
        <v>127.91209223860535</v>
      </c>
      <c r="N87" s="56">
        <f t="shared" si="57"/>
        <v>169.57049561662126</v>
      </c>
      <c r="O87" s="56">
        <f t="shared" si="54"/>
        <v>127.91209223860535</v>
      </c>
      <c r="P87" s="56">
        <f t="shared" si="55"/>
        <v>169.57049561662126</v>
      </c>
    </row>
    <row r="88" spans="2:16">
      <c r="B88" s="20" t="s">
        <v>198</v>
      </c>
      <c r="C88" s="56">
        <f t="shared" si="47"/>
        <v>105.11895</v>
      </c>
      <c r="D88" s="56">
        <f t="shared" si="48"/>
        <v>71.480885999999998</v>
      </c>
      <c r="E88" s="56">
        <f t="shared" si="56"/>
        <v>97.89353686327037</v>
      </c>
      <c r="F88" s="56">
        <f t="shared" si="49"/>
        <v>68.48760506702385</v>
      </c>
      <c r="G88" s="56">
        <f t="shared" si="50"/>
        <v>97.89353686327037</v>
      </c>
      <c r="H88" s="56">
        <f t="shared" si="51"/>
        <v>68.48760506702385</v>
      </c>
      <c r="I88" s="56"/>
      <c r="J88" s="20" t="s">
        <v>198</v>
      </c>
      <c r="K88" s="56">
        <f t="shared" si="52"/>
        <v>124.74115400000001</v>
      </c>
      <c r="L88" s="56">
        <f t="shared" si="53"/>
        <v>166.087941</v>
      </c>
      <c r="M88" s="56">
        <f t="shared" si="57"/>
        <v>115.04699707774752</v>
      </c>
      <c r="N88" s="56">
        <f t="shared" si="57"/>
        <v>151.19178824396718</v>
      </c>
      <c r="O88" s="56">
        <f t="shared" si="54"/>
        <v>115.04699707774752</v>
      </c>
      <c r="P88" s="56">
        <f t="shared" si="55"/>
        <v>151.19178824396718</v>
      </c>
    </row>
    <row r="89" spans="2:16">
      <c r="B89" s="20" t="s">
        <v>199</v>
      </c>
      <c r="C89" s="56">
        <f t="shared" si="47"/>
        <v>45.551544999999997</v>
      </c>
      <c r="D89" s="56">
        <f t="shared" si="48"/>
        <v>52.559474999999999</v>
      </c>
      <c r="E89" s="56">
        <f t="shared" si="56"/>
        <v>45.820532640750493</v>
      </c>
      <c r="F89" s="56">
        <f t="shared" si="49"/>
        <v>51.946768431635185</v>
      </c>
      <c r="G89" s="56">
        <f t="shared" si="50"/>
        <v>45.820532640750493</v>
      </c>
      <c r="H89" s="56">
        <f t="shared" si="51"/>
        <v>51.946768431635185</v>
      </c>
      <c r="I89" s="56"/>
      <c r="J89" s="20" t="s">
        <v>199</v>
      </c>
      <c r="K89" s="56">
        <f t="shared" si="52"/>
        <v>49.756302999999996</v>
      </c>
      <c r="L89" s="56">
        <f t="shared" si="53"/>
        <v>90.402297000000004</v>
      </c>
      <c r="M89" s="56">
        <f t="shared" si="57"/>
        <v>49.496274115281309</v>
      </c>
      <c r="N89" s="56">
        <f t="shared" si="57"/>
        <v>85.028441702412522</v>
      </c>
      <c r="O89" s="56">
        <f t="shared" si="54"/>
        <v>49.496274115281309</v>
      </c>
      <c r="P89" s="56">
        <f t="shared" si="55"/>
        <v>85.028441702412522</v>
      </c>
    </row>
    <row r="90" spans="2:16">
      <c r="B90" s="20" t="s">
        <v>200</v>
      </c>
      <c r="C90" s="56">
        <f t="shared" si="47"/>
        <v>49.756302999999996</v>
      </c>
      <c r="D90" s="56">
        <f t="shared" si="48"/>
        <v>56.764232999999997</v>
      </c>
      <c r="E90" s="56">
        <f t="shared" si="56"/>
        <v>49.496274115281309</v>
      </c>
      <c r="F90" s="56">
        <f t="shared" si="49"/>
        <v>55.622509906166002</v>
      </c>
      <c r="G90" s="56">
        <f t="shared" si="50"/>
        <v>49.496274115281309</v>
      </c>
      <c r="H90" s="56">
        <f t="shared" si="51"/>
        <v>55.622509906166002</v>
      </c>
      <c r="I90" s="56"/>
      <c r="J90" s="20" t="s">
        <v>200</v>
      </c>
      <c r="K90" s="56">
        <f t="shared" si="52"/>
        <v>72.882472000000007</v>
      </c>
      <c r="L90" s="56">
        <f>$C$28*N27+($C$31*365.25/12)</f>
        <v>133.85146300000002</v>
      </c>
      <c r="M90" s="56">
        <f t="shared" si="57"/>
        <v>69.712852225200791</v>
      </c>
      <c r="N90" s="56">
        <f t="shared" si="57"/>
        <v>123.01110360589762</v>
      </c>
      <c r="O90" s="56">
        <f t="shared" si="54"/>
        <v>69.712852225200791</v>
      </c>
      <c r="P90" s="56">
        <f t="shared" si="55"/>
        <v>123.01110360589762</v>
      </c>
    </row>
    <row r="91" spans="2:16">
      <c r="B91" s="20" t="s">
        <v>201</v>
      </c>
      <c r="C91" s="56">
        <f t="shared" si="47"/>
        <v>134.552256</v>
      </c>
      <c r="D91" s="56">
        <f t="shared" si="48"/>
        <v>68.677714000000009</v>
      </c>
      <c r="E91" s="56">
        <f t="shared" si="56"/>
        <v>123.62372718498608</v>
      </c>
      <c r="F91" s="56">
        <f t="shared" si="49"/>
        <v>66.037110750669981</v>
      </c>
      <c r="G91" s="56">
        <f t="shared" si="50"/>
        <v>123.62372718498608</v>
      </c>
      <c r="H91" s="56">
        <f t="shared" si="51"/>
        <v>66.037110750669981</v>
      </c>
      <c r="I91" s="56"/>
      <c r="J91" s="20" t="s">
        <v>201</v>
      </c>
      <c r="K91" s="56">
        <f t="shared" si="52"/>
        <v>156.977632</v>
      </c>
      <c r="L91" s="56">
        <f t="shared" si="53"/>
        <v>133.15066999999999</v>
      </c>
      <c r="M91" s="56">
        <f t="shared" si="57"/>
        <v>143.22768171581708</v>
      </c>
      <c r="N91" s="56">
        <f t="shared" si="57"/>
        <v>122.39848002680914</v>
      </c>
      <c r="O91" s="56">
        <f t="shared" si="54"/>
        <v>143.22768171581708</v>
      </c>
      <c r="P91" s="56">
        <f t="shared" si="55"/>
        <v>122.39848002680914</v>
      </c>
    </row>
    <row r="92" spans="2:16">
      <c r="B92" s="20" t="s">
        <v>202</v>
      </c>
      <c r="C92" s="56">
        <f t="shared" si="47"/>
        <v>68.677714000000009</v>
      </c>
      <c r="D92" s="56">
        <f t="shared" si="48"/>
        <v>67.97692099999999</v>
      </c>
      <c r="E92" s="56">
        <f t="shared" si="56"/>
        <v>66.037110750669981</v>
      </c>
      <c r="F92" s="56">
        <f t="shared" si="49"/>
        <v>65.424487171581504</v>
      </c>
      <c r="G92" s="56">
        <f t="shared" si="50"/>
        <v>66.037110750669981</v>
      </c>
      <c r="H92" s="56">
        <f t="shared" si="51"/>
        <v>65.424487171581504</v>
      </c>
      <c r="I92" s="56"/>
      <c r="J92" s="20" t="s">
        <v>202</v>
      </c>
      <c r="K92" s="56">
        <f t="shared" si="52"/>
        <v>59.567405000000001</v>
      </c>
      <c r="L92" s="56">
        <f t="shared" si="53"/>
        <v>102.31577799999999</v>
      </c>
      <c r="M92" s="56">
        <f t="shared" si="57"/>
        <v>58.073004222519877</v>
      </c>
      <c r="N92" s="56">
        <f t="shared" si="57"/>
        <v>95.443042546916502</v>
      </c>
      <c r="O92" s="56">
        <f t="shared" si="54"/>
        <v>58.073004222519877</v>
      </c>
      <c r="P92" s="56">
        <f t="shared" si="55"/>
        <v>95.443042546916502</v>
      </c>
    </row>
    <row r="93" spans="2:16">
      <c r="B93" s="20" t="s">
        <v>203</v>
      </c>
      <c r="C93" s="56">
        <f t="shared" si="47"/>
        <v>73.583264999999997</v>
      </c>
      <c r="D93" s="56">
        <f t="shared" si="48"/>
        <v>77.788022999999995</v>
      </c>
      <c r="E93" s="56">
        <f t="shared" si="56"/>
        <v>70.325475804289255</v>
      </c>
      <c r="F93" s="56">
        <f t="shared" si="49"/>
        <v>74.001217278820079</v>
      </c>
      <c r="G93" s="56">
        <f t="shared" si="50"/>
        <v>70.325475804289255</v>
      </c>
      <c r="H93" s="56">
        <f t="shared" si="51"/>
        <v>74.001217278820079</v>
      </c>
      <c r="I93" s="56"/>
      <c r="J93" s="20" t="s">
        <v>203</v>
      </c>
      <c r="K93" s="56">
        <f t="shared" si="52"/>
        <v>84.095160000000007</v>
      </c>
      <c r="L93" s="56">
        <f t="shared" si="53"/>
        <v>168.19032000000001</v>
      </c>
      <c r="M93" s="56">
        <f t="shared" si="57"/>
        <v>79.514829490616293</v>
      </c>
      <c r="N93" s="56">
        <f t="shared" si="57"/>
        <v>153.02965898123259</v>
      </c>
      <c r="O93" s="56">
        <f t="shared" si="54"/>
        <v>79.514829490616293</v>
      </c>
      <c r="P93" s="56">
        <f t="shared" si="55"/>
        <v>153.02965898123259</v>
      </c>
    </row>
    <row r="94" spans="2:16">
      <c r="B94" s="20" t="s">
        <v>204</v>
      </c>
      <c r="C94" s="56">
        <f t="shared" si="47"/>
        <v>41.346787000000006</v>
      </c>
      <c r="D94" s="56">
        <f t="shared" si="48"/>
        <v>54.661853999999998</v>
      </c>
      <c r="E94" s="56">
        <f t="shared" si="56"/>
        <v>42.144791166219683</v>
      </c>
      <c r="F94" s="56">
        <f t="shared" si="49"/>
        <v>53.78463916890059</v>
      </c>
      <c r="G94" s="56">
        <f t="shared" si="50"/>
        <v>42.144791166219683</v>
      </c>
      <c r="H94" s="56">
        <f t="shared" si="51"/>
        <v>53.78463916890059</v>
      </c>
      <c r="I94" s="56"/>
      <c r="J94" s="20" t="s">
        <v>204</v>
      </c>
      <c r="K94" s="56">
        <f t="shared" si="52"/>
        <v>46.953130999999999</v>
      </c>
      <c r="L94" s="56">
        <f t="shared" si="53"/>
        <v>110.024501</v>
      </c>
      <c r="M94" s="56">
        <f t="shared" si="57"/>
        <v>47.045779798927434</v>
      </c>
      <c r="N94" s="56">
        <f t="shared" si="57"/>
        <v>102.18190191688966</v>
      </c>
      <c r="O94" s="56">
        <f t="shared" si="54"/>
        <v>47.045779798927434</v>
      </c>
      <c r="P94" s="56">
        <f t="shared" si="55"/>
        <v>102.18190191688966</v>
      </c>
    </row>
    <row r="95" spans="2:16">
      <c r="B95" s="20" t="s">
        <v>194</v>
      </c>
      <c r="C95" s="78">
        <f t="shared" ref="C95:H95" si="58">SUMPRODUCT(C85:C94,$V$22:$V$31)</f>
        <v>116.79570538640571</v>
      </c>
      <c r="D95" s="78">
        <f t="shared" si="58"/>
        <v>71.005601536762569</v>
      </c>
      <c r="E95" s="78">
        <f t="shared" si="58"/>
        <v>108.10119543999764</v>
      </c>
      <c r="F95" s="78">
        <f t="shared" si="58"/>
        <v>68.072117941790509</v>
      </c>
      <c r="G95" s="78">
        <f t="shared" si="58"/>
        <v>108.10119543999764</v>
      </c>
      <c r="H95" s="78">
        <f t="shared" si="58"/>
        <v>68.072117941790509</v>
      </c>
      <c r="I95" s="78"/>
      <c r="J95" s="20" t="s">
        <v>194</v>
      </c>
      <c r="K95" s="78">
        <f t="shared" ref="K95:P95" si="59">SUMPRODUCT(K85:K94,$AD$22:$AD$31)</f>
        <v>125.59169542664314</v>
      </c>
      <c r="L95" s="78">
        <f t="shared" si="59"/>
        <v>167.59793771693185</v>
      </c>
      <c r="M95" s="78">
        <f t="shared" si="59"/>
        <v>115.79052866689456</v>
      </c>
      <c r="N95" s="78">
        <f t="shared" si="59"/>
        <v>152.51180655627718</v>
      </c>
      <c r="O95" s="78">
        <f t="shared" si="59"/>
        <v>115.79052866689456</v>
      </c>
      <c r="P95" s="78">
        <f t="shared" si="59"/>
        <v>152.51180655627718</v>
      </c>
    </row>
    <row r="98" spans="2:16">
      <c r="B98" s="467">
        <f>'Hypothetical Summary'!D3</f>
        <v>500</v>
      </c>
      <c r="C98" s="571" t="s">
        <v>240</v>
      </c>
      <c r="D98" s="549"/>
      <c r="E98" s="549"/>
      <c r="F98" s="549"/>
      <c r="G98" s="549"/>
      <c r="H98" s="549"/>
      <c r="J98" s="467">
        <f>'Hypothetical Summary'!D3</f>
        <v>500</v>
      </c>
      <c r="K98" s="571" t="s">
        <v>249</v>
      </c>
      <c r="L98" s="549"/>
      <c r="M98" s="549"/>
      <c r="N98" s="549"/>
      <c r="O98" s="549"/>
      <c r="P98" s="549"/>
    </row>
    <row r="99" spans="2:16">
      <c r="B99" s="406"/>
      <c r="C99" s="550">
        <f>$C$27</f>
        <v>46023</v>
      </c>
      <c r="D99" s="551"/>
      <c r="E99" s="550">
        <f>$D$27</f>
        <v>46082</v>
      </c>
      <c r="F99" s="551"/>
      <c r="G99" s="552" t="str">
        <f>$E$21</f>
        <v>Proposed</v>
      </c>
      <c r="H99" s="552"/>
      <c r="I99" s="98"/>
      <c r="J99" s="406"/>
      <c r="K99" s="550">
        <f>$C$27</f>
        <v>46023</v>
      </c>
      <c r="L99" s="551"/>
      <c r="M99" s="550">
        <f>$D$21</f>
        <v>46082</v>
      </c>
      <c r="N99" s="551"/>
      <c r="O99" s="552" t="str">
        <f>$E$21</f>
        <v>Proposed</v>
      </c>
      <c r="P99" s="552"/>
    </row>
    <row r="100" spans="2:16">
      <c r="B100" s="406"/>
      <c r="C100" s="56" t="s">
        <v>143</v>
      </c>
      <c r="D100" s="56" t="s">
        <v>144</v>
      </c>
      <c r="E100" s="56" t="s">
        <v>143</v>
      </c>
      <c r="F100" s="56" t="s">
        <v>144</v>
      </c>
      <c r="G100" s="56" t="s">
        <v>143</v>
      </c>
      <c r="H100" s="56" t="s">
        <v>144</v>
      </c>
      <c r="I100" s="56"/>
      <c r="J100" s="406"/>
      <c r="K100" s="56" t="s">
        <v>143</v>
      </c>
      <c r="L100" s="56" t="s">
        <v>144</v>
      </c>
      <c r="M100" s="56" t="s">
        <v>143</v>
      </c>
      <c r="N100" s="56" t="s">
        <v>144</v>
      </c>
      <c r="O100" s="56" t="s">
        <v>143</v>
      </c>
      <c r="P100" s="56" t="s">
        <v>144</v>
      </c>
    </row>
    <row r="101" spans="2:16">
      <c r="B101" s="20" t="s">
        <v>195</v>
      </c>
      <c r="C101" s="56">
        <f>$C$22*MIN(I22,$B$98)+IF($B$98-I22&gt;0,$C$23*($B$98-I22))+(+($C$25*365.25/12))</f>
        <v>197.717708125</v>
      </c>
      <c r="D101" s="56">
        <f>$C$22*MIN(J22,$B$98)+IF($B$98-J22&gt;0,$C$23*($B$98-J22))+($C$25*365.25/12)</f>
        <v>204.99683625</v>
      </c>
      <c r="E101" s="56">
        <f>$D$22*MIN(I22,$B$98)+IF($B$98-I22&gt;0,$D$23*($B$98-I22))+($D$25*365.25/12)</f>
        <v>194.20897545424748</v>
      </c>
      <c r="F101" s="56">
        <f>$D$22*MIN(J22,$B$98)+IF($B$98-J22&gt;0,$D$23*($B$98-J22))+($D$25*365.25/12)</f>
        <v>200.40323307543355</v>
      </c>
      <c r="G101" s="56">
        <f>$E$22*MIN(I22,$B$98)+IF($B$98-I22&gt;0,$E$23*($B$98-I22))+($E$25*365.25/12)</f>
        <v>194.20897545424748</v>
      </c>
      <c r="H101" s="56">
        <f>$E$22*MIN(J22,$B$98)+IF($B$98-J22&gt;0,$E$23*($B$98-J22))+($E$25*365.25/12)</f>
        <v>200.40323307543355</v>
      </c>
      <c r="I101" s="56"/>
      <c r="J101" s="20" t="s">
        <v>195</v>
      </c>
      <c r="K101" s="56">
        <f>$C$22*MIN(M22,$B$98)+IF($B$98-M22&gt;0,$C$23*($B$98-M22))+($C$25*365.25/12)</f>
        <v>192.76790099999999</v>
      </c>
      <c r="L101" s="56">
        <f>$C$22*MIN(N22,$B$98)+IF($B$98-N22&gt;0,$C$23*($B$98-N22))+($C$25*365.25/12)</f>
        <v>189.19499999999999</v>
      </c>
      <c r="M101" s="56">
        <f>$D$22*MIN(M22,$B$98)+IF($B$98-M22&gt;0,$D$23*($B$98-M22))+($D$25*365.25/12)</f>
        <v>189.99688027184098</v>
      </c>
      <c r="N101" s="56">
        <f>$D$22*MIN(N22,$B$98)+IF($B$98-N22&gt;0,$D$23*($B$98-N22))+($D$25*365.25/12)</f>
        <v>186.95647915938036</v>
      </c>
      <c r="O101" s="56">
        <f>$E$22*MIN(M22,$B$98)+IF($B$98-M22&gt;0,$E$23*($B$98-M22))+($E$25*365.25/12)</f>
        <v>189.99688027184098</v>
      </c>
      <c r="P101" s="56">
        <f>$E$22*MIN(N22,$B$98)+IF($B$98-N22&gt;0,$E$23*($B$98-N22))+($E$25*365.25/12)</f>
        <v>186.95647915938036</v>
      </c>
    </row>
    <row r="102" spans="2:16">
      <c r="B102" s="20" t="s">
        <v>196</v>
      </c>
      <c r="C102" s="56">
        <f>$C$22*MIN(I23,$B$98)+IF($B$98-I23&gt;0,$C$23*($B$98-I23))+(+($C$25*365.25/12))</f>
        <v>208.49081775000002</v>
      </c>
      <c r="D102" s="56">
        <f t="shared" ref="D102:D110" si="60">$C$22*MIN(J23,$B$98)+IF($B$98-J23&gt;0,$C$23*($B$98-J23))+($C$25*365.25/12)</f>
        <v>204.99683625</v>
      </c>
      <c r="E102" s="56">
        <f t="shared" ref="E102:E110" si="61">$D$22*MIN(I23,$B$98)+IF($B$98-I23&gt;0,$D$23*($B$98-I23))+($D$25*365.25/12)</f>
        <v>203.37647673360286</v>
      </c>
      <c r="F102" s="56">
        <f t="shared" ref="F102:F110" si="62">$D$22*MIN(J23,$B$98)+IF($B$98-J23&gt;0,$D$23*($B$98-J23))+($D$25*365.25/12)</f>
        <v>200.40323307543355</v>
      </c>
      <c r="G102" s="56">
        <f t="shared" ref="G102:G110" si="63">$E$22*MIN(I23,$B$98)+IF($B$98-I23&gt;0,$E$23*($B$98-I23))+($E$25*365.25/12)</f>
        <v>203.37647673360286</v>
      </c>
      <c r="H102" s="56">
        <f t="shared" ref="H102:H110" si="64">$E$22*MIN(J23,$B$98)+IF($B$98-J23&gt;0,$E$23*($B$98-J23))+($E$25*365.25/12)</f>
        <v>200.40323307543355</v>
      </c>
      <c r="I102" s="56"/>
      <c r="J102" s="20" t="s">
        <v>196</v>
      </c>
      <c r="K102" s="56">
        <f t="shared" ref="K102:K110" si="65">$C$22*MIN(M23,$B$98)+IF($B$98-M23&gt;0,$C$23*($B$98-M23))+($C$25*365.25/12)</f>
        <v>212.275964375</v>
      </c>
      <c r="L102" s="56">
        <f t="shared" ref="L102:L110" si="66">$C$22*MIN(N23,$B$98)+IF($B$98-N23&gt;0,$C$23*($B$98-N23))+($C$25*365.25/12)</f>
        <v>189.19499999999999</v>
      </c>
      <c r="M102" s="56">
        <f t="shared" ref="M102:N110" si="67">$D$22*MIN(M23,$B$98)+IF($B$98-M23&gt;0,$D$23*($B$98-M23))+($D$25*365.25/12)</f>
        <v>206.59749069661959</v>
      </c>
      <c r="N102" s="56">
        <f t="shared" si="67"/>
        <v>186.95647915938036</v>
      </c>
      <c r="O102" s="56">
        <f t="shared" ref="O102:O110" si="68">$E$22*MIN(M23,$B$98)+IF($B$98-M23&gt;0,$E$23*($B$98-M23))+($E$25*365.25/12)</f>
        <v>206.59749069661959</v>
      </c>
      <c r="P102" s="56">
        <f t="shared" ref="P102:P110" si="69">$E$22*MIN(N23,$B$98)+IF($B$98-N23&gt;0,$E$23*($B$98-N23))+($E$25*365.25/12)</f>
        <v>186.95647915938036</v>
      </c>
    </row>
    <row r="103" spans="2:16">
      <c r="B103" s="20" t="s">
        <v>197</v>
      </c>
      <c r="C103" s="56">
        <f t="shared" ref="C103:C110" si="70">$C$22*MIN(I24,$B$98)+IF($B$98-I24&gt;0,$C$23*($B$98-I24))+(+($C$25*365.25/12))</f>
        <v>189.19499999999999</v>
      </c>
      <c r="D103" s="56">
        <f t="shared" si="60"/>
        <v>206.74382700000001</v>
      </c>
      <c r="E103" s="56">
        <f t="shared" si="61"/>
        <v>186.95647915938036</v>
      </c>
      <c r="F103" s="56">
        <f t="shared" si="62"/>
        <v>201.88985490451822</v>
      </c>
      <c r="G103" s="56">
        <f t="shared" si="63"/>
        <v>186.95647915938036</v>
      </c>
      <c r="H103" s="56">
        <f t="shared" si="64"/>
        <v>201.88985490451822</v>
      </c>
      <c r="I103" s="56"/>
      <c r="J103" s="20" t="s">
        <v>197</v>
      </c>
      <c r="K103" s="56">
        <f t="shared" si="65"/>
        <v>189.19499999999999</v>
      </c>
      <c r="L103" s="56">
        <f t="shared" si="66"/>
        <v>189.19499999999999</v>
      </c>
      <c r="M103" s="56">
        <f t="shared" si="67"/>
        <v>186.95647915938036</v>
      </c>
      <c r="N103" s="56">
        <f t="shared" si="67"/>
        <v>186.95647915938036</v>
      </c>
      <c r="O103" s="56">
        <f t="shared" si="68"/>
        <v>186.95647915938036</v>
      </c>
      <c r="P103" s="56">
        <f t="shared" si="69"/>
        <v>186.95647915938036</v>
      </c>
    </row>
    <row r="104" spans="2:16">
      <c r="B104" s="20" t="s">
        <v>198</v>
      </c>
      <c r="C104" s="56">
        <f t="shared" si="70"/>
        <v>193.35023125000001</v>
      </c>
      <c r="D104" s="56">
        <f t="shared" si="60"/>
        <v>207.32615724999999</v>
      </c>
      <c r="E104" s="56">
        <f t="shared" si="61"/>
        <v>190.49242088153585</v>
      </c>
      <c r="F104" s="56">
        <f t="shared" si="62"/>
        <v>202.38539551421309</v>
      </c>
      <c r="G104" s="56">
        <f t="shared" si="63"/>
        <v>190.49242088153585</v>
      </c>
      <c r="H104" s="56">
        <f t="shared" si="64"/>
        <v>202.38539551421309</v>
      </c>
      <c r="I104" s="56"/>
      <c r="J104" s="20" t="s">
        <v>198</v>
      </c>
      <c r="K104" s="56">
        <f t="shared" si="65"/>
        <v>189.19499999999999</v>
      </c>
      <c r="L104" s="56">
        <f t="shared" si="66"/>
        <v>189.19499999999999</v>
      </c>
      <c r="M104" s="56">
        <f t="shared" si="67"/>
        <v>186.95647915938036</v>
      </c>
      <c r="N104" s="56">
        <f t="shared" si="67"/>
        <v>186.95647915938036</v>
      </c>
      <c r="O104" s="56">
        <f t="shared" si="68"/>
        <v>186.95647915938036</v>
      </c>
      <c r="P104" s="56">
        <f t="shared" si="69"/>
        <v>186.95647915938036</v>
      </c>
    </row>
    <row r="105" spans="2:16">
      <c r="B105" s="20" t="s">
        <v>199</v>
      </c>
      <c r="C105" s="56">
        <f t="shared" si="70"/>
        <v>218.09926687500001</v>
      </c>
      <c r="D105" s="56">
        <f t="shared" si="60"/>
        <v>215.18761562500003</v>
      </c>
      <c r="E105" s="56">
        <f t="shared" si="61"/>
        <v>211.55289679356846</v>
      </c>
      <c r="F105" s="56">
        <f t="shared" si="62"/>
        <v>209.07519374509403</v>
      </c>
      <c r="G105" s="56">
        <f t="shared" si="63"/>
        <v>211.55289679356846</v>
      </c>
      <c r="H105" s="56">
        <f t="shared" si="64"/>
        <v>209.07519374509403</v>
      </c>
      <c r="I105" s="56"/>
      <c r="J105" s="20" t="s">
        <v>199</v>
      </c>
      <c r="K105" s="56">
        <f t="shared" si="65"/>
        <v>216.352276125</v>
      </c>
      <c r="L105" s="56">
        <f t="shared" si="66"/>
        <v>199.46469887500001</v>
      </c>
      <c r="M105" s="56">
        <f t="shared" si="67"/>
        <v>210.0662749644838</v>
      </c>
      <c r="N105" s="56">
        <f t="shared" si="67"/>
        <v>195.69559728333212</v>
      </c>
      <c r="O105" s="56">
        <f t="shared" si="68"/>
        <v>210.0662749644838</v>
      </c>
      <c r="P105" s="56">
        <f t="shared" si="69"/>
        <v>195.69559728333212</v>
      </c>
    </row>
    <row r="106" spans="2:16">
      <c r="B106" s="20" t="s">
        <v>200</v>
      </c>
      <c r="C106" s="56">
        <f t="shared" si="70"/>
        <v>216.352276125</v>
      </c>
      <c r="D106" s="56">
        <f t="shared" si="60"/>
        <v>213.44062487500003</v>
      </c>
      <c r="E106" s="56">
        <f t="shared" si="61"/>
        <v>210.0662749644838</v>
      </c>
      <c r="F106" s="56">
        <f t="shared" si="62"/>
        <v>207.58857191600939</v>
      </c>
      <c r="G106" s="56">
        <f t="shared" si="63"/>
        <v>210.0662749644838</v>
      </c>
      <c r="H106" s="56">
        <f t="shared" si="64"/>
        <v>207.58857191600939</v>
      </c>
      <c r="I106" s="56"/>
      <c r="J106" s="20" t="s">
        <v>200</v>
      </c>
      <c r="K106" s="56">
        <f t="shared" si="65"/>
        <v>206.74382700000001</v>
      </c>
      <c r="L106" s="56">
        <f t="shared" si="66"/>
        <v>189.19499999999999</v>
      </c>
      <c r="M106" s="56">
        <f t="shared" si="67"/>
        <v>201.88985490451822</v>
      </c>
      <c r="N106" s="56">
        <f t="shared" si="67"/>
        <v>186.95647915938036</v>
      </c>
      <c r="O106" s="56">
        <f t="shared" si="68"/>
        <v>201.88985490451822</v>
      </c>
      <c r="P106" s="56">
        <f t="shared" si="69"/>
        <v>186.95647915938036</v>
      </c>
    </row>
    <row r="107" spans="2:16">
      <c r="B107" s="20" t="s">
        <v>201</v>
      </c>
      <c r="C107" s="56">
        <f t="shared" si="70"/>
        <v>189.19499999999999</v>
      </c>
      <c r="D107" s="56">
        <f t="shared" si="60"/>
        <v>208.49081775000002</v>
      </c>
      <c r="E107" s="56">
        <f t="shared" si="61"/>
        <v>186.95647915938036</v>
      </c>
      <c r="F107" s="56">
        <f t="shared" si="62"/>
        <v>203.37647673360286</v>
      </c>
      <c r="G107" s="56">
        <f t="shared" si="63"/>
        <v>186.95647915938036</v>
      </c>
      <c r="H107" s="56">
        <f t="shared" si="64"/>
        <v>203.37647673360286</v>
      </c>
      <c r="I107" s="56"/>
      <c r="J107" s="20" t="s">
        <v>201</v>
      </c>
      <c r="K107" s="56">
        <f t="shared" si="65"/>
        <v>189.19499999999999</v>
      </c>
      <c r="L107" s="56">
        <f t="shared" si="66"/>
        <v>189.19499999999999</v>
      </c>
      <c r="M107" s="56">
        <f t="shared" si="67"/>
        <v>186.95647915938036</v>
      </c>
      <c r="N107" s="56">
        <f t="shared" si="67"/>
        <v>186.95647915938036</v>
      </c>
      <c r="O107" s="56">
        <f t="shared" si="68"/>
        <v>186.95647915938036</v>
      </c>
      <c r="P107" s="56">
        <f t="shared" si="69"/>
        <v>186.95647915938036</v>
      </c>
    </row>
    <row r="108" spans="2:16">
      <c r="B108" s="20" t="s">
        <v>202</v>
      </c>
      <c r="C108" s="56">
        <f t="shared" si="70"/>
        <v>208.49081775000002</v>
      </c>
      <c r="D108" s="56">
        <f t="shared" si="60"/>
        <v>208.78198287500001</v>
      </c>
      <c r="E108" s="56">
        <f t="shared" si="61"/>
        <v>203.37647673360286</v>
      </c>
      <c r="F108" s="56">
        <f t="shared" si="62"/>
        <v>203.62424703845031</v>
      </c>
      <c r="G108" s="56">
        <f t="shared" si="63"/>
        <v>203.37647673360286</v>
      </c>
      <c r="H108" s="56">
        <f t="shared" si="64"/>
        <v>203.62424703845031</v>
      </c>
      <c r="I108" s="56"/>
      <c r="J108" s="20" t="s">
        <v>202</v>
      </c>
      <c r="K108" s="56">
        <f t="shared" si="65"/>
        <v>212.275964375</v>
      </c>
      <c r="L108" s="56">
        <f t="shared" si="66"/>
        <v>194.51489175</v>
      </c>
      <c r="M108" s="56">
        <f t="shared" si="67"/>
        <v>206.59749069661959</v>
      </c>
      <c r="N108" s="56">
        <f t="shared" si="67"/>
        <v>191.48350210092562</v>
      </c>
      <c r="O108" s="56">
        <f t="shared" si="68"/>
        <v>206.59749069661959</v>
      </c>
      <c r="P108" s="56">
        <f t="shared" si="69"/>
        <v>191.48350210092562</v>
      </c>
    </row>
    <row r="109" spans="2:16">
      <c r="B109" s="20" t="s">
        <v>203</v>
      </c>
      <c r="C109" s="56">
        <f t="shared" si="70"/>
        <v>206.45266187499999</v>
      </c>
      <c r="D109" s="56">
        <f t="shared" si="60"/>
        <v>204.70567112499998</v>
      </c>
      <c r="E109" s="56">
        <f t="shared" si="61"/>
        <v>201.64208459967077</v>
      </c>
      <c r="F109" s="56">
        <f t="shared" si="62"/>
        <v>200.1554627705861</v>
      </c>
      <c r="G109" s="56">
        <f t="shared" si="63"/>
        <v>201.64208459967077</v>
      </c>
      <c r="H109" s="56">
        <f t="shared" si="64"/>
        <v>200.1554627705861</v>
      </c>
      <c r="I109" s="56"/>
      <c r="J109" s="20" t="s">
        <v>203</v>
      </c>
      <c r="K109" s="56">
        <f t="shared" si="65"/>
        <v>202.08518500000002</v>
      </c>
      <c r="L109" s="56">
        <f t="shared" si="66"/>
        <v>189.19499999999999</v>
      </c>
      <c r="M109" s="56">
        <f t="shared" si="67"/>
        <v>197.92553002695914</v>
      </c>
      <c r="N109" s="56">
        <f t="shared" si="67"/>
        <v>186.95647915938036</v>
      </c>
      <c r="O109" s="56">
        <f t="shared" si="68"/>
        <v>197.92553002695914</v>
      </c>
      <c r="P109" s="56">
        <f t="shared" si="69"/>
        <v>186.95647915938036</v>
      </c>
    </row>
    <row r="110" spans="2:16">
      <c r="B110" s="20" t="s">
        <v>204</v>
      </c>
      <c r="C110" s="56">
        <f t="shared" si="70"/>
        <v>219.84625762500002</v>
      </c>
      <c r="D110" s="56">
        <f t="shared" si="60"/>
        <v>214.31412024999997</v>
      </c>
      <c r="E110" s="56">
        <f t="shared" si="61"/>
        <v>213.03951862265311</v>
      </c>
      <c r="F110" s="56">
        <f t="shared" si="62"/>
        <v>208.33188283055168</v>
      </c>
      <c r="G110" s="56">
        <f t="shared" si="63"/>
        <v>213.03951862265311</v>
      </c>
      <c r="H110" s="56">
        <f t="shared" si="64"/>
        <v>208.33188283055168</v>
      </c>
      <c r="I110" s="56"/>
      <c r="J110" s="20" t="s">
        <v>204</v>
      </c>
      <c r="K110" s="56">
        <f t="shared" si="65"/>
        <v>217.51693662500003</v>
      </c>
      <c r="L110" s="56">
        <f t="shared" si="66"/>
        <v>191.31207537500001</v>
      </c>
      <c r="M110" s="56">
        <f t="shared" si="67"/>
        <v>211.05735618387357</v>
      </c>
      <c r="N110" s="56">
        <f t="shared" si="67"/>
        <v>188.75802874760373</v>
      </c>
      <c r="O110" s="56">
        <f t="shared" si="68"/>
        <v>211.05735618387357</v>
      </c>
      <c r="P110" s="56">
        <f t="shared" si="69"/>
        <v>188.75802874760373</v>
      </c>
    </row>
    <row r="111" spans="2:16">
      <c r="B111" s="20" t="s">
        <v>194</v>
      </c>
      <c r="C111" s="78">
        <f t="shared" ref="C111:H111" si="71">SUMPRODUCT(C101:C110,$U$22:$U$31)</f>
        <v>194.75035484986034</v>
      </c>
      <c r="D111" s="78">
        <f t="shared" si="71"/>
        <v>207.64966747668257</v>
      </c>
      <c r="E111" s="78">
        <f t="shared" si="71"/>
        <v>191.68387212818325</v>
      </c>
      <c r="F111" s="78">
        <f t="shared" si="71"/>
        <v>202.66069025456505</v>
      </c>
      <c r="G111" s="78">
        <f t="shared" si="71"/>
        <v>191.68387212818325</v>
      </c>
      <c r="H111" s="78">
        <f t="shared" si="71"/>
        <v>202.66069025456505</v>
      </c>
      <c r="I111" s="78"/>
      <c r="J111" s="20" t="s">
        <v>194</v>
      </c>
      <c r="K111" s="78">
        <f t="shared" ref="K111:P111" si="72">SUMPRODUCT(K101:K110,$AC$22:$AC$31)</f>
        <v>193.60703581557385</v>
      </c>
      <c r="L111" s="78">
        <f t="shared" si="72"/>
        <v>189.77262837624085</v>
      </c>
      <c r="M111" s="78">
        <f t="shared" si="72"/>
        <v>190.71095167398033</v>
      </c>
      <c r="N111" s="78">
        <f t="shared" si="72"/>
        <v>187.4480186556361</v>
      </c>
      <c r="O111" s="78">
        <f t="shared" si="72"/>
        <v>190.71095167398033</v>
      </c>
      <c r="P111" s="78">
        <f t="shared" si="72"/>
        <v>187.4480186556361</v>
      </c>
    </row>
    <row r="113" spans="2:16">
      <c r="B113" s="467">
        <f>'Hypothetical Summary'!D3</f>
        <v>500</v>
      </c>
      <c r="C113" s="571" t="s">
        <v>241</v>
      </c>
      <c r="D113" s="549"/>
      <c r="E113" s="549"/>
      <c r="F113" s="549"/>
      <c r="G113" s="549"/>
      <c r="H113" s="549"/>
      <c r="J113" s="467">
        <f>'Hypothetical Summary'!D3</f>
        <v>500</v>
      </c>
      <c r="K113" s="571" t="s">
        <v>250</v>
      </c>
      <c r="L113" s="549"/>
      <c r="M113" s="549"/>
      <c r="N113" s="549"/>
      <c r="O113" s="549"/>
      <c r="P113" s="549"/>
    </row>
    <row r="114" spans="2:16">
      <c r="B114" s="406"/>
      <c r="C114" s="550">
        <f>$C$27</f>
        <v>46023</v>
      </c>
      <c r="D114" s="551"/>
      <c r="E114" s="550">
        <f>$D$27</f>
        <v>46082</v>
      </c>
      <c r="F114" s="551"/>
      <c r="G114" s="552" t="str">
        <f>$E$21</f>
        <v>Proposed</v>
      </c>
      <c r="H114" s="552"/>
      <c r="I114" s="98"/>
      <c r="J114" s="406"/>
      <c r="K114" s="550">
        <f>$C$27</f>
        <v>46023</v>
      </c>
      <c r="L114" s="551"/>
      <c r="M114" s="550">
        <f>$D$21</f>
        <v>46082</v>
      </c>
      <c r="N114" s="551"/>
      <c r="O114" s="552" t="str">
        <f>$E$21</f>
        <v>Proposed</v>
      </c>
      <c r="P114" s="552"/>
    </row>
    <row r="115" spans="2:16">
      <c r="B115" s="406"/>
      <c r="C115" s="56" t="s">
        <v>143</v>
      </c>
      <c r="D115" s="56" t="s">
        <v>144</v>
      </c>
      <c r="E115" s="56" t="s">
        <v>143</v>
      </c>
      <c r="F115" s="56" t="s">
        <v>144</v>
      </c>
      <c r="G115" s="56" t="s">
        <v>143</v>
      </c>
      <c r="H115" s="56" t="s">
        <v>144</v>
      </c>
      <c r="I115" s="56"/>
      <c r="J115" s="406"/>
      <c r="K115" s="56" t="s">
        <v>143</v>
      </c>
      <c r="L115" s="56" t="s">
        <v>144</v>
      </c>
      <c r="M115" s="56" t="s">
        <v>143</v>
      </c>
      <c r="N115" s="56" t="s">
        <v>144</v>
      </c>
      <c r="O115" s="56" t="s">
        <v>143</v>
      </c>
      <c r="P115" s="56" t="s">
        <v>144</v>
      </c>
    </row>
    <row r="116" spans="2:16">
      <c r="B116" s="20" t="s">
        <v>195</v>
      </c>
      <c r="C116" s="56">
        <f>$C$28*MIN(I22,$B$113)+IF($B$113-I22&gt;0,$C$29*($B$113-I22))+($C$31*365.25/12)</f>
        <v>120.6589584375</v>
      </c>
      <c r="D116" s="56">
        <f>$C$28*MIN(J22,$B$113)+IF($B$113-J22&gt;0,$C$29*($B$113-J22))+($C$25*365.25/12)+($C$31*365.25/12)</f>
        <v>125.389706875</v>
      </c>
      <c r="E116" s="56">
        <f>$D$28*MIN(I22,$B$113)+IF($B$113-I22&gt;0,$D$29*($B$113-I22))+($D$31*365.25/12)</f>
        <v>111.35043948504673</v>
      </c>
      <c r="F116" s="56">
        <f>$D$28*MIN(J22,$B$113)+IF($B$113-J22&gt;0,$D$29*($B$113-J22))+($D$31*365.25/12)</f>
        <v>115.37670693881775</v>
      </c>
      <c r="G116" s="56">
        <f>$E$28*MIN(I22,$B$113)+IF($B$113-I22&gt;0,$E$29*($B$113-I22))+($E$31*365.25/12)</f>
        <v>111.35043948504673</v>
      </c>
      <c r="H116" s="56">
        <f>$E$28*MIN(J22,$B$113)+IF($B$113-J22&gt;0,$E$29*($B$113-J22))+($E$31*365.25/12)</f>
        <v>115.37670693881775</v>
      </c>
      <c r="I116" s="56"/>
      <c r="J116" s="20" t="s">
        <v>195</v>
      </c>
      <c r="K116" s="56">
        <f>$C$28*MIN(M22,$B$113)+IF($B$113-M22&gt;0,$C$29*($B$113-M22))+($C$31*365.25/12)</f>
        <v>117.4420495</v>
      </c>
      <c r="L116" s="56">
        <f>$C$28*MIN(N22,$B$113)+IF($B$113-N22&gt;0,$C$29*($B$113-N22))+($C$31*365.25/12)</f>
        <v>115.12</v>
      </c>
      <c r="M116" s="56">
        <f>$D$28*MIN(M22,$B$113)+IF($B$113-M22&gt;0,$D$29*($B$113-M22))+($D$31*365.25/12)</f>
        <v>108.61257761648245</v>
      </c>
      <c r="N116" s="56">
        <f>$D$28*MIN(N22,$B$113)+IF($B$113-N22&gt;0,$D$29*($B$113-N22))+($D$31*365.25/12)</f>
        <v>106.63631689338303</v>
      </c>
      <c r="O116" s="56">
        <f>$E$28*MIN(M22,$B$113)+IF($B$113-M22&gt;0,$E$29*($B$113-M22))+($E$31*365.25/12)</f>
        <v>108.61257761648245</v>
      </c>
      <c r="P116" s="56">
        <f>$E$28*MIN(N22,$B$113)+IF($B$113-N22&gt;0,$E$29*($B$113-N22))+($E$31*365.25/12)</f>
        <v>106.63631689338303</v>
      </c>
    </row>
    <row r="117" spans="2:16">
      <c r="B117" s="20" t="s">
        <v>196</v>
      </c>
      <c r="C117" s="56">
        <f t="shared" ref="C117:C125" si="73">$C$28*MIN(I23,$B$113)+IF($B$113-I23&gt;0,$C$29*($B$113-I23))+($C$31*365.25/12)</f>
        <v>127.660466125</v>
      </c>
      <c r="D117" s="56">
        <f t="shared" ref="D117:D125" si="74">$C$28*MIN(J23,$B$113)+IF($B$113-J23&gt;0,$C$29*($B$113-J23))+($C$25*365.25/12)+($C$31*365.25/12)</f>
        <v>125.389706875</v>
      </c>
      <c r="E117" s="56">
        <f>$D$28*MIN(I23,$B$113)+IF($B$113-I23&gt;0,$D$29*($B$113-I23))+($D$31*365.25/12)</f>
        <v>117.30931531662785</v>
      </c>
      <c r="F117" s="56">
        <f t="shared" ref="F117:F125" si="75">$D$28*MIN(J23,$B$113)+IF($B$113-J23&gt;0,$D$29*($B$113-J23))+($D$31*365.25/12)</f>
        <v>115.37670693881775</v>
      </c>
      <c r="G117" s="56">
        <f t="shared" ref="G117:G125" si="76">$E$28*MIN(I23,$B$113)+IF($B$113-I23&gt;0,$E$29*($B$113-I23))+($E$31*365.25/12)</f>
        <v>117.30931531662785</v>
      </c>
      <c r="H117" s="56">
        <f t="shared" ref="H117:H125" si="77">$E$28*MIN(J23,$B$113)+IF($B$113-J23&gt;0,$E$29*($B$113-J23))+($E$31*365.25/12)</f>
        <v>115.37670693881775</v>
      </c>
      <c r="I117" s="56"/>
      <c r="J117" s="20" t="s">
        <v>196</v>
      </c>
      <c r="K117" s="56">
        <f t="shared" ref="K117:K125" si="78">$C$28*MIN(M23,$B$113)+IF($B$113-M23&gt;0,$C$29*($B$113-M23))+($C$31*365.25/12)</f>
        <v>130.12045531250001</v>
      </c>
      <c r="L117" s="56">
        <f t="shared" ref="L117:L125" si="79">$C$28*MIN(N23,$B$113)+IF($B$113-N23&gt;0,$C$29*($B$113-N23))+($C$31*365.25/12)</f>
        <v>115.12</v>
      </c>
      <c r="M117" s="56">
        <f t="shared" ref="M117:N125" si="80">$D$28*MIN(M23,$B$113)+IF($B$113-M23&gt;0,$D$29*($B$113-M23))+($D$31*365.25/12)</f>
        <v>119.40297439258876</v>
      </c>
      <c r="N117" s="56">
        <f t="shared" si="80"/>
        <v>106.63631689338303</v>
      </c>
      <c r="O117" s="56">
        <f t="shared" ref="O117:O125" si="81">$E$28*MIN(M23,$B$113)+IF($B$113-M23&gt;0,$E$29*($B$113-M23))+($E$31*365.25/12)</f>
        <v>119.40297439258876</v>
      </c>
      <c r="P117" s="56">
        <f t="shared" ref="P117:P125" si="82">$E$28*MIN(N23,$B$113)+IF($B$113-N23&gt;0,$E$29*($B$113-N23))+($E$31*365.25/12)</f>
        <v>106.63631689338303</v>
      </c>
    </row>
    <row r="118" spans="2:16">
      <c r="B118" s="20" t="s">
        <v>197</v>
      </c>
      <c r="C118" s="56">
        <f t="shared" si="73"/>
        <v>115.12</v>
      </c>
      <c r="D118" s="56">
        <f t="shared" si="74"/>
        <v>126.52508650000001</v>
      </c>
      <c r="E118" s="56">
        <f>$D$28*MIN(I24,$B$113)+IF($B$113-I24&gt;0,$D$29*($B$113-I24))+($D$31*365.25/12)</f>
        <v>106.63631689338303</v>
      </c>
      <c r="F118" s="56">
        <f t="shared" si="75"/>
        <v>116.34301112772279</v>
      </c>
      <c r="G118" s="56">
        <f t="shared" si="76"/>
        <v>106.63631689338303</v>
      </c>
      <c r="H118" s="56">
        <f t="shared" si="77"/>
        <v>116.34301112772279</v>
      </c>
      <c r="I118" s="56"/>
      <c r="J118" s="20" t="s">
        <v>197</v>
      </c>
      <c r="K118" s="56">
        <f t="shared" si="78"/>
        <v>115.12</v>
      </c>
      <c r="L118" s="56">
        <f t="shared" si="79"/>
        <v>115.12</v>
      </c>
      <c r="M118" s="56">
        <f t="shared" si="80"/>
        <v>106.63631689338303</v>
      </c>
      <c r="N118" s="56">
        <f t="shared" si="80"/>
        <v>106.63631689338303</v>
      </c>
      <c r="O118" s="56">
        <f t="shared" si="81"/>
        <v>106.63631689338303</v>
      </c>
      <c r="P118" s="56">
        <f t="shared" si="82"/>
        <v>106.63631689338303</v>
      </c>
    </row>
    <row r="119" spans="2:16">
      <c r="B119" s="20" t="s">
        <v>198</v>
      </c>
      <c r="C119" s="56">
        <f t="shared" si="73"/>
        <v>117.820509375</v>
      </c>
      <c r="D119" s="56">
        <f t="shared" si="74"/>
        <v>126.903546375</v>
      </c>
      <c r="E119" s="56">
        <f t="shared" ref="E119:E125" si="83">$D$28*MIN(I25,$B$113)+IF($B$113-I25&gt;0,$D$29*($B$113-I25))+($D$31*365.25/12)</f>
        <v>108.93467901278413</v>
      </c>
      <c r="F119" s="56">
        <f t="shared" si="75"/>
        <v>116.66511252402448</v>
      </c>
      <c r="G119" s="56">
        <f t="shared" si="76"/>
        <v>108.93467901278413</v>
      </c>
      <c r="H119" s="56">
        <f t="shared" si="77"/>
        <v>116.66511252402448</v>
      </c>
      <c r="I119" s="56"/>
      <c r="J119" s="20" t="s">
        <v>198</v>
      </c>
      <c r="K119" s="56">
        <f t="shared" si="78"/>
        <v>115.12</v>
      </c>
      <c r="L119" s="56">
        <f t="shared" si="79"/>
        <v>115.12</v>
      </c>
      <c r="M119" s="56">
        <f t="shared" si="80"/>
        <v>106.63631689338303</v>
      </c>
      <c r="N119" s="56">
        <f t="shared" si="80"/>
        <v>106.63631689338303</v>
      </c>
      <c r="O119" s="56">
        <f t="shared" si="81"/>
        <v>106.63631689338303</v>
      </c>
      <c r="P119" s="56">
        <f t="shared" si="82"/>
        <v>106.63631689338303</v>
      </c>
    </row>
    <row r="120" spans="2:16">
      <c r="B120" s="20" t="s">
        <v>199</v>
      </c>
      <c r="C120" s="56">
        <f t="shared" si="73"/>
        <v>133.9050540625</v>
      </c>
      <c r="D120" s="56">
        <f t="shared" si="74"/>
        <v>132.01275468750001</v>
      </c>
      <c r="E120" s="56">
        <f t="shared" si="83"/>
        <v>122.62398835560558</v>
      </c>
      <c r="F120" s="56">
        <f>$D$28*MIN(J26,$B$113)+IF($B$113-J26&gt;0,$D$29*($B$113-J26))+($D$31*365.25/12)</f>
        <v>121.01348137409718</v>
      </c>
      <c r="G120" s="56">
        <f t="shared" si="76"/>
        <v>122.62398835560558</v>
      </c>
      <c r="H120" s="56">
        <f t="shared" si="77"/>
        <v>121.01348137409718</v>
      </c>
      <c r="I120" s="56"/>
      <c r="J120" s="20" t="s">
        <v>199</v>
      </c>
      <c r="K120" s="56">
        <f t="shared" si="78"/>
        <v>132.76967443749999</v>
      </c>
      <c r="L120" s="56">
        <f t="shared" si="79"/>
        <v>121.7943380625</v>
      </c>
      <c r="M120" s="56">
        <f t="shared" si="80"/>
        <v>121.65768416670053</v>
      </c>
      <c r="N120" s="56">
        <f t="shared" si="80"/>
        <v>112.31674367395178</v>
      </c>
      <c r="O120" s="56">
        <f t="shared" si="81"/>
        <v>121.65768416670053</v>
      </c>
      <c r="P120" s="56">
        <f t="shared" si="82"/>
        <v>112.31674367395178</v>
      </c>
    </row>
    <row r="121" spans="2:16">
      <c r="B121" s="20" t="s">
        <v>200</v>
      </c>
      <c r="C121" s="56">
        <f t="shared" si="73"/>
        <v>132.76967443749999</v>
      </c>
      <c r="D121" s="56">
        <f t="shared" si="74"/>
        <v>130.87737506249999</v>
      </c>
      <c r="E121" s="56">
        <f t="shared" si="83"/>
        <v>121.65768416670053</v>
      </c>
      <c r="F121" s="56">
        <f t="shared" si="75"/>
        <v>120.04717718519213</v>
      </c>
      <c r="G121" s="56">
        <f t="shared" si="76"/>
        <v>121.65768416670053</v>
      </c>
      <c r="H121" s="56">
        <f t="shared" si="77"/>
        <v>120.04717718519213</v>
      </c>
      <c r="I121" s="56"/>
      <c r="J121" s="20" t="s">
        <v>200</v>
      </c>
      <c r="K121" s="56">
        <f t="shared" si="78"/>
        <v>126.52508650000001</v>
      </c>
      <c r="L121" s="56">
        <f t="shared" si="79"/>
        <v>115.12</v>
      </c>
      <c r="M121" s="56">
        <f t="shared" si="80"/>
        <v>116.34301112772279</v>
      </c>
      <c r="N121" s="56">
        <f t="shared" si="80"/>
        <v>106.63631689338303</v>
      </c>
      <c r="O121" s="56">
        <f t="shared" si="81"/>
        <v>116.34301112772279</v>
      </c>
      <c r="P121" s="56">
        <f t="shared" si="82"/>
        <v>106.63631689338303</v>
      </c>
    </row>
    <row r="122" spans="2:16">
      <c r="B122" s="20" t="s">
        <v>201</v>
      </c>
      <c r="C122" s="56">
        <f t="shared" si="73"/>
        <v>115.12</v>
      </c>
      <c r="D122" s="56">
        <f t="shared" si="74"/>
        <v>127.660466125</v>
      </c>
      <c r="E122" s="56">
        <f t="shared" si="83"/>
        <v>106.63631689338303</v>
      </c>
      <c r="F122" s="56">
        <f t="shared" si="75"/>
        <v>117.30931531662785</v>
      </c>
      <c r="G122" s="56">
        <f t="shared" si="76"/>
        <v>106.63631689338303</v>
      </c>
      <c r="H122" s="56">
        <f t="shared" si="77"/>
        <v>117.30931531662785</v>
      </c>
      <c r="I122" s="56"/>
      <c r="J122" s="20" t="s">
        <v>201</v>
      </c>
      <c r="K122" s="56">
        <f t="shared" si="78"/>
        <v>115.12</v>
      </c>
      <c r="L122" s="56">
        <f t="shared" si="79"/>
        <v>115.12</v>
      </c>
      <c r="M122" s="56">
        <f t="shared" si="80"/>
        <v>106.63631689338303</v>
      </c>
      <c r="N122" s="56">
        <f t="shared" si="80"/>
        <v>106.63631689338303</v>
      </c>
      <c r="O122" s="56">
        <f t="shared" si="81"/>
        <v>106.63631689338303</v>
      </c>
      <c r="P122" s="56">
        <f t="shared" si="82"/>
        <v>106.63631689338303</v>
      </c>
    </row>
    <row r="123" spans="2:16">
      <c r="B123" s="20" t="s">
        <v>202</v>
      </c>
      <c r="C123" s="56">
        <f t="shared" si="73"/>
        <v>127.660466125</v>
      </c>
      <c r="D123" s="56">
        <f t="shared" si="74"/>
        <v>127.84969606249999</v>
      </c>
      <c r="E123" s="56">
        <f t="shared" si="83"/>
        <v>117.30931531662785</v>
      </c>
      <c r="F123" s="56">
        <f t="shared" si="75"/>
        <v>117.47036601477868</v>
      </c>
      <c r="G123" s="56">
        <f t="shared" si="76"/>
        <v>117.30931531662785</v>
      </c>
      <c r="H123" s="56">
        <f t="shared" si="77"/>
        <v>117.47036601477868</v>
      </c>
      <c r="I123" s="56"/>
      <c r="J123" s="20" t="s">
        <v>202</v>
      </c>
      <c r="K123" s="56">
        <f t="shared" si="78"/>
        <v>130.12045531250001</v>
      </c>
      <c r="L123" s="56">
        <f t="shared" si="79"/>
        <v>118.57742912499999</v>
      </c>
      <c r="M123" s="56">
        <f t="shared" si="80"/>
        <v>119.40297439258876</v>
      </c>
      <c r="N123" s="56">
        <f t="shared" si="80"/>
        <v>109.57888180538751</v>
      </c>
      <c r="O123" s="56">
        <f t="shared" si="81"/>
        <v>119.40297439258876</v>
      </c>
      <c r="P123" s="56">
        <f t="shared" si="82"/>
        <v>109.57888180538751</v>
      </c>
    </row>
    <row r="124" spans="2:16">
      <c r="B124" s="20" t="s">
        <v>203</v>
      </c>
      <c r="C124" s="56">
        <f t="shared" si="73"/>
        <v>126.3358565625</v>
      </c>
      <c r="D124" s="56">
        <f t="shared" si="74"/>
        <v>125.2004769375</v>
      </c>
      <c r="E124" s="56">
        <f t="shared" si="83"/>
        <v>116.18196042957194</v>
      </c>
      <c r="F124" s="56">
        <f t="shared" si="75"/>
        <v>115.21565624066692</v>
      </c>
      <c r="G124" s="56">
        <f t="shared" si="76"/>
        <v>116.18196042957194</v>
      </c>
      <c r="H124" s="56">
        <f t="shared" si="77"/>
        <v>115.21565624066692</v>
      </c>
      <c r="I124" s="56"/>
      <c r="J124" s="20" t="s">
        <v>203</v>
      </c>
      <c r="K124" s="56">
        <f t="shared" si="78"/>
        <v>123.49740750000001</v>
      </c>
      <c r="L124" s="56">
        <f t="shared" si="79"/>
        <v>115.12</v>
      </c>
      <c r="M124" s="56">
        <f t="shared" si="80"/>
        <v>113.76619995730934</v>
      </c>
      <c r="N124" s="56">
        <f t="shared" si="80"/>
        <v>106.63631689338303</v>
      </c>
      <c r="O124" s="56">
        <f t="shared" si="81"/>
        <v>113.76619995730934</v>
      </c>
      <c r="P124" s="56">
        <f t="shared" si="82"/>
        <v>106.63631689338303</v>
      </c>
    </row>
    <row r="125" spans="2:16">
      <c r="B125" s="20" t="s">
        <v>204</v>
      </c>
      <c r="C125" s="56">
        <f t="shared" si="73"/>
        <v>135.04043368750001</v>
      </c>
      <c r="D125" s="56">
        <f t="shared" si="74"/>
        <v>131.44506487499999</v>
      </c>
      <c r="E125" s="56">
        <f t="shared" si="83"/>
        <v>123.59029254451062</v>
      </c>
      <c r="F125" s="56">
        <f t="shared" si="75"/>
        <v>120.53032927964463</v>
      </c>
      <c r="G125" s="56">
        <f t="shared" si="76"/>
        <v>123.59029254451062</v>
      </c>
      <c r="H125" s="56">
        <f t="shared" si="77"/>
        <v>120.53032927964463</v>
      </c>
      <c r="I125" s="56"/>
      <c r="J125" s="20" t="s">
        <v>204</v>
      </c>
      <c r="K125" s="56">
        <f t="shared" si="78"/>
        <v>133.5265941875</v>
      </c>
      <c r="L125" s="56">
        <f t="shared" si="79"/>
        <v>116.49589981250001</v>
      </c>
      <c r="M125" s="56">
        <f t="shared" si="80"/>
        <v>122.30188695930391</v>
      </c>
      <c r="N125" s="56">
        <f t="shared" si="80"/>
        <v>107.80732412572826</v>
      </c>
      <c r="O125" s="56">
        <f t="shared" si="81"/>
        <v>122.30188695930391</v>
      </c>
      <c r="P125" s="56">
        <f t="shared" si="82"/>
        <v>107.80732412572826</v>
      </c>
    </row>
    <row r="126" spans="2:16">
      <c r="B126" s="20" t="s">
        <v>194</v>
      </c>
      <c r="C126" s="78">
        <f t="shared" ref="C126:H126" si="84">SUMPRODUCT(C116:C125,$V$22:$V$31)</f>
        <v>116.89178268038819</v>
      </c>
      <c r="D126" s="78">
        <f t="shared" si="84"/>
        <v>127.03188391443483</v>
      </c>
      <c r="E126" s="78">
        <f t="shared" si="84"/>
        <v>108.14425396411255</v>
      </c>
      <c r="F126" s="78">
        <f t="shared" si="84"/>
        <v>116.77433863590721</v>
      </c>
      <c r="G126" s="78">
        <f t="shared" si="84"/>
        <v>108.14425396411255</v>
      </c>
      <c r="H126" s="78">
        <f t="shared" si="84"/>
        <v>116.77433863590721</v>
      </c>
      <c r="I126" s="78"/>
      <c r="J126" s="20" t="s">
        <v>194</v>
      </c>
      <c r="K126" s="78">
        <f t="shared" ref="K126:P126" si="85">SUMPRODUCT(K116:K125,$AD$22:$AD$31)</f>
        <v>116.78719028087056</v>
      </c>
      <c r="L126" s="78">
        <f t="shared" si="85"/>
        <v>115.40736944486729</v>
      </c>
      <c r="M126" s="78">
        <f t="shared" si="85"/>
        <v>108.05523697670496</v>
      </c>
      <c r="N126" s="78">
        <f t="shared" si="85"/>
        <v>106.88089262138115</v>
      </c>
      <c r="O126" s="78">
        <f t="shared" si="85"/>
        <v>108.05523697670496</v>
      </c>
      <c r="P126" s="78">
        <f t="shared" si="85"/>
        <v>106.88089262138115</v>
      </c>
    </row>
  </sheetData>
  <mergeCells count="57">
    <mergeCell ref="K99:L99"/>
    <mergeCell ref="M99:N99"/>
    <mergeCell ref="O99:P99"/>
    <mergeCell ref="K113:P113"/>
    <mergeCell ref="K114:L114"/>
    <mergeCell ref="M114:N114"/>
    <mergeCell ref="O114:P114"/>
    <mergeCell ref="K82:P82"/>
    <mergeCell ref="K83:L83"/>
    <mergeCell ref="M83:N83"/>
    <mergeCell ref="O83:P83"/>
    <mergeCell ref="K98:P98"/>
    <mergeCell ref="K51:L51"/>
    <mergeCell ref="M51:N51"/>
    <mergeCell ref="O51:P51"/>
    <mergeCell ref="K66:P66"/>
    <mergeCell ref="K67:L67"/>
    <mergeCell ref="M67:N67"/>
    <mergeCell ref="O67:P67"/>
    <mergeCell ref="C114:D114"/>
    <mergeCell ref="E114:F114"/>
    <mergeCell ref="G114:H114"/>
    <mergeCell ref="C113:H113"/>
    <mergeCell ref="C99:D99"/>
    <mergeCell ref="E99:F99"/>
    <mergeCell ref="G99:H99"/>
    <mergeCell ref="C98:H98"/>
    <mergeCell ref="C83:D83"/>
    <mergeCell ref="E83:F83"/>
    <mergeCell ref="G83:H83"/>
    <mergeCell ref="C82:H82"/>
    <mergeCell ref="AC20:AD20"/>
    <mergeCell ref="Y21:Z21"/>
    <mergeCell ref="AA21:AB21"/>
    <mergeCell ref="C67:D67"/>
    <mergeCell ref="E67:F67"/>
    <mergeCell ref="G67:H67"/>
    <mergeCell ref="C66:H66"/>
    <mergeCell ref="K34:P34"/>
    <mergeCell ref="K35:L35"/>
    <mergeCell ref="C35:D35"/>
    <mergeCell ref="E35:F35"/>
    <mergeCell ref="G35:H35"/>
    <mergeCell ref="C51:D51"/>
    <mergeCell ref="E51:F51"/>
    <mergeCell ref="G51:H51"/>
    <mergeCell ref="C34:H34"/>
    <mergeCell ref="C50:H50"/>
    <mergeCell ref="B2:D2"/>
    <mergeCell ref="U20:V20"/>
    <mergeCell ref="Q21:R21"/>
    <mergeCell ref="S21:T21"/>
    <mergeCell ref="E3:I3"/>
    <mergeCell ref="P3:T3"/>
    <mergeCell ref="M35:N35"/>
    <mergeCell ref="O35:P35"/>
    <mergeCell ref="K50:P50"/>
  </mergeCells>
  <pageMargins left="0.7" right="0.7" top="0.75" bottom="0.75" header="0.3" footer="0.3"/>
  <pageSetup orientation="portrait" horizontalDpi="1200" verticalDpi="1200" r:id="rId1"/>
  <headerFooter>
    <oddHeader>&amp;R&amp;F</oddHeader>
    <oddFooter xml:space="preserve">&amp;C_x000D_&amp;1#&amp;"Aptos"&amp;12&amp;K000000 Public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39238-0B17-47C6-B664-48FB6ACB1FA6}">
  <sheetPr codeName="Sheet15">
    <tabColor rgb="FF92D050"/>
    <pageSetUpPr autoPageBreaks="0"/>
  </sheetPr>
  <dimension ref="B1:AB83"/>
  <sheetViews>
    <sheetView tabSelected="1" workbookViewId="0"/>
  </sheetViews>
  <sheetFormatPr defaultColWidth="13.7265625" defaultRowHeight="15.5"/>
  <cols>
    <col min="1" max="1" width="13.7265625" style="139"/>
    <col min="2" max="2" width="24.26953125" style="139" bestFit="1" customWidth="1"/>
    <col min="3" max="15" width="13.7265625" style="139"/>
    <col min="16" max="16" width="18.1796875" style="139" customWidth="1"/>
    <col min="17" max="18" width="13.7265625" style="139"/>
    <col min="19" max="19" width="22.54296875" style="139" bestFit="1" customWidth="1"/>
    <col min="20" max="16384" width="13.7265625" style="139"/>
  </cols>
  <sheetData>
    <row r="1" spans="2:25">
      <c r="B1" s="569"/>
      <c r="C1" s="569"/>
      <c r="D1" s="569"/>
      <c r="E1" s="569"/>
      <c r="F1" s="569"/>
      <c r="G1" s="569"/>
      <c r="H1" s="569"/>
      <c r="I1" s="569"/>
      <c r="J1" s="569"/>
      <c r="K1" s="569"/>
      <c r="L1" s="569"/>
      <c r="M1" s="569"/>
      <c r="N1" s="569"/>
      <c r="O1" s="569"/>
      <c r="P1" s="569"/>
      <c r="Q1" s="569"/>
      <c r="R1" s="569"/>
      <c r="S1" s="569"/>
      <c r="T1" s="569"/>
      <c r="U1" s="569"/>
      <c r="V1" s="569"/>
      <c r="W1" s="569"/>
    </row>
    <row r="2" spans="2:25">
      <c r="B2" s="57"/>
      <c r="C2" s="204"/>
      <c r="D2" s="57"/>
      <c r="E2" s="57"/>
      <c r="F2" s="57"/>
      <c r="G2" s="57"/>
      <c r="H2" s="57"/>
      <c r="I2" s="57"/>
      <c r="J2" s="57"/>
      <c r="K2" s="57"/>
      <c r="L2" s="57"/>
      <c r="M2" s="57"/>
      <c r="N2" s="57"/>
      <c r="O2" s="57"/>
      <c r="P2" s="57"/>
      <c r="Q2" s="57"/>
      <c r="R2" s="57"/>
      <c r="S2" s="57"/>
      <c r="T2" s="57"/>
      <c r="U2" s="57"/>
      <c r="V2" s="57"/>
      <c r="W2" s="57"/>
    </row>
    <row r="3" spans="2:25">
      <c r="B3" s="206"/>
      <c r="C3" s="207" t="s">
        <v>191</v>
      </c>
      <c r="P3" s="208"/>
      <c r="Q3" s="208"/>
      <c r="R3" s="208"/>
      <c r="S3" s="208"/>
      <c r="T3" s="208"/>
      <c r="U3" s="208"/>
      <c r="V3" s="208"/>
      <c r="W3" s="208"/>
    </row>
    <row r="4" spans="2:25">
      <c r="B4" s="209" t="s">
        <v>3</v>
      </c>
      <c r="C4" s="210">
        <f>'Hypothetical Summary'!D7</f>
        <v>0</v>
      </c>
      <c r="F4" s="545" t="s">
        <v>172</v>
      </c>
      <c r="G4" s="545"/>
      <c r="H4" s="545"/>
      <c r="I4" s="545"/>
      <c r="J4" s="545"/>
      <c r="K4" s="545"/>
      <c r="L4" s="545"/>
      <c r="M4" s="545"/>
      <c r="N4" s="545"/>
      <c r="O4" s="545"/>
      <c r="P4" s="545"/>
      <c r="Q4" s="545"/>
      <c r="R4" s="545"/>
      <c r="S4" s="545"/>
      <c r="T4" s="211"/>
      <c r="U4" s="211"/>
      <c r="V4" s="211"/>
      <c r="W4" s="211"/>
      <c r="X4" s="211"/>
      <c r="Y4" s="211"/>
    </row>
    <row r="5" spans="2:25">
      <c r="B5" s="209" t="s">
        <v>14</v>
      </c>
      <c r="C5" s="210">
        <f>'Hypothetical Summary'!D8</f>
        <v>0</v>
      </c>
      <c r="E5" s="5"/>
      <c r="F5" s="6" t="s">
        <v>3</v>
      </c>
      <c r="G5" s="6" t="s">
        <v>5</v>
      </c>
      <c r="H5" s="6" t="s">
        <v>16</v>
      </c>
      <c r="I5" s="6" t="s">
        <v>173</v>
      </c>
      <c r="J5" s="6" t="s">
        <v>14</v>
      </c>
      <c r="K5" s="6" t="s">
        <v>10</v>
      </c>
      <c r="L5" s="6" t="s">
        <v>66</v>
      </c>
      <c r="M5" s="6" t="s">
        <v>127</v>
      </c>
      <c r="N5" s="6" t="s">
        <v>134</v>
      </c>
      <c r="O5" s="6" t="s">
        <v>174</v>
      </c>
      <c r="P5" s="58" t="s">
        <v>656</v>
      </c>
      <c r="Q5" s="6" t="s">
        <v>275</v>
      </c>
      <c r="R5" s="58" t="s">
        <v>207</v>
      </c>
      <c r="S5" s="227" t="s">
        <v>292</v>
      </c>
    </row>
    <row r="6" spans="2:25">
      <c r="B6" s="209" t="s">
        <v>5</v>
      </c>
      <c r="C6" s="210">
        <f>'Hypothetical Summary'!D9</f>
        <v>0</v>
      </c>
      <c r="E6" s="5" t="s">
        <v>357</v>
      </c>
      <c r="F6" s="71">
        <f>'SAR and RAR (B-1)'!G35</f>
        <v>6.2387130940199362E-2</v>
      </c>
      <c r="G6" s="71">
        <f>'SAR and RAR (B-1)'!H35</f>
        <v>0.10604111471814805</v>
      </c>
      <c r="H6" s="71">
        <f>'SAR and RAR (B-1)'!I35</f>
        <v>7.1285345053628935E-2</v>
      </c>
      <c r="I6" s="71">
        <f>'SAR and RAR (B-1)'!J35</f>
        <v>8.309206996113308E-2</v>
      </c>
      <c r="J6" s="71">
        <f>'SAR and RAR (B-1)'!K35</f>
        <v>6.6495184409869068E-2</v>
      </c>
      <c r="K6" s="71">
        <f>'SAR and RAR (B-1)'!L35</f>
        <v>6.7202128263150543E-2</v>
      </c>
      <c r="L6" s="71">
        <f>'SAR and RAR (B-1)'!M35</f>
        <v>7.3803059041629981E-2</v>
      </c>
      <c r="M6" s="71">
        <f>'SAR and RAR (B-1)'!N35</f>
        <v>7.2949875113434787E-2</v>
      </c>
      <c r="N6" s="71">
        <f>'SAR and RAR (B-1)'!O35</f>
        <v>7.383659856287815E-2</v>
      </c>
      <c r="O6" s="71">
        <f>'SAR and RAR (B-1)'!P35</f>
        <v>4.3153356023048754E-2</v>
      </c>
      <c r="P6" s="71">
        <f>'SAR and RAR (B-1)'!Q35</f>
        <v>8.1326918619140431E-2</v>
      </c>
      <c r="Q6" s="71">
        <f>'SAR and RAR (B-1)'!R35</f>
        <v>9.9933745577554897E-2</v>
      </c>
      <c r="R6" s="71">
        <f>'SAR and RAR (B-1)'!S35</f>
        <v>9.305731383769536E-2</v>
      </c>
      <c r="S6" s="71">
        <f>'SAR and RAR (B-1)'!T35</f>
        <v>9.4974871612001785E-2</v>
      </c>
    </row>
    <row r="7" spans="2:25">
      <c r="B7" s="209" t="s">
        <v>129</v>
      </c>
      <c r="C7" s="210">
        <f>'Hypothetical Summary'!D10</f>
        <v>0</v>
      </c>
      <c r="E7" s="5"/>
      <c r="F7" s="80"/>
      <c r="G7" s="80"/>
      <c r="H7" s="80"/>
      <c r="I7" s="80"/>
      <c r="J7" s="80"/>
      <c r="K7" s="80"/>
      <c r="L7" s="80"/>
      <c r="M7" s="80"/>
      <c r="N7" s="80"/>
      <c r="O7" s="80"/>
      <c r="P7" s="80"/>
    </row>
    <row r="8" spans="2:25" ht="15.75" customHeight="1">
      <c r="B8" s="209" t="s">
        <v>66</v>
      </c>
      <c r="C8" s="210">
        <f>'Hypothetical Summary'!D11</f>
        <v>0</v>
      </c>
      <c r="E8" s="211"/>
      <c r="F8" s="545" t="s">
        <v>175</v>
      </c>
      <c r="G8" s="545"/>
      <c r="H8" s="545"/>
      <c r="I8" s="545"/>
      <c r="J8" s="545"/>
      <c r="K8" s="545"/>
      <c r="L8" s="545"/>
      <c r="M8" s="545"/>
      <c r="N8" s="545"/>
      <c r="O8" s="545"/>
      <c r="P8" s="545"/>
      <c r="Q8" s="545"/>
      <c r="R8" s="545"/>
      <c r="S8" s="545"/>
    </row>
    <row r="9" spans="2:25" ht="15.65" customHeight="1">
      <c r="B9" s="209" t="s">
        <v>16</v>
      </c>
      <c r="C9" s="210">
        <f>'Hypothetical Summary'!D12</f>
        <v>0</v>
      </c>
      <c r="E9" s="59"/>
      <c r="F9" s="6" t="s">
        <v>3</v>
      </c>
      <c r="G9" s="6" t="s">
        <v>5</v>
      </c>
      <c r="H9" s="6" t="s">
        <v>16</v>
      </c>
      <c r="I9" s="6" t="s">
        <v>15</v>
      </c>
      <c r="J9" s="6" t="s">
        <v>14</v>
      </c>
      <c r="K9" s="6" t="s">
        <v>10</v>
      </c>
      <c r="L9" s="6" t="s">
        <v>66</v>
      </c>
      <c r="M9" s="6" t="s">
        <v>127</v>
      </c>
      <c r="N9" s="6" t="s">
        <v>134</v>
      </c>
      <c r="O9" s="6" t="s">
        <v>129</v>
      </c>
      <c r="P9" s="43" t="s">
        <v>656</v>
      </c>
      <c r="Q9" s="6" t="s">
        <v>275</v>
      </c>
      <c r="R9" s="58" t="s">
        <v>207</v>
      </c>
      <c r="S9" s="227" t="s">
        <v>292</v>
      </c>
      <c r="T9" s="6" t="s">
        <v>132</v>
      </c>
    </row>
    <row r="10" spans="2:25">
      <c r="B10" s="209" t="s">
        <v>15</v>
      </c>
      <c r="C10" s="210">
        <f>'Hypothetical Summary'!D13</f>
        <v>0</v>
      </c>
      <c r="E10" s="5" t="s">
        <v>357</v>
      </c>
      <c r="F10" s="60">
        <f t="shared" ref="F10:P10" si="0">F6*F11</f>
        <v>0</v>
      </c>
      <c r="G10" s="60">
        <f t="shared" si="0"/>
        <v>0</v>
      </c>
      <c r="H10" s="60">
        <f t="shared" si="0"/>
        <v>0</v>
      </c>
      <c r="I10" s="60">
        <f t="shared" si="0"/>
        <v>0</v>
      </c>
      <c r="J10" s="60">
        <f t="shared" si="0"/>
        <v>0</v>
      </c>
      <c r="K10" s="60">
        <f t="shared" si="0"/>
        <v>0</v>
      </c>
      <c r="L10" s="60">
        <f t="shared" si="0"/>
        <v>0</v>
      </c>
      <c r="M10" s="60">
        <f t="shared" si="0"/>
        <v>0</v>
      </c>
      <c r="N10" s="60">
        <f t="shared" si="0"/>
        <v>0</v>
      </c>
      <c r="O10" s="60">
        <f t="shared" si="0"/>
        <v>0</v>
      </c>
      <c r="P10" s="60">
        <f t="shared" si="0"/>
        <v>0</v>
      </c>
      <c r="Q10" s="60">
        <f>Q6*Q11</f>
        <v>0</v>
      </c>
      <c r="R10" s="60">
        <f>R6*R11</f>
        <v>0</v>
      </c>
      <c r="S10" s="60">
        <f>S6*S11</f>
        <v>0</v>
      </c>
      <c r="T10" s="60">
        <f>SUM(F10:S10)</f>
        <v>0</v>
      </c>
    </row>
    <row r="11" spans="2:25">
      <c r="B11" s="209" t="s">
        <v>656</v>
      </c>
      <c r="C11" s="210">
        <f>'Hypothetical Summary'!D14</f>
        <v>0</v>
      </c>
      <c r="E11" s="5" t="s">
        <v>22</v>
      </c>
      <c r="F11" s="61">
        <f>VLOOKUP(F9,$B$4:$C$17,2,FALSE)</f>
        <v>0</v>
      </c>
      <c r="G11" s="61">
        <f t="shared" ref="G11:S11" si="1">VLOOKUP(G9,$B$4:$C$17,2,FALSE)</f>
        <v>0</v>
      </c>
      <c r="H11" s="61">
        <f t="shared" si="1"/>
        <v>0</v>
      </c>
      <c r="I11" s="61">
        <f t="shared" si="1"/>
        <v>0</v>
      </c>
      <c r="J11" s="61">
        <f t="shared" si="1"/>
        <v>0</v>
      </c>
      <c r="K11" s="61">
        <f t="shared" si="1"/>
        <v>0</v>
      </c>
      <c r="L11" s="61">
        <f t="shared" si="1"/>
        <v>0</v>
      </c>
      <c r="M11" s="61">
        <f t="shared" si="1"/>
        <v>0</v>
      </c>
      <c r="N11" s="61">
        <f t="shared" si="1"/>
        <v>0</v>
      </c>
      <c r="O11" s="61">
        <f t="shared" si="1"/>
        <v>0</v>
      </c>
      <c r="P11" s="61">
        <f t="shared" si="1"/>
        <v>0</v>
      </c>
      <c r="Q11" s="61">
        <f t="shared" si="1"/>
        <v>0</v>
      </c>
      <c r="R11" s="61">
        <f t="shared" si="1"/>
        <v>0</v>
      </c>
      <c r="S11" s="61">
        <f t="shared" si="1"/>
        <v>0</v>
      </c>
      <c r="T11" s="61">
        <f>SUM(F11:S11)</f>
        <v>0</v>
      </c>
    </row>
    <row r="12" spans="2:25">
      <c r="B12" s="209" t="s">
        <v>127</v>
      </c>
      <c r="C12" s="210">
        <f>'Hypothetical Summary'!D15</f>
        <v>0</v>
      </c>
      <c r="E12" s="59"/>
    </row>
    <row r="13" spans="2:25" ht="15.65" customHeight="1">
      <c r="B13" s="209" t="s">
        <v>10</v>
      </c>
      <c r="C13" s="210">
        <f>'Hypothetical Summary'!D16</f>
        <v>0</v>
      </c>
      <c r="E13" s="5"/>
      <c r="F13" s="60"/>
      <c r="G13" s="60"/>
      <c r="H13" s="60"/>
      <c r="I13" s="60"/>
      <c r="J13" s="60"/>
      <c r="K13" s="60"/>
      <c r="L13" s="60"/>
      <c r="M13" s="60"/>
      <c r="N13" s="60"/>
      <c r="O13" s="60"/>
      <c r="P13" s="60"/>
      <c r="Q13" s="60"/>
    </row>
    <row r="14" spans="2:25" ht="15.65" customHeight="1">
      <c r="B14" s="209" t="s">
        <v>134</v>
      </c>
      <c r="C14" s="210">
        <f>'Hypothetical Summary'!D17</f>
        <v>0</v>
      </c>
      <c r="E14" s="5"/>
      <c r="F14" s="61"/>
      <c r="G14" s="61"/>
      <c r="H14" s="61"/>
      <c r="I14" s="61"/>
      <c r="J14" s="61"/>
      <c r="K14" s="61"/>
      <c r="L14" s="61"/>
      <c r="M14" s="61"/>
      <c r="N14" s="61"/>
      <c r="O14" s="61"/>
      <c r="P14" s="61"/>
      <c r="Q14" s="61"/>
      <c r="R14" s="212"/>
      <c r="S14" s="212"/>
    </row>
    <row r="15" spans="2:25">
      <c r="B15" s="209" t="s">
        <v>207</v>
      </c>
      <c r="C15" s="210">
        <f>'Hypothetical Summary'!D18</f>
        <v>0</v>
      </c>
      <c r="E15" s="228"/>
      <c r="F15" s="213"/>
      <c r="G15" s="213"/>
      <c r="H15" s="213"/>
      <c r="I15" s="211"/>
      <c r="V15" s="5"/>
      <c r="W15" s="62"/>
      <c r="X15" s="62"/>
    </row>
    <row r="16" spans="2:25">
      <c r="B16" s="209" t="s">
        <v>275</v>
      </c>
      <c r="C16" s="210">
        <f>'Hypothetical Summary'!D19</f>
        <v>0</v>
      </c>
      <c r="X16" s="82" t="s">
        <v>228</v>
      </c>
      <c r="Y16" s="83">
        <f>'SAR and RAR'!AB16</f>
        <v>0.27045122760591045</v>
      </c>
    </row>
    <row r="17" spans="2:28">
      <c r="B17" s="139" t="s">
        <v>292</v>
      </c>
      <c r="C17" s="229">
        <f>'Hypothetical Summary'!D20</f>
        <v>0</v>
      </c>
      <c r="X17" s="82"/>
      <c r="Y17" s="83"/>
    </row>
    <row r="18" spans="2:28">
      <c r="B18" s="209" t="s">
        <v>132</v>
      </c>
      <c r="C18" s="230">
        <f>SUM(C4:C17)</f>
        <v>0</v>
      </c>
      <c r="E18" s="211"/>
      <c r="F18" s="546" t="s">
        <v>176</v>
      </c>
      <c r="G18" s="546"/>
      <c r="H18" s="546"/>
      <c r="I18" s="546"/>
      <c r="J18" s="546"/>
      <c r="K18" s="546"/>
      <c r="L18" s="546"/>
      <c r="M18" s="546"/>
      <c r="N18" s="546"/>
      <c r="O18" s="546"/>
      <c r="P18" s="546"/>
      <c r="Q18" s="546"/>
      <c r="R18" s="546"/>
      <c r="S18" s="544"/>
      <c r="T18" s="543" t="s">
        <v>177</v>
      </c>
      <c r="U18" s="544"/>
      <c r="V18" s="131"/>
      <c r="X18" s="82" t="s">
        <v>229</v>
      </c>
      <c r="Y18" s="83">
        <f>'SAR and RAR'!AB17</f>
        <v>0.35</v>
      </c>
    </row>
    <row r="19" spans="2:28">
      <c r="B19" s="7"/>
      <c r="C19" s="210"/>
      <c r="D19" s="211"/>
      <c r="F19" s="58" t="s">
        <v>3</v>
      </c>
      <c r="G19" s="6" t="s">
        <v>5</v>
      </c>
      <c r="H19" s="6" t="s">
        <v>16</v>
      </c>
      <c r="I19" s="6" t="s">
        <v>173</v>
      </c>
      <c r="J19" s="6" t="s">
        <v>14</v>
      </c>
      <c r="K19" s="6" t="s">
        <v>10</v>
      </c>
      <c r="L19" s="6" t="s">
        <v>66</v>
      </c>
      <c r="M19" s="6" t="s">
        <v>127</v>
      </c>
      <c r="N19" s="6" t="s">
        <v>134</v>
      </c>
      <c r="O19" s="6" t="s">
        <v>174</v>
      </c>
      <c r="P19" s="6" t="s">
        <v>656</v>
      </c>
      <c r="Q19" s="6" t="s">
        <v>275</v>
      </c>
      <c r="R19" s="58" t="s">
        <v>207</v>
      </c>
      <c r="S19" s="227" t="s">
        <v>292</v>
      </c>
      <c r="T19" s="132" t="s">
        <v>132</v>
      </c>
      <c r="U19" s="43" t="s">
        <v>178</v>
      </c>
      <c r="V19" s="131"/>
      <c r="X19" s="82" t="s">
        <v>192</v>
      </c>
      <c r="Y19" s="61">
        <f>'Hypothetical SAR and RAR'!Y19</f>
        <v>0</v>
      </c>
    </row>
    <row r="20" spans="2:28">
      <c r="B20" s="7"/>
      <c r="C20" s="210"/>
      <c r="E20" s="5" t="s">
        <v>357</v>
      </c>
      <c r="F20" s="71">
        <v>1</v>
      </c>
      <c r="G20" s="71">
        <f>$E29/$O29</f>
        <v>0.27744948825880661</v>
      </c>
      <c r="H20" s="71">
        <f t="shared" ref="H20:S21" si="2">$E29/$O29</f>
        <v>0.27744948825880661</v>
      </c>
      <c r="I20" s="71">
        <f t="shared" si="2"/>
        <v>0.27744948825880661</v>
      </c>
      <c r="J20" s="71">
        <f t="shared" si="2"/>
        <v>0.27744948825880661</v>
      </c>
      <c r="K20" s="71">
        <f t="shared" si="2"/>
        <v>0.27744948825880661</v>
      </c>
      <c r="L20" s="71">
        <f t="shared" si="2"/>
        <v>0.27744948825880661</v>
      </c>
      <c r="M20" s="71">
        <f t="shared" si="2"/>
        <v>0.27744948825880661</v>
      </c>
      <c r="N20" s="71">
        <f t="shared" si="2"/>
        <v>0.27744948825880661</v>
      </c>
      <c r="O20" s="71">
        <f t="shared" si="2"/>
        <v>0.27744948825880661</v>
      </c>
      <c r="P20" s="71">
        <f t="shared" si="2"/>
        <v>0.27744948825880661</v>
      </c>
      <c r="Q20" s="71">
        <f t="shared" si="2"/>
        <v>0.27744948825880661</v>
      </c>
      <c r="R20" s="71">
        <f t="shared" si="2"/>
        <v>0.27744948825880661</v>
      </c>
      <c r="S20" s="71">
        <f t="shared" si="2"/>
        <v>0.27744948825880661</v>
      </c>
      <c r="T20" s="84">
        <f>SUMPRODUCT(F10:S10,F20:S20)</f>
        <v>0</v>
      </c>
      <c r="U20" s="63">
        <f>T20+Y22*G20</f>
        <v>0</v>
      </c>
      <c r="V20" s="84"/>
      <c r="X20" s="82" t="s">
        <v>226</v>
      </c>
      <c r="Y20" s="111">
        <v>0</v>
      </c>
    </row>
    <row r="21" spans="2:28">
      <c r="B21" s="7"/>
      <c r="C21" s="7"/>
      <c r="E21" s="5" t="s">
        <v>22</v>
      </c>
      <c r="F21" s="71">
        <v>1</v>
      </c>
      <c r="G21" s="71">
        <f>$E30/$O30</f>
        <v>0.32886186544742674</v>
      </c>
      <c r="H21" s="71">
        <f t="shared" si="2"/>
        <v>0.32886186544742674</v>
      </c>
      <c r="I21" s="71">
        <f t="shared" si="2"/>
        <v>0.32886186544742674</v>
      </c>
      <c r="J21" s="71">
        <f t="shared" si="2"/>
        <v>0.32886186544742674</v>
      </c>
      <c r="K21" s="71">
        <f t="shared" si="2"/>
        <v>0.32886186544742674</v>
      </c>
      <c r="L21" s="71">
        <f t="shared" si="2"/>
        <v>0.32886186544742674</v>
      </c>
      <c r="M21" s="71">
        <f t="shared" si="2"/>
        <v>0.32886186544742674</v>
      </c>
      <c r="N21" s="71">
        <f t="shared" si="2"/>
        <v>0.32886186544742674</v>
      </c>
      <c r="O21" s="71">
        <f t="shared" si="2"/>
        <v>0.32886186544742674</v>
      </c>
      <c r="P21" s="71">
        <f t="shared" si="2"/>
        <v>0.32886186544742674</v>
      </c>
      <c r="Q21" s="71">
        <f t="shared" si="2"/>
        <v>0.32886186544742674</v>
      </c>
      <c r="R21" s="71">
        <f t="shared" si="2"/>
        <v>0.32886186544742674</v>
      </c>
      <c r="S21" s="71">
        <f t="shared" si="2"/>
        <v>0.32886186544742674</v>
      </c>
      <c r="T21" s="84">
        <f>SUMPRODUCT(F11:S11,F21:S21)</f>
        <v>0</v>
      </c>
      <c r="U21" s="63">
        <f>T21</f>
        <v>0</v>
      </c>
      <c r="V21" s="84"/>
      <c r="X21" s="82" t="s">
        <v>227</v>
      </c>
      <c r="Y21" s="60">
        <f>'SAR and RAR'!AB20</f>
        <v>67795755.926224142</v>
      </c>
      <c r="AA21" s="5"/>
    </row>
    <row r="22" spans="2:28">
      <c r="B22" s="7"/>
      <c r="C22" s="7"/>
      <c r="F22" s="205"/>
      <c r="G22" s="205"/>
      <c r="H22" s="205"/>
      <c r="I22" s="205"/>
      <c r="J22" s="205"/>
      <c r="K22" s="205"/>
      <c r="L22" s="205"/>
      <c r="M22" s="205"/>
      <c r="N22" s="205"/>
      <c r="O22" s="205"/>
      <c r="P22" s="205"/>
      <c r="U22" s="5"/>
      <c r="X22" s="82" t="s">
        <v>373</v>
      </c>
      <c r="Y22" s="61">
        <f>Y19*Y20/Y21</f>
        <v>0</v>
      </c>
      <c r="AA22" s="5"/>
    </row>
    <row r="23" spans="2:28">
      <c r="B23" s="7"/>
      <c r="C23" s="7"/>
      <c r="E23" s="211" t="str">
        <f>"Notes: Allocation and bundled/unbundled split based on "&amp;'Hypothetical Summary'!L4&amp;" sales forecast"</f>
        <v>Notes: Allocation and bundled/unbundled split based on 2026 sales forecast</v>
      </c>
      <c r="R23" s="6"/>
      <c r="S23" s="6"/>
      <c r="T23" s="5"/>
      <c r="Y23" s="356"/>
    </row>
    <row r="24" spans="2:28">
      <c r="B24" s="7"/>
      <c r="C24" s="7"/>
      <c r="D24" s="5"/>
      <c r="E24" s="5"/>
      <c r="F24" s="7"/>
      <c r="G24" s="7"/>
      <c r="H24" s="7"/>
      <c r="I24" s="7"/>
      <c r="J24" s="7"/>
      <c r="K24" s="7"/>
      <c r="L24" s="7"/>
      <c r="M24" s="7"/>
      <c r="N24" s="7"/>
      <c r="O24" s="7"/>
      <c r="P24" s="7"/>
      <c r="Q24" s="5"/>
      <c r="R24" s="11"/>
      <c r="S24" s="11"/>
      <c r="T24" s="11"/>
      <c r="U24" s="5"/>
      <c r="V24" s="139" t="s">
        <v>435</v>
      </c>
      <c r="W24" s="212">
        <f>O10*O20</f>
        <v>0</v>
      </c>
      <c r="X24" s="212"/>
      <c r="Y24" s="5"/>
    </row>
    <row r="25" spans="2:28">
      <c r="B25" s="7"/>
      <c r="C25" s="7"/>
      <c r="D25" s="43"/>
      <c r="E25" s="43"/>
      <c r="F25" s="64"/>
      <c r="G25" s="43"/>
      <c r="H25" s="43"/>
      <c r="I25" s="43"/>
      <c r="J25" s="43"/>
      <c r="K25" s="43"/>
      <c r="L25" s="43"/>
      <c r="M25" s="43"/>
      <c r="N25" s="43"/>
      <c r="O25" s="43"/>
      <c r="P25" s="43"/>
      <c r="Q25" s="43"/>
      <c r="R25" s="11"/>
      <c r="S25" s="11"/>
      <c r="T25" s="11"/>
      <c r="U25" s="215"/>
      <c r="V25" s="225" t="s">
        <v>575</v>
      </c>
      <c r="W25" s="212">
        <f>O11*O21</f>
        <v>0</v>
      </c>
      <c r="X25" s="70"/>
      <c r="Y25" s="5"/>
    </row>
    <row r="26" spans="2:28">
      <c r="B26" s="7"/>
      <c r="C26" s="7"/>
      <c r="D26" s="43"/>
      <c r="E26" s="43"/>
      <c r="F26" s="43"/>
      <c r="G26" s="43"/>
      <c r="H26" s="43"/>
      <c r="I26" s="43"/>
      <c r="J26" s="43"/>
      <c r="K26" s="43"/>
      <c r="L26" s="43"/>
      <c r="M26" s="43"/>
      <c r="N26" s="43"/>
      <c r="O26" s="43"/>
      <c r="P26" s="43"/>
      <c r="Q26" s="43"/>
      <c r="R26" s="216"/>
      <c r="S26" s="216"/>
      <c r="T26" s="11"/>
      <c r="U26" s="215"/>
      <c r="V26" s="5"/>
      <c r="X26" s="5"/>
      <c r="Y26" s="5"/>
    </row>
    <row r="27" spans="2:28">
      <c r="B27" s="7"/>
      <c r="C27" s="7"/>
      <c r="D27" s="5"/>
      <c r="E27" s="537" t="s">
        <v>23</v>
      </c>
      <c r="F27" s="538"/>
      <c r="G27" s="538"/>
      <c r="H27" s="539"/>
      <c r="I27" s="43"/>
      <c r="J27" s="43"/>
      <c r="N27" s="5"/>
      <c r="O27" s="537" t="s">
        <v>25</v>
      </c>
      <c r="P27" s="538"/>
      <c r="Q27" s="538"/>
      <c r="R27" s="539"/>
      <c r="S27" s="43"/>
      <c r="T27" s="11"/>
      <c r="U27" s="215"/>
      <c r="V27" s="217"/>
      <c r="Z27" s="5"/>
      <c r="AA27" s="5"/>
    </row>
    <row r="28" spans="2:28" ht="31">
      <c r="B28" s="7"/>
      <c r="C28" s="7"/>
      <c r="D28" s="5"/>
      <c r="E28" s="6" t="str">
        <f>'Hypothetical Summary'!L4&amp;" Sales"</f>
        <v>2026 Sales</v>
      </c>
      <c r="F28" s="6" t="str">
        <f>TEXT(Summary!L3,"mm/dd/yyyy")&amp;" Avg Rates"</f>
        <v>03/01/2026 Avg Rates</v>
      </c>
      <c r="G28" s="6" t="s">
        <v>189</v>
      </c>
      <c r="H28" s="6" t="s">
        <v>190</v>
      </c>
      <c r="J28" s="6"/>
      <c r="N28" s="5"/>
      <c r="O28" s="6" t="str">
        <f>'Hypothetical Summary'!L4&amp;" Sales"</f>
        <v>2026 Sales</v>
      </c>
      <c r="P28" s="6" t="str">
        <f>F28</f>
        <v>03/01/2026 Avg Rates</v>
      </c>
      <c r="Q28" s="6" t="s">
        <v>189</v>
      </c>
      <c r="R28" s="6" t="s">
        <v>190</v>
      </c>
      <c r="S28" s="6"/>
      <c r="T28" s="11"/>
      <c r="U28" s="215"/>
      <c r="V28" s="217"/>
      <c r="Z28" s="5"/>
      <c r="AA28" s="5"/>
    </row>
    <row r="29" spans="2:28" ht="46.5">
      <c r="B29" s="7"/>
      <c r="C29" s="7"/>
      <c r="D29" s="363" t="s">
        <v>357</v>
      </c>
      <c r="E29" s="111">
        <v>1530615.6099066611</v>
      </c>
      <c r="F29" s="64">
        <f>IF('Hypothetical Summary'!D5="Y",X36,Y36)</f>
        <v>40.73713053702604</v>
      </c>
      <c r="G29" s="11">
        <f>IF('Hypothetical Summary'!D5="Y", U20/E29*100+F29, SUM(U20-W24)/$E$29*100+F29)</f>
        <v>40.73713053702604</v>
      </c>
      <c r="H29" s="125">
        <f>G29/F29-1</f>
        <v>0</v>
      </c>
      <c r="J29" s="125"/>
      <c r="N29" s="363" t="s">
        <v>357</v>
      </c>
      <c r="O29" s="60">
        <v>5516736.1075789528</v>
      </c>
      <c r="P29" s="64">
        <f>IF('Hypothetical Summary'!D5="Y",AA36,AB36)</f>
        <v>34.868791397863305</v>
      </c>
      <c r="Q29" s="11">
        <f>IF('Hypothetical Summary'!D5="Y", T10/O29*100+P29, SUM(T10-O10)/O29*100+P29)</f>
        <v>34.868791397863305</v>
      </c>
      <c r="R29" s="125">
        <f>Q29/P29-1</f>
        <v>0</v>
      </c>
      <c r="S29" s="125"/>
      <c r="T29" s="125"/>
      <c r="U29" s="125"/>
      <c r="V29" s="217"/>
      <c r="W29" s="154"/>
      <c r="X29" s="250" t="str">
        <f>'SAR and RAR'!AB43</f>
        <v>1/1/26  Bundled
w/Credit</v>
      </c>
      <c r="Y29" s="250" t="str">
        <f>'SAR and RAR'!AC43</f>
        <v>1/1/26  Bundled
w/out Credit</v>
      </c>
      <c r="Z29" s="250">
        <f>'SAR and RAR'!AD43</f>
        <v>0</v>
      </c>
      <c r="AA29" s="250" t="str">
        <f>'SAR and RAR'!AE43</f>
        <v>1/1/26  System
w/Credit</v>
      </c>
      <c r="AB29" s="250" t="str">
        <f>'SAR and RAR'!AF43</f>
        <v>1/1/26  System
w/out Credit</v>
      </c>
    </row>
    <row r="30" spans="2:28">
      <c r="D30" s="363" t="s">
        <v>22</v>
      </c>
      <c r="E30" s="111">
        <f>'SAR and RAR'!K55</f>
        <v>24784494.935273737</v>
      </c>
      <c r="F30" s="64">
        <f>IF('Hypothetical Summary'!D5="Y",X37,Y37)</f>
        <v>32.596708001946226</v>
      </c>
      <c r="G30" s="11">
        <f>IF('Hypothetical Summary'!D5="Y", U21/E30*100+F30, SUM(U21-W25)/$E$30*100+F30)</f>
        <v>32.596708001946226</v>
      </c>
      <c r="H30" s="125">
        <f>G30/F30-1</f>
        <v>0</v>
      </c>
      <c r="J30" s="125"/>
      <c r="N30" s="363" t="s">
        <v>22</v>
      </c>
      <c r="O30" s="60">
        <f>'SAR and RAR'!O55</f>
        <v>75364454.013400629</v>
      </c>
      <c r="P30" s="64">
        <f>IF('Hypothetical Summary'!D5="Y",AA37,AB37)</f>
        <v>26.65073540105055</v>
      </c>
      <c r="Q30" s="11">
        <f>IF('Hypothetical Summary'!D5="Y", T11/O30*100+P30, SUM(T11-O11)/O30*100+P30)</f>
        <v>26.65073540105055</v>
      </c>
      <c r="R30" s="125">
        <f>Q30/P30-1</f>
        <v>0</v>
      </c>
      <c r="S30" s="125"/>
      <c r="T30" s="125"/>
      <c r="U30" s="125"/>
      <c r="V30" s="220"/>
      <c r="W30" s="155"/>
      <c r="X30" s="164"/>
      <c r="Y30" s="164"/>
      <c r="Z30" s="165"/>
      <c r="AA30" s="164"/>
      <c r="AB30" s="164"/>
    </row>
    <row r="31" spans="2:28">
      <c r="E31" s="6"/>
      <c r="F31" s="6"/>
      <c r="G31" s="6"/>
      <c r="P31" s="5"/>
      <c r="Q31" s="5"/>
      <c r="R31" s="216"/>
      <c r="S31" s="216"/>
      <c r="T31" s="5"/>
      <c r="U31" s="216"/>
      <c r="V31" s="217"/>
      <c r="W31" s="155" t="s">
        <v>357</v>
      </c>
      <c r="X31" s="254">
        <f>'SAR and RAR (B-1)'!AB47</f>
        <v>41.443190323578825</v>
      </c>
      <c r="Y31" s="254">
        <f>'SAR and RAR (B-1)'!AC47</f>
        <v>41.448292903006582</v>
      </c>
      <c r="Z31" s="254" t="str">
        <f>'SAR and RAR (B-1)'!AD47</f>
        <v>B-1</v>
      </c>
      <c r="AA31" s="254">
        <f>'SAR and RAR (B-1)'!AE47</f>
        <v>35.574773392062006</v>
      </c>
      <c r="AB31" s="254">
        <f>'SAR and RAR (B-1)'!AF47</f>
        <v>35.578867266548578</v>
      </c>
    </row>
    <row r="32" spans="2:28">
      <c r="E32" s="6"/>
      <c r="F32" s="6"/>
      <c r="G32" s="6"/>
      <c r="P32" s="5"/>
      <c r="Q32" s="5"/>
      <c r="R32" s="216"/>
      <c r="S32" s="216"/>
      <c r="T32" s="5"/>
      <c r="U32" s="216"/>
      <c r="V32" s="220"/>
      <c r="W32" s="155" t="s">
        <v>28</v>
      </c>
      <c r="X32" s="254">
        <f>'SAR and RAR (B-1)'!AB48</f>
        <v>33.416008222733581</v>
      </c>
      <c r="Y32" s="254">
        <f>'SAR and RAR (B-1)'!AC48</f>
        <v>34.072433607860397</v>
      </c>
      <c r="Z32" s="254" t="str">
        <f>'SAR and RAR (B-1)'!AD48</f>
        <v>Total System</v>
      </c>
      <c r="AA32" s="254">
        <f>'SAR and RAR (B-1)'!AE48</f>
        <v>27.143640625458705</v>
      </c>
      <c r="AB32" s="254">
        <f>'SAR and RAR (B-1)'!AF48</f>
        <v>27.73770240701548</v>
      </c>
    </row>
    <row r="33" spans="2:28">
      <c r="B33" s="7"/>
      <c r="C33" s="7"/>
      <c r="D33" s="5"/>
      <c r="E33" s="570"/>
      <c r="F33" s="570"/>
      <c r="G33" s="570"/>
      <c r="H33" s="43"/>
      <c r="I33" s="43"/>
      <c r="J33" s="43"/>
      <c r="K33" s="5"/>
      <c r="L33" s="5"/>
      <c r="M33" s="5"/>
      <c r="N33" s="5"/>
      <c r="O33" s="5"/>
      <c r="P33" s="5"/>
      <c r="Q33" s="5"/>
      <c r="R33" s="216"/>
      <c r="S33" s="216"/>
      <c r="T33" s="5"/>
      <c r="U33" s="216"/>
      <c r="V33" s="220"/>
      <c r="W33" s="156"/>
      <c r="X33" s="166"/>
      <c r="Y33" s="166"/>
      <c r="Z33" s="166"/>
      <c r="AA33" s="166"/>
      <c r="AB33" s="167"/>
    </row>
    <row r="34" spans="2:28" ht="46.5">
      <c r="B34" s="7"/>
      <c r="C34" s="7"/>
      <c r="D34" s="43"/>
      <c r="E34" s="6"/>
      <c r="F34" s="6"/>
      <c r="G34" s="6"/>
      <c r="H34" s="43"/>
      <c r="I34" s="43"/>
      <c r="J34" s="43"/>
      <c r="K34" s="5"/>
      <c r="L34" s="5"/>
      <c r="M34" s="5"/>
      <c r="N34" s="5"/>
      <c r="O34" s="5"/>
      <c r="P34" s="5"/>
      <c r="Q34" s="5"/>
      <c r="R34" s="216"/>
      <c r="S34" s="216"/>
      <c r="T34" s="5"/>
      <c r="U34" s="216"/>
      <c r="V34" s="217"/>
      <c r="W34" s="154"/>
      <c r="X34" s="246" t="str">
        <f>'SAR and RAR'!AB48</f>
        <v>3/1/26 Bundled
w/Credit</v>
      </c>
      <c r="Y34" s="246" t="str">
        <f>'SAR and RAR'!AC48</f>
        <v>3/1/26 Bundled
w/out Credit</v>
      </c>
      <c r="Z34" s="246"/>
      <c r="AA34" s="246" t="str">
        <f>'SAR and RAR'!AE48</f>
        <v>3/1/26 System
w/Credit</v>
      </c>
      <c r="AB34" s="246" t="str">
        <f>'SAR and RAR'!AF48</f>
        <v>3/1/26 System
w/out Credit</v>
      </c>
    </row>
    <row r="35" spans="2:28">
      <c r="B35" s="7"/>
      <c r="C35" s="7"/>
      <c r="D35" s="5"/>
      <c r="E35" s="8"/>
      <c r="F35" s="9"/>
      <c r="G35" s="126"/>
      <c r="H35" s="43"/>
      <c r="I35" s="43"/>
      <c r="J35" s="43"/>
      <c r="K35" s="5"/>
      <c r="L35" s="5"/>
      <c r="M35" s="5"/>
      <c r="N35" s="5"/>
      <c r="O35" s="5"/>
      <c r="P35" s="5"/>
      <c r="Q35" s="5"/>
      <c r="R35" s="216"/>
      <c r="S35" s="216"/>
      <c r="T35" s="5"/>
      <c r="U35" s="5"/>
      <c r="V35" s="215"/>
      <c r="W35" s="155"/>
      <c r="X35" s="164"/>
      <c r="Y35" s="164"/>
      <c r="Z35" s="165"/>
      <c r="AA35" s="164"/>
      <c r="AB35" s="164"/>
    </row>
    <row r="36" spans="2:28">
      <c r="D36" s="5"/>
      <c r="E36" s="8"/>
      <c r="F36" s="9"/>
      <c r="G36" s="126"/>
      <c r="H36" s="43"/>
      <c r="I36" s="43"/>
      <c r="J36" s="43"/>
      <c r="K36" s="5"/>
      <c r="L36" s="5"/>
      <c r="M36" s="5"/>
      <c r="N36" s="5"/>
      <c r="O36" s="5"/>
      <c r="P36" s="5"/>
      <c r="Q36" s="5"/>
      <c r="R36" s="216"/>
      <c r="S36" s="216"/>
      <c r="T36" s="5"/>
      <c r="U36" s="216"/>
      <c r="V36" s="217"/>
      <c r="W36" s="155" t="s">
        <v>357</v>
      </c>
      <c r="X36" s="254">
        <f>'SAR and RAR (B-1)'!AB52</f>
        <v>40.73713053702604</v>
      </c>
      <c r="Y36" s="254">
        <f>'SAR and RAR (B-1)'!AC52</f>
        <v>40.742233116453797</v>
      </c>
      <c r="Z36" s="254" t="str">
        <f>'SAR and RAR (B-1)'!AD52</f>
        <v>B-1</v>
      </c>
      <c r="AA36" s="254">
        <f>'SAR and RAR (B-1)'!AE52</f>
        <v>34.868791397863305</v>
      </c>
      <c r="AB36" s="254">
        <f>'SAR and RAR (B-1)'!AF52</f>
        <v>34.872885272349876</v>
      </c>
    </row>
    <row r="37" spans="2:28">
      <c r="D37" s="5"/>
      <c r="E37" s="8"/>
      <c r="F37" s="9"/>
      <c r="G37" s="126"/>
      <c r="H37" s="43"/>
      <c r="I37" s="43"/>
      <c r="J37" s="43"/>
      <c r="K37" s="5"/>
      <c r="L37" s="5"/>
      <c r="M37" s="5"/>
      <c r="N37" s="5"/>
      <c r="O37" s="5"/>
      <c r="P37" s="5"/>
      <c r="Q37" s="5"/>
      <c r="R37" s="216"/>
      <c r="S37" s="216"/>
      <c r="T37" s="5"/>
      <c r="U37" s="5"/>
      <c r="V37" s="5"/>
      <c r="W37" s="155" t="s">
        <v>28</v>
      </c>
      <c r="X37" s="254">
        <f>'SAR and RAR (B-1)'!AB53</f>
        <v>32.596708001946226</v>
      </c>
      <c r="Y37" s="254">
        <f>'SAR and RAR (B-1)'!AC53</f>
        <v>33.253133387073035</v>
      </c>
      <c r="Z37" s="254" t="str">
        <f>'SAR and RAR (B-1)'!AD53</f>
        <v>Total System</v>
      </c>
      <c r="AA37" s="254">
        <f>'SAR and RAR (B-1)'!AE53</f>
        <v>26.65073540105055</v>
      </c>
      <c r="AB37" s="254">
        <f>'SAR and RAR (B-1)'!AF53</f>
        <v>27.244797182607329</v>
      </c>
    </row>
    <row r="38" spans="2:28">
      <c r="D38" s="5"/>
      <c r="E38" s="8"/>
      <c r="F38" s="9"/>
      <c r="G38" s="126"/>
      <c r="H38" s="43"/>
      <c r="I38" s="43"/>
      <c r="J38" s="43"/>
      <c r="K38" s="5"/>
      <c r="L38" s="5"/>
      <c r="M38" s="5"/>
      <c r="N38" s="5"/>
      <c r="O38" s="5"/>
      <c r="P38" s="5"/>
      <c r="Q38" s="5"/>
      <c r="R38" s="216"/>
      <c r="S38" s="216"/>
      <c r="T38" s="536"/>
      <c r="U38" s="536"/>
      <c r="V38" s="5"/>
      <c r="W38" s="5"/>
      <c r="X38" s="5"/>
    </row>
    <row r="39" spans="2:28">
      <c r="B39" s="7"/>
      <c r="C39" s="7"/>
      <c r="D39" s="5"/>
      <c r="E39" s="8"/>
      <c r="F39" s="9"/>
      <c r="G39" s="126"/>
      <c r="H39" s="43"/>
      <c r="I39" s="43"/>
      <c r="J39" s="43"/>
      <c r="K39" s="5"/>
      <c r="L39" s="5"/>
      <c r="M39" s="5"/>
      <c r="N39" s="5"/>
      <c r="O39" s="5"/>
      <c r="P39" s="5"/>
      <c r="Q39" s="5"/>
      <c r="R39" s="216"/>
      <c r="S39" s="216"/>
      <c r="T39" s="5"/>
      <c r="U39" s="216"/>
      <c r="V39" s="220"/>
      <c r="W39" s="220"/>
      <c r="X39" s="217"/>
    </row>
    <row r="40" spans="2:28">
      <c r="B40" s="7"/>
      <c r="C40" s="7"/>
      <c r="D40" s="5"/>
      <c r="E40" s="8"/>
      <c r="F40" s="9"/>
      <c r="G40" s="126"/>
      <c r="H40" s="43"/>
      <c r="I40" s="43"/>
      <c r="J40" s="43"/>
      <c r="K40" s="5"/>
      <c r="L40" s="5"/>
      <c r="M40" s="5"/>
      <c r="N40" s="5"/>
      <c r="O40" s="5"/>
      <c r="P40" s="5"/>
      <c r="Q40" s="5"/>
      <c r="R40" s="216"/>
      <c r="S40" s="216"/>
      <c r="T40" s="5"/>
      <c r="U40" s="216"/>
      <c r="V40" s="220"/>
      <c r="W40" s="217"/>
      <c r="X40" s="217"/>
    </row>
    <row r="41" spans="2:28">
      <c r="B41" s="7"/>
      <c r="C41" s="7"/>
      <c r="D41" s="5"/>
      <c r="E41" s="8"/>
      <c r="F41" s="9"/>
      <c r="G41" s="126"/>
      <c r="H41" s="43"/>
      <c r="I41" s="43"/>
      <c r="J41" s="43"/>
      <c r="K41" s="5"/>
      <c r="L41" s="5"/>
      <c r="M41" s="5"/>
      <c r="N41" s="5"/>
      <c r="O41" s="5"/>
      <c r="P41" s="5"/>
      <c r="Q41" s="5"/>
      <c r="R41" s="216"/>
      <c r="S41" s="216"/>
      <c r="T41" s="5"/>
      <c r="U41" s="216"/>
      <c r="V41" s="5"/>
      <c r="W41" s="5"/>
      <c r="X41" s="5"/>
      <c r="Y41" s="5"/>
      <c r="Z41" s="5"/>
      <c r="AA41" s="5"/>
      <c r="AB41" s="5"/>
    </row>
    <row r="42" spans="2:28">
      <c r="B42" s="7"/>
      <c r="C42" s="7"/>
      <c r="D42" s="5"/>
      <c r="E42" s="43"/>
      <c r="F42" s="43"/>
      <c r="G42" s="43"/>
      <c r="H42" s="43"/>
      <c r="I42" s="43"/>
      <c r="J42" s="43"/>
      <c r="K42" s="5"/>
      <c r="L42" s="5"/>
      <c r="M42" s="5"/>
      <c r="N42" s="5"/>
      <c r="O42" s="5"/>
      <c r="P42" s="5"/>
      <c r="Q42" s="5"/>
      <c r="R42" s="216"/>
      <c r="S42" s="216"/>
      <c r="T42" s="5"/>
      <c r="U42" s="216"/>
      <c r="V42" s="5"/>
      <c r="W42" s="5"/>
      <c r="X42" s="5"/>
      <c r="Y42" s="5"/>
      <c r="Z42" s="5"/>
      <c r="AA42" s="5"/>
      <c r="AB42" s="5"/>
    </row>
    <row r="43" spans="2:28">
      <c r="B43" s="7"/>
      <c r="C43" s="7"/>
      <c r="D43" s="5"/>
      <c r="E43" s="9"/>
      <c r="F43" s="43"/>
      <c r="G43" s="43"/>
      <c r="H43" s="43"/>
      <c r="I43" s="43"/>
      <c r="J43" s="43"/>
      <c r="K43" s="9"/>
      <c r="L43" s="5"/>
      <c r="M43" s="5"/>
      <c r="N43" s="5"/>
      <c r="O43" s="5"/>
      <c r="P43" s="5"/>
      <c r="Q43" s="5"/>
      <c r="R43" s="216"/>
      <c r="S43" s="216"/>
      <c r="T43" s="5"/>
      <c r="U43" s="216"/>
      <c r="V43" s="5"/>
      <c r="W43" s="5"/>
      <c r="X43" s="5"/>
      <c r="Y43" s="5"/>
      <c r="Z43" s="5"/>
      <c r="AA43" s="5"/>
      <c r="AB43" s="5"/>
    </row>
    <row r="44" spans="2:28">
      <c r="B44" s="7"/>
      <c r="C44" s="7"/>
      <c r="D44" s="5"/>
      <c r="E44" s="43"/>
      <c r="F44" s="43"/>
      <c r="G44" s="43"/>
      <c r="H44" s="43"/>
      <c r="I44" s="43"/>
      <c r="J44" s="43"/>
      <c r="K44" s="5"/>
      <c r="L44" s="5"/>
      <c r="M44" s="5"/>
      <c r="N44" s="5"/>
      <c r="O44" s="5"/>
      <c r="P44" s="5"/>
      <c r="Q44" s="5"/>
      <c r="R44" s="216"/>
      <c r="S44" s="216"/>
      <c r="T44" s="5"/>
      <c r="U44" s="216"/>
      <c r="V44" s="5"/>
      <c r="W44" s="5"/>
      <c r="X44" s="5"/>
      <c r="Y44" s="5"/>
      <c r="Z44" s="5"/>
      <c r="AA44" s="5"/>
      <c r="AB44" s="5"/>
    </row>
    <row r="45" spans="2:28">
      <c r="B45" s="7"/>
      <c r="C45" s="7"/>
      <c r="D45" s="5"/>
      <c r="E45" s="43"/>
      <c r="F45" s="43"/>
      <c r="G45" s="43"/>
      <c r="H45" s="43"/>
      <c r="I45" s="43"/>
      <c r="J45" s="43"/>
      <c r="K45" s="5"/>
      <c r="L45" s="5"/>
      <c r="M45" s="5"/>
      <c r="N45" s="5"/>
      <c r="O45" s="5"/>
      <c r="P45" s="5"/>
      <c r="Q45" s="5"/>
      <c r="R45" s="216"/>
      <c r="S45" s="216"/>
      <c r="T45" s="5"/>
      <c r="U45" s="5"/>
      <c r="V45" s="5"/>
      <c r="W45" s="5"/>
      <c r="X45" s="5"/>
      <c r="Y45" s="5"/>
      <c r="Z45" s="5"/>
      <c r="AA45" s="5"/>
      <c r="AB45" s="5"/>
    </row>
    <row r="46" spans="2:28">
      <c r="B46" s="7"/>
      <c r="C46" s="7"/>
      <c r="D46" s="5"/>
      <c r="E46" s="9"/>
      <c r="F46" s="43"/>
      <c r="G46" s="43"/>
      <c r="H46" s="43"/>
      <c r="I46" s="43"/>
      <c r="J46" s="43"/>
      <c r="K46" s="9"/>
      <c r="L46" s="5"/>
      <c r="M46" s="5"/>
      <c r="N46" s="5"/>
      <c r="O46" s="5"/>
      <c r="P46" s="5"/>
      <c r="Q46" s="5"/>
      <c r="R46" s="216"/>
      <c r="S46" s="216"/>
      <c r="T46" s="5"/>
      <c r="U46" s="216"/>
      <c r="V46" s="5"/>
      <c r="W46" s="5"/>
      <c r="X46" s="5"/>
      <c r="Y46" s="5"/>
      <c r="Z46" s="5"/>
      <c r="AA46" s="5"/>
      <c r="AB46" s="5"/>
    </row>
    <row r="47" spans="2:28">
      <c r="B47" s="7"/>
      <c r="C47" s="7"/>
      <c r="D47" s="5"/>
      <c r="E47" s="43"/>
      <c r="F47" s="43"/>
      <c r="G47" s="43"/>
      <c r="H47" s="43"/>
      <c r="I47" s="43"/>
      <c r="J47" s="43"/>
      <c r="K47" s="5"/>
      <c r="L47" s="5"/>
      <c r="M47" s="5"/>
      <c r="N47" s="5"/>
      <c r="O47" s="5"/>
      <c r="P47" s="5"/>
      <c r="Q47" s="5"/>
      <c r="R47" s="216"/>
      <c r="S47" s="216"/>
      <c r="T47" s="5"/>
      <c r="U47" s="5"/>
      <c r="V47" s="5"/>
      <c r="W47" s="5"/>
      <c r="X47" s="5"/>
      <c r="Y47" s="5"/>
      <c r="Z47" s="5"/>
      <c r="AA47" s="5"/>
      <c r="AB47" s="5"/>
    </row>
    <row r="48" spans="2:28">
      <c r="B48" s="7"/>
      <c r="C48" s="7"/>
      <c r="D48" s="5"/>
      <c r="E48" s="43"/>
      <c r="F48" s="43"/>
      <c r="G48" s="43"/>
      <c r="H48" s="43"/>
      <c r="I48" s="43"/>
      <c r="J48" s="43"/>
      <c r="K48" s="5"/>
      <c r="L48" s="5"/>
      <c r="M48" s="5"/>
      <c r="N48" s="5"/>
      <c r="O48" s="5"/>
      <c r="P48" s="5"/>
      <c r="Q48" s="5"/>
      <c r="R48" s="216"/>
      <c r="S48" s="216"/>
      <c r="T48" s="536"/>
      <c r="U48" s="536"/>
      <c r="V48" s="5"/>
      <c r="W48" s="5"/>
      <c r="X48" s="5"/>
      <c r="Y48" s="5"/>
      <c r="Z48" s="5"/>
      <c r="AA48" s="5"/>
      <c r="AB48" s="5"/>
    </row>
    <row r="49" spans="2:24">
      <c r="B49" s="7"/>
      <c r="C49" s="7"/>
      <c r="D49" s="5"/>
      <c r="E49" s="43"/>
      <c r="F49" s="43"/>
      <c r="G49" s="43"/>
      <c r="H49" s="43"/>
      <c r="I49" s="43"/>
      <c r="J49" s="43"/>
      <c r="K49" s="5"/>
      <c r="L49" s="5"/>
      <c r="M49" s="5"/>
      <c r="N49" s="5"/>
      <c r="O49" s="5"/>
      <c r="P49" s="5"/>
      <c r="Q49" s="5"/>
      <c r="R49" s="216"/>
      <c r="S49" s="216"/>
      <c r="T49" s="5"/>
      <c r="U49" s="216"/>
      <c r="V49" s="220"/>
      <c r="W49" s="217"/>
      <c r="X49" s="217"/>
    </row>
    <row r="50" spans="2:24">
      <c r="B50" s="7"/>
      <c r="C50" s="7"/>
      <c r="D50" s="5"/>
      <c r="E50" s="43"/>
      <c r="F50" s="43"/>
      <c r="G50" s="43"/>
      <c r="H50" s="43"/>
      <c r="I50" s="43"/>
      <c r="J50" s="43"/>
      <c r="K50" s="5"/>
      <c r="L50" s="5"/>
      <c r="M50" s="5"/>
      <c r="N50" s="5"/>
      <c r="O50" s="5"/>
      <c r="P50" s="5"/>
      <c r="Q50" s="5"/>
      <c r="R50" s="216"/>
      <c r="S50" s="216"/>
      <c r="T50" s="5"/>
      <c r="U50" s="216"/>
      <c r="V50" s="220"/>
      <c r="W50" s="217"/>
      <c r="X50" s="217"/>
    </row>
    <row r="51" spans="2:24">
      <c r="B51" s="7"/>
      <c r="C51" s="7"/>
      <c r="D51" s="5"/>
      <c r="E51" s="43"/>
      <c r="F51" s="43"/>
      <c r="G51" s="43"/>
      <c r="H51" s="43"/>
      <c r="I51" s="43"/>
      <c r="J51" s="43"/>
      <c r="K51" s="5"/>
      <c r="L51" s="5"/>
      <c r="M51" s="5"/>
      <c r="N51" s="5"/>
      <c r="O51" s="5"/>
      <c r="P51" s="5"/>
      <c r="Q51" s="5"/>
      <c r="R51" s="216"/>
      <c r="S51" s="216"/>
      <c r="T51" s="5"/>
      <c r="U51" s="5"/>
      <c r="V51" s="215"/>
      <c r="W51" s="220"/>
      <c r="X51" s="217"/>
    </row>
    <row r="52" spans="2:24">
      <c r="B52" s="7"/>
      <c r="C52" s="7"/>
      <c r="D52" s="5"/>
      <c r="E52" s="43"/>
      <c r="F52" s="43"/>
      <c r="G52" s="43"/>
      <c r="H52" s="43"/>
      <c r="I52" s="43"/>
      <c r="J52" s="43"/>
      <c r="K52" s="5"/>
      <c r="L52" s="5"/>
      <c r="M52" s="5"/>
      <c r="N52" s="5"/>
      <c r="O52" s="5"/>
      <c r="P52" s="5"/>
      <c r="Q52" s="5"/>
      <c r="R52" s="216"/>
      <c r="S52" s="216"/>
      <c r="T52" s="5"/>
      <c r="U52" s="216"/>
      <c r="V52" s="220"/>
      <c r="W52" s="220"/>
      <c r="X52" s="217"/>
    </row>
    <row r="53" spans="2:24">
      <c r="B53" s="7"/>
      <c r="C53" s="7"/>
      <c r="D53" s="5"/>
      <c r="E53" s="43"/>
      <c r="F53" s="43"/>
      <c r="G53" s="43"/>
      <c r="H53" s="43"/>
      <c r="I53" s="43"/>
      <c r="J53" s="43"/>
      <c r="K53" s="5"/>
      <c r="L53" s="5"/>
      <c r="M53" s="5"/>
      <c r="N53" s="5"/>
      <c r="O53" s="5"/>
      <c r="P53" s="5"/>
      <c r="Q53" s="5"/>
      <c r="R53" s="216"/>
      <c r="S53" s="216"/>
      <c r="T53" s="5"/>
      <c r="U53" s="5"/>
      <c r="V53" s="5"/>
      <c r="W53" s="217"/>
      <c r="X53" s="217"/>
    </row>
    <row r="54" spans="2:24">
      <c r="B54" s="7"/>
      <c r="C54" s="7"/>
      <c r="D54" s="5"/>
      <c r="E54" s="43"/>
      <c r="F54" s="43"/>
      <c r="G54" s="43"/>
      <c r="H54" s="43"/>
      <c r="I54" s="43"/>
      <c r="J54" s="43"/>
      <c r="K54" s="5"/>
      <c r="L54" s="5"/>
      <c r="M54" s="5"/>
      <c r="N54" s="5"/>
      <c r="O54" s="5"/>
      <c r="P54" s="5"/>
      <c r="Q54" s="5"/>
      <c r="R54" s="216"/>
      <c r="S54" s="216"/>
      <c r="T54" s="536"/>
      <c r="U54" s="536"/>
      <c r="V54" s="5"/>
      <c r="W54" s="215"/>
      <c r="X54" s="215"/>
    </row>
    <row r="55" spans="2:24">
      <c r="B55" s="5"/>
      <c r="C55" s="5"/>
      <c r="D55" s="5"/>
      <c r="E55" s="43"/>
      <c r="F55" s="43"/>
      <c r="G55" s="43"/>
      <c r="H55" s="43"/>
      <c r="I55" s="43"/>
      <c r="J55" s="43"/>
      <c r="K55" s="5"/>
      <c r="L55" s="5"/>
      <c r="M55" s="5"/>
      <c r="N55" s="5"/>
      <c r="O55" s="5"/>
      <c r="P55" s="5"/>
      <c r="Q55" s="5"/>
      <c r="R55" s="216"/>
      <c r="S55" s="216"/>
      <c r="T55" s="5"/>
      <c r="U55" s="216"/>
      <c r="V55" s="220"/>
      <c r="W55" s="217"/>
      <c r="X55" s="217"/>
    </row>
    <row r="56" spans="2:24">
      <c r="B56" s="5"/>
      <c r="C56" s="5"/>
      <c r="D56" s="5"/>
      <c r="E56" s="43"/>
      <c r="F56" s="43"/>
      <c r="G56" s="43"/>
      <c r="H56" s="43"/>
      <c r="I56" s="43"/>
      <c r="J56" s="43"/>
      <c r="K56" s="5"/>
      <c r="L56" s="5"/>
      <c r="M56" s="5"/>
      <c r="N56" s="5"/>
      <c r="O56" s="5"/>
      <c r="P56" s="5"/>
      <c r="Q56" s="5"/>
      <c r="R56" s="216"/>
      <c r="S56" s="216"/>
      <c r="T56" s="5"/>
      <c r="U56" s="216"/>
      <c r="V56" s="220"/>
      <c r="W56" s="5"/>
      <c r="X56" s="5"/>
    </row>
    <row r="57" spans="2:24">
      <c r="B57" s="5"/>
      <c r="C57" s="5"/>
      <c r="D57" s="5"/>
      <c r="E57" s="43"/>
      <c r="F57" s="43"/>
      <c r="G57" s="43"/>
      <c r="H57" s="43"/>
      <c r="I57" s="43"/>
      <c r="J57" s="43"/>
      <c r="K57" s="5"/>
      <c r="L57" s="5"/>
      <c r="M57" s="5"/>
      <c r="N57" s="5"/>
      <c r="O57" s="5"/>
      <c r="P57" s="5"/>
      <c r="Q57" s="5"/>
      <c r="R57" s="216"/>
      <c r="S57" s="216"/>
      <c r="T57" s="5"/>
      <c r="U57" s="216"/>
      <c r="V57" s="217"/>
      <c r="W57" s="5"/>
      <c r="X57" s="5"/>
    </row>
    <row r="58" spans="2:24">
      <c r="B58" s="5"/>
      <c r="C58" s="5"/>
      <c r="D58" s="5"/>
      <c r="E58" s="43"/>
      <c r="F58" s="43"/>
      <c r="G58" s="43"/>
      <c r="H58" s="43"/>
      <c r="I58" s="43"/>
      <c r="J58" s="43"/>
      <c r="K58" s="5"/>
      <c r="L58" s="5"/>
      <c r="M58" s="5"/>
      <c r="N58" s="5"/>
      <c r="O58" s="5"/>
      <c r="P58" s="5"/>
      <c r="Q58" s="5"/>
      <c r="R58" s="216"/>
      <c r="S58" s="216"/>
      <c r="T58" s="5"/>
      <c r="U58" s="216"/>
      <c r="V58" s="220"/>
      <c r="W58" s="220"/>
      <c r="X58" s="217"/>
    </row>
    <row r="59" spans="2:24">
      <c r="B59" s="5"/>
      <c r="C59" s="5"/>
      <c r="D59" s="5"/>
      <c r="E59" s="43"/>
      <c r="F59" s="43"/>
      <c r="G59" s="43"/>
      <c r="H59" s="43"/>
      <c r="I59" s="43"/>
      <c r="J59" s="43"/>
      <c r="K59" s="5"/>
      <c r="L59" s="5"/>
      <c r="M59" s="5"/>
      <c r="N59" s="5"/>
      <c r="O59" s="5"/>
      <c r="P59" s="5"/>
      <c r="Q59" s="5"/>
      <c r="R59" s="216"/>
      <c r="S59" s="216"/>
      <c r="T59" s="5"/>
      <c r="U59" s="216"/>
      <c r="V59" s="220"/>
      <c r="W59" s="220"/>
      <c r="X59" s="217"/>
    </row>
    <row r="60" spans="2:24">
      <c r="B60" s="5"/>
      <c r="C60" s="5"/>
      <c r="D60" s="5"/>
      <c r="E60" s="43"/>
      <c r="F60" s="43"/>
      <c r="G60" s="43"/>
      <c r="H60" s="43"/>
      <c r="I60" s="43"/>
      <c r="J60" s="43"/>
      <c r="K60" s="5"/>
      <c r="L60" s="5"/>
      <c r="M60" s="5"/>
      <c r="N60" s="5"/>
      <c r="O60" s="5"/>
      <c r="P60" s="5"/>
      <c r="Q60" s="5"/>
      <c r="R60" s="216"/>
      <c r="S60" s="216"/>
      <c r="T60" s="5"/>
      <c r="U60" s="5"/>
      <c r="V60" s="215"/>
      <c r="W60" s="215"/>
      <c r="X60" s="215"/>
    </row>
    <row r="61" spans="2:24">
      <c r="B61" s="5"/>
      <c r="C61" s="5"/>
      <c r="D61" s="5"/>
      <c r="E61" s="43"/>
      <c r="F61" s="43"/>
      <c r="G61" s="43"/>
      <c r="H61" s="43"/>
      <c r="I61" s="43"/>
      <c r="J61" s="43"/>
      <c r="K61" s="5"/>
      <c r="L61" s="5"/>
      <c r="M61" s="5"/>
      <c r="N61" s="5"/>
      <c r="O61" s="5"/>
      <c r="P61" s="5"/>
      <c r="Q61" s="5"/>
      <c r="R61" s="216"/>
      <c r="S61" s="216"/>
      <c r="T61" s="5"/>
      <c r="U61" s="216"/>
      <c r="V61" s="217"/>
      <c r="W61" s="220"/>
      <c r="X61" s="217"/>
    </row>
    <row r="62" spans="2:24">
      <c r="B62" s="5"/>
      <c r="C62" s="5"/>
      <c r="D62" s="5"/>
      <c r="E62" s="43"/>
      <c r="F62" s="43"/>
      <c r="G62" s="43"/>
      <c r="H62" s="43"/>
      <c r="I62" s="43"/>
      <c r="J62" s="43"/>
      <c r="K62" s="5"/>
      <c r="L62" s="5"/>
      <c r="M62" s="5"/>
      <c r="N62" s="5"/>
      <c r="O62" s="5"/>
      <c r="P62" s="5"/>
      <c r="Q62" s="5"/>
      <c r="R62" s="216"/>
      <c r="S62" s="216"/>
      <c r="T62" s="5"/>
      <c r="U62" s="5"/>
      <c r="V62" s="5"/>
      <c r="W62" s="5"/>
      <c r="X62" s="5"/>
    </row>
    <row r="63" spans="2:24">
      <c r="B63" s="5"/>
      <c r="C63" s="5"/>
      <c r="D63" s="5"/>
      <c r="E63" s="43"/>
      <c r="F63" s="43"/>
      <c r="G63" s="43"/>
      <c r="H63" s="43"/>
      <c r="I63" s="43"/>
      <c r="J63" s="43"/>
      <c r="K63" s="5"/>
      <c r="L63" s="5"/>
      <c r="M63" s="5"/>
      <c r="N63" s="5"/>
      <c r="O63" s="5"/>
      <c r="P63" s="5"/>
      <c r="Q63" s="5"/>
      <c r="R63" s="216"/>
      <c r="S63" s="216"/>
      <c r="T63" s="5"/>
      <c r="U63" s="5"/>
      <c r="V63" s="5"/>
      <c r="W63" s="5"/>
      <c r="X63" s="5"/>
    </row>
    <row r="64" spans="2:24">
      <c r="B64" s="5"/>
      <c r="C64" s="5"/>
      <c r="D64" s="5"/>
      <c r="E64" s="43"/>
      <c r="F64" s="43"/>
      <c r="G64" s="43"/>
      <c r="H64" s="43"/>
      <c r="I64" s="43"/>
      <c r="J64" s="43"/>
      <c r="K64" s="5"/>
      <c r="L64" s="5"/>
      <c r="M64" s="5"/>
      <c r="N64" s="5"/>
      <c r="O64" s="5"/>
      <c r="P64" s="5"/>
      <c r="Q64" s="5"/>
      <c r="R64" s="216"/>
      <c r="S64" s="216"/>
      <c r="T64" s="5"/>
      <c r="U64" s="216"/>
      <c r="V64" s="217"/>
      <c r="W64" s="220"/>
      <c r="X64" s="217"/>
    </row>
    <row r="65" spans="2:24">
      <c r="B65" s="5"/>
      <c r="C65" s="5"/>
      <c r="D65" s="5"/>
      <c r="E65" s="43"/>
      <c r="F65" s="43"/>
      <c r="G65" s="43"/>
      <c r="H65" s="43"/>
      <c r="I65" s="43"/>
      <c r="J65" s="43"/>
      <c r="K65" s="5"/>
      <c r="L65" s="5"/>
      <c r="M65" s="5"/>
      <c r="N65" s="5"/>
      <c r="O65" s="5"/>
      <c r="P65" s="5"/>
      <c r="Q65" s="5"/>
      <c r="R65" s="216"/>
      <c r="S65" s="216"/>
      <c r="T65" s="5"/>
      <c r="U65" s="5"/>
      <c r="V65" s="215"/>
      <c r="W65" s="220"/>
      <c r="X65" s="217"/>
    </row>
    <row r="66" spans="2:24">
      <c r="B66" s="5"/>
      <c r="C66" s="5"/>
      <c r="D66" s="5"/>
      <c r="E66" s="43"/>
      <c r="F66" s="43"/>
      <c r="G66" s="43"/>
      <c r="H66" s="43"/>
      <c r="I66" s="43"/>
      <c r="J66" s="43"/>
      <c r="K66" s="5"/>
      <c r="L66" s="5"/>
      <c r="M66" s="5"/>
      <c r="N66" s="5"/>
      <c r="O66" s="5"/>
      <c r="P66" s="5"/>
      <c r="Q66" s="5"/>
      <c r="R66" s="216"/>
      <c r="S66" s="216"/>
      <c r="T66" s="536"/>
      <c r="U66" s="536"/>
      <c r="V66" s="5"/>
      <c r="W66" s="220"/>
      <c r="X66" s="217"/>
    </row>
    <row r="67" spans="2:24">
      <c r="B67" s="5"/>
      <c r="C67" s="5"/>
      <c r="D67" s="5"/>
      <c r="E67" s="43"/>
      <c r="F67" s="43"/>
      <c r="G67" s="43"/>
      <c r="H67" s="43"/>
      <c r="I67" s="43"/>
      <c r="J67" s="43"/>
      <c r="K67" s="5"/>
      <c r="L67" s="5"/>
      <c r="M67" s="5"/>
      <c r="N67" s="5"/>
      <c r="O67" s="5"/>
      <c r="P67" s="5"/>
      <c r="Q67" s="5"/>
      <c r="R67" s="216"/>
      <c r="S67" s="216"/>
      <c r="T67" s="5"/>
      <c r="U67" s="5"/>
      <c r="V67" s="5"/>
      <c r="W67" s="220"/>
      <c r="X67" s="220"/>
    </row>
    <row r="68" spans="2:24">
      <c r="B68" s="5"/>
      <c r="C68" s="5"/>
      <c r="D68" s="5"/>
      <c r="E68" s="43"/>
      <c r="F68" s="43"/>
      <c r="G68" s="43"/>
      <c r="H68" s="43"/>
      <c r="I68" s="43"/>
      <c r="J68" s="43"/>
      <c r="K68" s="5"/>
      <c r="L68" s="5"/>
      <c r="M68" s="5"/>
      <c r="N68" s="5"/>
      <c r="O68" s="5"/>
      <c r="P68" s="5"/>
      <c r="Q68" s="5"/>
      <c r="R68" s="216"/>
      <c r="S68" s="216"/>
      <c r="T68" s="5"/>
      <c r="U68" s="216"/>
      <c r="V68" s="5"/>
      <c r="W68" s="220"/>
      <c r="X68" s="220"/>
    </row>
    <row r="69" spans="2:24">
      <c r="B69" s="5"/>
      <c r="C69" s="5"/>
      <c r="D69" s="5"/>
      <c r="E69" s="43"/>
      <c r="F69" s="43"/>
      <c r="G69" s="43"/>
      <c r="H69" s="43"/>
      <c r="I69" s="43"/>
      <c r="J69" s="43"/>
      <c r="K69" s="5"/>
      <c r="L69" s="5"/>
      <c r="M69" s="5"/>
      <c r="N69" s="5"/>
      <c r="O69" s="5"/>
      <c r="P69" s="5"/>
      <c r="Q69" s="5"/>
      <c r="R69" s="216"/>
      <c r="S69" s="216"/>
      <c r="T69" s="5"/>
      <c r="U69" s="5"/>
      <c r="V69" s="215"/>
      <c r="W69" s="215"/>
      <c r="X69" s="215"/>
    </row>
    <row r="70" spans="2:24">
      <c r="B70" s="5"/>
      <c r="C70" s="5"/>
      <c r="D70" s="5"/>
      <c r="E70" s="43"/>
      <c r="F70" s="43"/>
      <c r="G70" s="43"/>
      <c r="H70" s="43"/>
      <c r="I70" s="43"/>
      <c r="J70" s="43"/>
      <c r="K70" s="5"/>
      <c r="L70" s="5"/>
      <c r="M70" s="5"/>
      <c r="N70" s="5"/>
      <c r="O70" s="5"/>
      <c r="P70" s="5"/>
      <c r="Q70" s="5"/>
      <c r="R70" s="216"/>
      <c r="S70" s="216"/>
      <c r="T70" s="5"/>
      <c r="U70" s="216"/>
      <c r="V70" s="5"/>
      <c r="W70" s="220"/>
      <c r="X70" s="217"/>
    </row>
    <row r="71" spans="2:24">
      <c r="B71" s="5"/>
      <c r="C71" s="5"/>
      <c r="D71" s="5"/>
      <c r="E71" s="43"/>
      <c r="F71" s="43"/>
      <c r="G71" s="43"/>
      <c r="H71" s="43"/>
      <c r="I71" s="43"/>
      <c r="J71" s="43"/>
      <c r="K71" s="5"/>
      <c r="L71" s="5"/>
      <c r="M71" s="5"/>
      <c r="N71" s="5"/>
      <c r="O71" s="5"/>
      <c r="P71" s="5"/>
      <c r="Q71" s="5"/>
      <c r="R71" s="216"/>
      <c r="S71" s="216"/>
      <c r="T71" s="5"/>
      <c r="U71" s="5"/>
      <c r="V71" s="5"/>
      <c r="W71" s="5"/>
      <c r="X71" s="5"/>
    </row>
    <row r="72" spans="2:24">
      <c r="B72" s="5"/>
      <c r="C72" s="5"/>
      <c r="D72" s="5"/>
      <c r="E72" s="43"/>
      <c r="F72" s="43"/>
      <c r="G72" s="43"/>
      <c r="H72" s="43"/>
      <c r="I72" s="43"/>
      <c r="J72" s="43"/>
      <c r="K72" s="5"/>
      <c r="L72" s="5"/>
      <c r="M72" s="5"/>
      <c r="N72" s="5"/>
      <c r="O72" s="5"/>
      <c r="P72" s="5"/>
      <c r="Q72" s="5"/>
      <c r="R72" s="216"/>
      <c r="S72" s="216"/>
      <c r="T72" s="5"/>
      <c r="U72" s="5"/>
      <c r="V72" s="215"/>
      <c r="W72" s="5"/>
      <c r="X72" s="5"/>
    </row>
    <row r="73" spans="2:24">
      <c r="B73" s="5"/>
      <c r="C73" s="5"/>
      <c r="D73" s="5"/>
      <c r="E73" s="43"/>
      <c r="F73" s="43"/>
      <c r="G73" s="43"/>
      <c r="H73" s="43"/>
      <c r="I73" s="43"/>
      <c r="J73" s="43"/>
      <c r="K73" s="5"/>
      <c r="L73" s="5"/>
      <c r="M73" s="5"/>
      <c r="N73" s="5"/>
      <c r="O73" s="5"/>
      <c r="P73" s="5"/>
      <c r="Q73" s="5"/>
      <c r="R73" s="216"/>
      <c r="S73" s="216"/>
      <c r="T73" s="536"/>
      <c r="U73" s="536"/>
      <c r="V73" s="217"/>
      <c r="W73" s="217"/>
      <c r="X73" s="217"/>
    </row>
    <row r="74" spans="2:24">
      <c r="B74" s="5"/>
      <c r="C74" s="5"/>
      <c r="D74" s="5"/>
      <c r="E74" s="43"/>
      <c r="F74" s="43"/>
      <c r="G74" s="43"/>
      <c r="H74" s="43"/>
      <c r="I74" s="43"/>
      <c r="J74" s="43"/>
      <c r="K74" s="5"/>
      <c r="L74" s="5"/>
      <c r="M74" s="5"/>
      <c r="N74" s="5"/>
      <c r="O74" s="5"/>
      <c r="P74" s="5"/>
      <c r="Q74" s="5"/>
      <c r="R74" s="5"/>
      <c r="S74" s="5"/>
      <c r="T74" s="5"/>
      <c r="U74" s="5"/>
      <c r="V74" s="5"/>
      <c r="W74" s="215"/>
      <c r="X74" s="215"/>
    </row>
    <row r="75" spans="2:24">
      <c r="B75" s="5"/>
      <c r="C75" s="5"/>
      <c r="W75" s="5"/>
      <c r="X75" s="5"/>
    </row>
    <row r="76" spans="2:24">
      <c r="B76" s="5"/>
      <c r="C76" s="5"/>
      <c r="W76" s="5"/>
      <c r="X76" s="5"/>
    </row>
    <row r="77" spans="2:24">
      <c r="B77" s="5"/>
      <c r="C77" s="5"/>
      <c r="W77" s="5"/>
      <c r="X77" s="5"/>
    </row>
    <row r="78" spans="2:24">
      <c r="B78" s="5"/>
      <c r="C78" s="5"/>
      <c r="W78" s="215"/>
      <c r="X78" s="215"/>
    </row>
    <row r="79" spans="2:24">
      <c r="B79" s="5"/>
      <c r="C79" s="5"/>
      <c r="W79" s="5"/>
      <c r="X79" s="5"/>
    </row>
    <row r="80" spans="2:24">
      <c r="B80" s="5"/>
      <c r="C80" s="5"/>
      <c r="W80" s="5"/>
      <c r="X80" s="5"/>
    </row>
    <row r="81" spans="2:24">
      <c r="B81" s="5"/>
      <c r="C81" s="5"/>
      <c r="W81" s="215"/>
      <c r="X81" s="215"/>
    </row>
    <row r="82" spans="2:24">
      <c r="B82" s="5"/>
      <c r="C82" s="5"/>
      <c r="W82" s="217"/>
      <c r="X82" s="217"/>
    </row>
    <row r="83" spans="2:24">
      <c r="B83" s="5"/>
      <c r="C83" s="5"/>
      <c r="W83" s="5"/>
      <c r="X83" s="5"/>
    </row>
  </sheetData>
  <mergeCells count="13">
    <mergeCell ref="T66:U66"/>
    <mergeCell ref="T73:U73"/>
    <mergeCell ref="E27:H27"/>
    <mergeCell ref="O27:R27"/>
    <mergeCell ref="E33:G33"/>
    <mergeCell ref="T38:U38"/>
    <mergeCell ref="T48:U48"/>
    <mergeCell ref="T54:U54"/>
    <mergeCell ref="B1:W1"/>
    <mergeCell ref="T18:U18"/>
    <mergeCell ref="F4:S4"/>
    <mergeCell ref="F8:S8"/>
    <mergeCell ref="F18:S18"/>
  </mergeCells>
  <pageMargins left="0.7" right="0.7" top="0.75" bottom="0.75" header="0.3" footer="0.3"/>
  <pageSetup orientation="portrait" horizontalDpi="1200" verticalDpi="1200" r:id="rId1"/>
  <headerFooter>
    <oddHeader>&amp;R&amp;F</oddHeader>
    <oddFooter xml:space="preserve">&amp;C_x000D_&amp;1#&amp;"Aptos"&amp;12&amp;K000000 Public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3F45A-901C-48E5-9095-64F704AD7F41}">
  <sheetPr codeName="Sheet16">
    <tabColor rgb="FF92D050"/>
  </sheetPr>
  <dimension ref="A1:AD41"/>
  <sheetViews>
    <sheetView tabSelected="1" workbookViewId="0"/>
  </sheetViews>
  <sheetFormatPr defaultColWidth="8.81640625" defaultRowHeight="14.5"/>
  <cols>
    <col min="1" max="1" width="7.453125" style="20" customWidth="1"/>
    <col min="2" max="2" width="14.453125" style="20" customWidth="1"/>
    <col min="3" max="4" width="13" style="20" customWidth="1"/>
    <col min="5" max="5" width="18" style="20" bestFit="1" customWidth="1"/>
    <col min="6" max="6" width="13.54296875" style="20" customWidth="1"/>
    <col min="7" max="7" width="18.54296875" style="20" bestFit="1" customWidth="1"/>
    <col min="8" max="8" width="14.1796875" style="20" customWidth="1"/>
    <col min="9" max="9" width="17" style="20" bestFit="1" customWidth="1"/>
    <col min="10" max="10" width="14" style="20" customWidth="1"/>
    <col min="11" max="11" width="15" style="20" bestFit="1" customWidth="1"/>
    <col min="12" max="12" width="13" style="20" customWidth="1"/>
    <col min="13" max="14" width="14.1796875" style="20" customWidth="1"/>
    <col min="15" max="15" width="14.54296875" style="20" customWidth="1"/>
    <col min="16" max="16" width="14.26953125" style="20" customWidth="1"/>
    <col min="17" max="17" width="9.1796875" style="20" customWidth="1"/>
    <col min="18" max="18" width="11.1796875" style="20" bestFit="1" customWidth="1"/>
    <col min="19" max="19" width="10.1796875" style="20" bestFit="1" customWidth="1"/>
    <col min="20" max="20" width="11.1796875" style="20" bestFit="1" customWidth="1"/>
    <col min="21" max="21" width="10.1796875" style="20" bestFit="1" customWidth="1"/>
    <col min="22" max="22" width="14.1796875" style="20" bestFit="1" customWidth="1"/>
    <col min="23" max="23" width="14" style="20" customWidth="1"/>
    <col min="24" max="24" width="12.26953125" style="20" customWidth="1"/>
    <col min="25" max="28" width="15.7265625" style="20" bestFit="1" customWidth="1"/>
    <col min="29" max="29" width="12.26953125" style="20" customWidth="1"/>
    <col min="30" max="30" width="18.26953125" style="20" customWidth="1"/>
    <col min="31" max="32" width="8.81640625" style="20"/>
    <col min="33" max="33" width="28.54296875" style="20" customWidth="1"/>
    <col min="34" max="16384" width="8.81640625" style="20"/>
  </cols>
  <sheetData>
    <row r="1" spans="1:25">
      <c r="A1" s="383"/>
      <c r="B1" s="383"/>
      <c r="C1" s="383"/>
      <c r="D1" s="383"/>
      <c r="E1" s="383"/>
      <c r="F1" s="383"/>
      <c r="G1" s="383"/>
      <c r="H1" s="383"/>
      <c r="I1" s="383"/>
    </row>
    <row r="2" spans="1:25">
      <c r="A2" s="385"/>
      <c r="B2" s="557"/>
      <c r="C2" s="557"/>
      <c r="D2" s="557"/>
      <c r="F2" s="385"/>
    </row>
    <row r="3" spans="1:25">
      <c r="E3" s="558" t="s">
        <v>358</v>
      </c>
      <c r="F3" s="558"/>
      <c r="G3" s="558"/>
      <c r="H3" s="558"/>
      <c r="I3" s="558"/>
      <c r="J3" s="558"/>
      <c r="K3" s="558"/>
      <c r="M3" s="45"/>
      <c r="N3" s="45"/>
      <c r="O3" s="45"/>
      <c r="P3" s="471"/>
      <c r="Q3" s="471"/>
      <c r="R3" s="471"/>
      <c r="S3" s="471"/>
      <c r="T3" s="471"/>
      <c r="U3" s="471"/>
      <c r="V3" s="471"/>
    </row>
    <row r="4" spans="1:25" ht="15.75" customHeight="1">
      <c r="D4" s="5"/>
      <c r="E4" s="386">
        <f>'Hypothetical Summary'!L4</f>
        <v>2026</v>
      </c>
      <c r="F4" s="387">
        <f>Summary!L3</f>
        <v>46082</v>
      </c>
      <c r="G4" s="388">
        <f>Summary!L3</f>
        <v>46082</v>
      </c>
      <c r="H4" s="389" t="s">
        <v>20</v>
      </c>
      <c r="I4" s="389" t="s">
        <v>20</v>
      </c>
      <c r="J4"/>
      <c r="K4"/>
      <c r="L4" s="43"/>
      <c r="O4" s="5"/>
      <c r="P4" s="386"/>
      <c r="Q4" s="387"/>
      <c r="R4" s="388"/>
      <c r="S4" s="389"/>
      <c r="T4" s="389"/>
      <c r="U4" s="389"/>
      <c r="V4" s="389"/>
    </row>
    <row r="5" spans="1:25" ht="30.65" customHeight="1">
      <c r="D5" s="5"/>
      <c r="E5" s="389" t="s">
        <v>39</v>
      </c>
      <c r="F5" s="389" t="s">
        <v>24</v>
      </c>
      <c r="G5" s="389" t="s">
        <v>40</v>
      </c>
      <c r="H5" s="389" t="s">
        <v>24</v>
      </c>
      <c r="I5" s="389" t="s">
        <v>40</v>
      </c>
      <c r="J5"/>
      <c r="K5"/>
      <c r="L5" s="6"/>
      <c r="M5" s="266"/>
      <c r="N5" s="266"/>
      <c r="O5" s="6"/>
      <c r="P5" s="389"/>
      <c r="Q5" s="389"/>
      <c r="R5" s="389"/>
      <c r="S5" s="389"/>
      <c r="T5" s="389"/>
      <c r="U5" s="389"/>
      <c r="V5" s="389"/>
    </row>
    <row r="6" spans="1:25" ht="42" customHeight="1">
      <c r="B6" s="390"/>
      <c r="D6" s="390"/>
      <c r="E6" s="5"/>
      <c r="F6" s="5"/>
      <c r="G6" s="5"/>
      <c r="J6"/>
      <c r="K6"/>
      <c r="L6" s="43"/>
      <c r="O6" s="390"/>
      <c r="P6" s="5"/>
      <c r="Q6" s="5"/>
      <c r="R6" s="5"/>
      <c r="U6" s="43"/>
      <c r="V6" s="43"/>
    </row>
    <row r="7" spans="1:25" ht="15.5">
      <c r="D7" s="472" t="s">
        <v>343</v>
      </c>
      <c r="E7" s="75">
        <f>HLOOKUP($E$4,$Y$33:$AB$41,2,FALSE)</f>
        <v>148431.96953137699</v>
      </c>
      <c r="F7" s="392">
        <v>0.47087000000000007</v>
      </c>
      <c r="G7" s="129">
        <f t="shared" ref="G7:G12" si="0">F7*E7</f>
        <v>69892.161493239488</v>
      </c>
      <c r="H7" s="393">
        <f t="shared" ref="H7:H12" si="1">F7+I$15/SUM($E$7:$E$12)</f>
        <v>0.47087000000000007</v>
      </c>
      <c r="I7" s="129">
        <f t="shared" ref="I7:I12" si="2">H7*E7</f>
        <v>69892.161493239488</v>
      </c>
      <c r="J7"/>
      <c r="K7"/>
      <c r="L7" s="473"/>
      <c r="O7" s="391"/>
      <c r="P7" s="114"/>
      <c r="Q7" s="392"/>
      <c r="R7" s="113"/>
      <c r="S7" s="393"/>
      <c r="T7" s="113"/>
      <c r="U7" s="393"/>
      <c r="V7" s="113"/>
      <c r="W7" s="21"/>
    </row>
    <row r="8" spans="1:25" ht="15.5">
      <c r="D8" s="395" t="s">
        <v>341</v>
      </c>
      <c r="E8" s="75">
        <f>HLOOKUP($E$4,$Y$33:$AB$41,3,FALSE)</f>
        <v>102276.79442666098</v>
      </c>
      <c r="F8" s="392">
        <v>0.42164000000000007</v>
      </c>
      <c r="G8" s="129">
        <f t="shared" si="0"/>
        <v>43123.987602057343</v>
      </c>
      <c r="H8" s="393">
        <f t="shared" si="1"/>
        <v>0.42164000000000007</v>
      </c>
      <c r="I8" s="129">
        <f t="shared" si="2"/>
        <v>43123.987602057343</v>
      </c>
      <c r="J8"/>
      <c r="K8"/>
      <c r="L8" s="473"/>
      <c r="O8" s="395"/>
      <c r="P8" s="114"/>
      <c r="Q8" s="392"/>
      <c r="R8" s="113"/>
      <c r="S8" s="393"/>
      <c r="T8" s="113"/>
      <c r="U8" s="393"/>
      <c r="V8" s="113"/>
      <c r="W8" s="21"/>
      <c r="Y8" s="396"/>
    </row>
    <row r="9" spans="1:25" ht="15.5">
      <c r="D9" s="472" t="s">
        <v>340</v>
      </c>
      <c r="E9" s="75">
        <f>HLOOKUP($E$4,$Y$33:$AB$41,4,FALSE)</f>
        <v>331735.01479594107</v>
      </c>
      <c r="F9" s="392">
        <v>0.40083000000000002</v>
      </c>
      <c r="G9" s="129">
        <f t="shared" si="0"/>
        <v>132969.34598065706</v>
      </c>
      <c r="H9" s="393">
        <f t="shared" si="1"/>
        <v>0.40083000000000002</v>
      </c>
      <c r="I9" s="129">
        <f t="shared" si="2"/>
        <v>132969.34598065706</v>
      </c>
      <c r="J9"/>
      <c r="K9"/>
      <c r="L9" s="473"/>
      <c r="O9" s="391"/>
      <c r="P9" s="114"/>
      <c r="Q9" s="392"/>
      <c r="R9" s="113"/>
      <c r="S9" s="393"/>
      <c r="T9" s="113"/>
      <c r="U9" s="393"/>
      <c r="V9" s="113"/>
      <c r="W9" s="21"/>
      <c r="Y9" s="396"/>
    </row>
    <row r="10" spans="1:25" ht="15.5">
      <c r="D10" s="395" t="s">
        <v>339</v>
      </c>
      <c r="E10" s="75">
        <f>HLOOKUP($E$4,$Y$33:$AB$41,5,FALSE)</f>
        <v>224629.25731840497</v>
      </c>
      <c r="F10" s="392">
        <v>0.39545000000000002</v>
      </c>
      <c r="G10" s="129">
        <f t="shared" si="0"/>
        <v>88829.639806563253</v>
      </c>
      <c r="H10" s="393">
        <f t="shared" si="1"/>
        <v>0.39545000000000002</v>
      </c>
      <c r="I10" s="129">
        <f t="shared" si="2"/>
        <v>88829.639806563253</v>
      </c>
      <c r="J10"/>
      <c r="K10"/>
      <c r="L10" s="473"/>
      <c r="O10" s="395"/>
      <c r="P10" s="114"/>
      <c r="Q10" s="392"/>
      <c r="R10" s="113"/>
      <c r="S10" s="393"/>
      <c r="T10" s="113"/>
      <c r="U10" s="393"/>
      <c r="V10" s="113"/>
      <c r="W10" s="21"/>
      <c r="Y10" s="396"/>
    </row>
    <row r="11" spans="1:25" ht="15.5">
      <c r="D11" s="472" t="s">
        <v>338</v>
      </c>
      <c r="E11" s="75">
        <f>HLOOKUP($E$4,$Y$33:$AB$41,6,FALSE)</f>
        <v>650611.21810376388</v>
      </c>
      <c r="F11" s="392">
        <v>0.37933</v>
      </c>
      <c r="G11" s="129">
        <f t="shared" si="0"/>
        <v>246796.35336330076</v>
      </c>
      <c r="H11" s="393">
        <f t="shared" si="1"/>
        <v>0.37933</v>
      </c>
      <c r="I11" s="129">
        <f t="shared" si="2"/>
        <v>246796.35336330076</v>
      </c>
      <c r="J11"/>
      <c r="K11"/>
      <c r="L11" s="473"/>
      <c r="O11" s="391"/>
      <c r="P11" s="114"/>
      <c r="Q11" s="392"/>
      <c r="R11" s="113"/>
      <c r="S11" s="393"/>
      <c r="T11" s="113"/>
      <c r="U11" s="393"/>
      <c r="V11" s="113"/>
      <c r="W11" s="394"/>
      <c r="Y11" s="396"/>
    </row>
    <row r="12" spans="1:25" ht="15.5">
      <c r="D12" s="472" t="s">
        <v>353</v>
      </c>
      <c r="E12" s="75">
        <f>HLOOKUP($E$4,$Y$33:$AB$41,7,FALSE)</f>
        <v>69528.629811378007</v>
      </c>
      <c r="F12" s="392">
        <v>0.36291000000000001</v>
      </c>
      <c r="G12" s="129">
        <f t="shared" si="0"/>
        <v>25232.635044847193</v>
      </c>
      <c r="H12" s="393">
        <f t="shared" si="1"/>
        <v>0.36291000000000001</v>
      </c>
      <c r="I12" s="129">
        <f t="shared" si="2"/>
        <v>25232.635044847193</v>
      </c>
      <c r="J12"/>
      <c r="K12"/>
      <c r="L12" s="473"/>
      <c r="O12" s="395"/>
      <c r="P12" s="114"/>
      <c r="Q12" s="392"/>
      <c r="R12" s="113"/>
      <c r="S12" s="393"/>
      <c r="T12" s="113"/>
      <c r="U12" s="393"/>
      <c r="V12" s="113"/>
      <c r="W12" s="394"/>
      <c r="Y12" s="396"/>
    </row>
    <row r="13" spans="1:25" ht="15.5">
      <c r="F13" s="392"/>
      <c r="J13"/>
      <c r="K13"/>
      <c r="L13" s="394"/>
      <c r="O13" s="395"/>
      <c r="P13" s="399"/>
      <c r="Q13" s="392"/>
      <c r="R13" s="129"/>
      <c r="S13" s="405"/>
      <c r="T13" s="398"/>
      <c r="U13" s="5"/>
      <c r="V13" s="398"/>
      <c r="X13" s="396"/>
      <c r="Y13" s="396"/>
    </row>
    <row r="14" spans="1:25" ht="15.5">
      <c r="D14" s="395" t="s">
        <v>355</v>
      </c>
      <c r="E14" s="75">
        <f>HLOOKUP($E$4,$Y$33:$AB$41,9,FALSE)</f>
        <v>824.49997799000005</v>
      </c>
      <c r="F14" s="392">
        <v>0.32854</v>
      </c>
      <c r="G14" s="129">
        <f>F14*E14*365/12</f>
        <v>8239.3038592187204</v>
      </c>
      <c r="H14" s="392">
        <f>F14</f>
        <v>0.32854</v>
      </c>
      <c r="I14" s="129">
        <f>H14*E14*365/12</f>
        <v>8239.3038592187204</v>
      </c>
      <c r="J14"/>
      <c r="K14"/>
      <c r="L14" s="394"/>
      <c r="O14" s="395"/>
      <c r="P14" s="399"/>
      <c r="Q14" s="392"/>
      <c r="R14" s="399"/>
      <c r="S14" s="405"/>
      <c r="T14" s="399"/>
      <c r="U14" s="399"/>
      <c r="V14" s="399"/>
      <c r="Y14" s="396"/>
    </row>
    <row r="15" spans="1:25" ht="15.5">
      <c r="D15" s="400" t="s">
        <v>375</v>
      </c>
      <c r="E15" s="401"/>
      <c r="F15" s="392"/>
      <c r="G15" s="129">
        <f>SUM(G7:G14)</f>
        <v>615083.42714988382</v>
      </c>
      <c r="H15" s="399"/>
      <c r="I15" s="129">
        <f>'Hypothetical SAR and RAR (B-1)'!U20</f>
        <v>0</v>
      </c>
      <c r="J15"/>
      <c r="K15"/>
      <c r="L15" s="394"/>
      <c r="O15" s="474"/>
      <c r="P15" s="399"/>
      <c r="Q15" s="392"/>
      <c r="R15" s="399"/>
      <c r="S15" s="405"/>
      <c r="T15" s="399"/>
      <c r="U15" s="399"/>
      <c r="V15" s="399"/>
    </row>
    <row r="16" spans="1:25" ht="15.5">
      <c r="P16" s="399"/>
      <c r="Q16" s="392"/>
      <c r="S16" s="405"/>
    </row>
    <row r="17" spans="2:30" ht="15.5">
      <c r="O17" s="404"/>
      <c r="S17" s="405"/>
    </row>
    <row r="18" spans="2:30" ht="15.5">
      <c r="S18" s="405"/>
    </row>
    <row r="19" spans="2:30">
      <c r="B19" s="406"/>
      <c r="E19" s="403"/>
      <c r="P19" s="20" t="str">
        <f>'Bill Impact (B-1)'!P19</f>
        <v>2025 Recorded Data</v>
      </c>
    </row>
    <row r="20" spans="2:30">
      <c r="B20" s="407" t="s">
        <v>359</v>
      </c>
      <c r="C20" s="407"/>
      <c r="E20" s="408"/>
      <c r="F20" s="408"/>
      <c r="H20" s="407"/>
      <c r="I20" s="407"/>
      <c r="J20" s="407"/>
      <c r="K20" s="407"/>
      <c r="L20" s="407"/>
      <c r="M20" s="407"/>
      <c r="N20" s="407"/>
      <c r="P20" s="409" t="s">
        <v>350</v>
      </c>
      <c r="Q20" s="563" t="s">
        <v>143</v>
      </c>
      <c r="R20" s="564"/>
      <c r="S20" s="565"/>
      <c r="T20" s="563" t="s">
        <v>144</v>
      </c>
      <c r="U20" s="564"/>
      <c r="V20" s="565"/>
      <c r="X20" s="90"/>
      <c r="Y20" s="475"/>
      <c r="Z20" s="475"/>
      <c r="AA20" s="475"/>
      <c r="AB20" s="475"/>
      <c r="AC20" s="549"/>
      <c r="AD20" s="549"/>
    </row>
    <row r="21" spans="2:30">
      <c r="B21" s="413" t="s">
        <v>24</v>
      </c>
      <c r="C21" s="414">
        <v>46023</v>
      </c>
      <c r="D21" s="414">
        <f>Summary!L3</f>
        <v>46082</v>
      </c>
      <c r="E21" s="415" t="s">
        <v>20</v>
      </c>
      <c r="F21"/>
      <c r="P21" s="476" t="s">
        <v>349</v>
      </c>
      <c r="Q21" s="477" t="s">
        <v>348</v>
      </c>
      <c r="R21" s="478" t="s">
        <v>347</v>
      </c>
      <c r="S21" s="477" t="s">
        <v>346</v>
      </c>
      <c r="T21" s="478" t="s">
        <v>347</v>
      </c>
      <c r="U21" s="477" t="s">
        <v>346</v>
      </c>
      <c r="V21" s="477" t="s">
        <v>354</v>
      </c>
      <c r="W21" s="477" t="s">
        <v>132</v>
      </c>
      <c r="Y21" s="549"/>
      <c r="Z21" s="549"/>
      <c r="AA21" s="549"/>
      <c r="AB21" s="549"/>
      <c r="AC21" s="40"/>
      <c r="AD21" s="40"/>
    </row>
    <row r="22" spans="2:30">
      <c r="B22" s="472" t="s">
        <v>343</v>
      </c>
      <c r="C22" s="54">
        <v>0.47794000000000003</v>
      </c>
      <c r="D22" s="54">
        <f t="shared" ref="D22:D27" si="3">F7</f>
        <v>0.47087000000000007</v>
      </c>
      <c r="E22" s="54">
        <f t="shared" ref="E22:E27" si="4">H7</f>
        <v>0.47087000000000007</v>
      </c>
      <c r="F22"/>
      <c r="I22" s="396"/>
      <c r="J22" s="396"/>
      <c r="M22" s="396"/>
      <c r="N22" s="396"/>
      <c r="P22" s="479" t="s">
        <v>345</v>
      </c>
      <c r="Q22" s="130">
        <f>'Bill Impact (B-1)'!Q22</f>
        <v>228</v>
      </c>
      <c r="R22" s="130">
        <f>'Bill Impact (B-1)'!R22</f>
        <v>180</v>
      </c>
      <c r="S22" s="130">
        <f>'Bill Impact (B-1)'!S22</f>
        <v>530</v>
      </c>
      <c r="T22" s="130">
        <f>'Bill Impact (B-1)'!T22</f>
        <v>174</v>
      </c>
      <c r="U22" s="130">
        <f>'Bill Impact (B-1)'!U22</f>
        <v>535</v>
      </c>
      <c r="V22" s="231">
        <f>'Bill Impact (B-1)'!V22</f>
        <v>49</v>
      </c>
      <c r="W22" s="231">
        <f>'Bill Impact (B-1)'!W22</f>
        <v>1696</v>
      </c>
      <c r="Y22" s="482"/>
      <c r="Z22" s="482"/>
      <c r="AA22" s="482"/>
      <c r="AB22" s="482"/>
      <c r="AC22" s="110"/>
      <c r="AD22" s="110"/>
    </row>
    <row r="23" spans="2:30">
      <c r="B23" s="395" t="s">
        <v>341</v>
      </c>
      <c r="C23" s="54">
        <v>0.42871000000000004</v>
      </c>
      <c r="D23" s="54">
        <f t="shared" si="3"/>
        <v>0.42164000000000007</v>
      </c>
      <c r="E23" s="54">
        <f t="shared" si="4"/>
        <v>0.42164000000000007</v>
      </c>
      <c r="F23"/>
      <c r="I23" s="396"/>
      <c r="J23" s="396"/>
      <c r="M23" s="396"/>
      <c r="N23" s="396"/>
      <c r="P23" s="479" t="s">
        <v>344</v>
      </c>
      <c r="Q23" s="130">
        <f>'Bill Impact (B-1)'!Q23</f>
        <v>408</v>
      </c>
      <c r="R23" s="130">
        <f>'Bill Impact (B-1)'!R23</f>
        <v>343</v>
      </c>
      <c r="S23" s="130">
        <f>'Bill Impact (B-1)'!S23</f>
        <v>957</v>
      </c>
      <c r="T23" s="130">
        <f>'Bill Impact (B-1)'!T23</f>
        <v>238</v>
      </c>
      <c r="U23" s="130">
        <f>'Bill Impact (B-1)'!U23</f>
        <v>780</v>
      </c>
      <c r="V23" s="130">
        <f>'Bill Impact (B-1)'!V23</f>
        <v>123</v>
      </c>
      <c r="W23" s="130">
        <f>'Bill Impact (B-1)'!W23</f>
        <v>2849</v>
      </c>
      <c r="Y23" s="482"/>
      <c r="Z23" s="482"/>
      <c r="AA23" s="482"/>
      <c r="AB23" s="482"/>
      <c r="AC23" s="110"/>
      <c r="AD23" s="110"/>
    </row>
    <row r="24" spans="2:30">
      <c r="B24" s="472" t="s">
        <v>340</v>
      </c>
      <c r="C24" s="54">
        <v>0.40789999999999998</v>
      </c>
      <c r="D24" s="54">
        <f t="shared" si="3"/>
        <v>0.40083000000000002</v>
      </c>
      <c r="E24" s="54">
        <f t="shared" si="4"/>
        <v>0.40083000000000002</v>
      </c>
      <c r="F24"/>
      <c r="I24" s="396"/>
      <c r="J24" s="396"/>
      <c r="M24" s="396"/>
      <c r="N24" s="396"/>
      <c r="P24" s="484" t="s">
        <v>342</v>
      </c>
      <c r="Q24" s="130">
        <f>'Bill Impact (B-1)'!Q24</f>
        <v>1111</v>
      </c>
      <c r="R24" s="130">
        <f>'Bill Impact (B-1)'!R24</f>
        <v>732</v>
      </c>
      <c r="S24" s="130">
        <f>'Bill Impact (B-1)'!S24</f>
        <v>1927</v>
      </c>
      <c r="T24" s="130">
        <f>'Bill Impact (B-1)'!T24</f>
        <v>722</v>
      </c>
      <c r="U24" s="130">
        <f>'Bill Impact (B-1)'!U24</f>
        <v>1607</v>
      </c>
      <c r="V24" s="170">
        <f>'Bill Impact (B-1)'!V24</f>
        <v>265</v>
      </c>
      <c r="W24" s="170">
        <f>'Bill Impact (B-1)'!W24</f>
        <v>6364</v>
      </c>
      <c r="Y24" s="482"/>
      <c r="Z24" s="482"/>
      <c r="AA24" s="482"/>
      <c r="AB24" s="482"/>
      <c r="AC24" s="110"/>
      <c r="AD24" s="110"/>
    </row>
    <row r="25" spans="2:30">
      <c r="B25" s="395" t="s">
        <v>339</v>
      </c>
      <c r="C25" s="54">
        <v>0.40251999999999999</v>
      </c>
      <c r="D25" s="54">
        <f t="shared" si="3"/>
        <v>0.39545000000000002</v>
      </c>
      <c r="E25" s="54">
        <f t="shared" si="4"/>
        <v>0.39545000000000002</v>
      </c>
      <c r="F25"/>
      <c r="I25" s="396"/>
      <c r="J25" s="396"/>
      <c r="M25" s="396"/>
      <c r="N25" s="396"/>
      <c r="P25" s="485"/>
      <c r="Q25" s="486"/>
      <c r="R25" s="486"/>
      <c r="S25" s="486"/>
      <c r="T25" s="486"/>
      <c r="U25" s="112"/>
      <c r="V25" s="112"/>
      <c r="Y25" s="482"/>
      <c r="Z25" s="482"/>
      <c r="AA25" s="482"/>
      <c r="AB25" s="482"/>
      <c r="AC25" s="110"/>
      <c r="AD25" s="110"/>
    </row>
    <row r="26" spans="2:30">
      <c r="B26" s="472" t="s">
        <v>338</v>
      </c>
      <c r="C26" s="54">
        <v>0.38639999999999997</v>
      </c>
      <c r="D26" s="54">
        <f t="shared" si="3"/>
        <v>0.37933</v>
      </c>
      <c r="E26" s="54">
        <f t="shared" si="4"/>
        <v>0.37933</v>
      </c>
      <c r="F26"/>
      <c r="I26" s="396"/>
      <c r="J26" s="396"/>
      <c r="M26" s="396"/>
      <c r="N26" s="396"/>
      <c r="Q26" s="482"/>
      <c r="R26" s="482"/>
      <c r="S26" s="482"/>
      <c r="T26" s="482"/>
      <c r="U26" s="110"/>
      <c r="V26" s="110"/>
      <c r="Y26" s="482"/>
      <c r="Z26" s="482"/>
      <c r="AA26" s="482"/>
      <c r="AB26" s="482"/>
      <c r="AC26" s="110"/>
      <c r="AD26" s="110"/>
    </row>
    <row r="27" spans="2:30">
      <c r="B27" s="472" t="s">
        <v>353</v>
      </c>
      <c r="C27" s="54">
        <v>0.36997999999999998</v>
      </c>
      <c r="D27" s="54">
        <f t="shared" si="3"/>
        <v>0.36291000000000001</v>
      </c>
      <c r="E27" s="54">
        <f t="shared" si="4"/>
        <v>0.36291000000000001</v>
      </c>
      <c r="F27"/>
      <c r="I27" s="396"/>
      <c r="J27" s="396"/>
      <c r="M27" s="396"/>
      <c r="N27" s="396"/>
      <c r="Q27" s="482"/>
      <c r="R27" s="482"/>
      <c r="S27" s="482"/>
      <c r="T27" s="482"/>
      <c r="U27" s="110"/>
      <c r="V27" s="110"/>
      <c r="Y27" s="482"/>
      <c r="Z27" s="482"/>
      <c r="AA27" s="482"/>
      <c r="AB27" s="482"/>
      <c r="AC27" s="110"/>
      <c r="AD27" s="110"/>
    </row>
    <row r="28" spans="2:30">
      <c r="B28" s="395" t="s">
        <v>355</v>
      </c>
      <c r="C28" s="54">
        <v>0.32854</v>
      </c>
      <c r="D28" s="54">
        <f>F14</f>
        <v>0.32854</v>
      </c>
      <c r="E28" s="54">
        <f>H14</f>
        <v>0.32854</v>
      </c>
      <c r="F28"/>
      <c r="Q28" s="21"/>
    </row>
    <row r="29" spans="2:30">
      <c r="B29" s="406"/>
      <c r="C29" s="56"/>
      <c r="D29" s="54"/>
      <c r="E29" s="79"/>
      <c r="F29" s="79"/>
      <c r="N29" s="21"/>
    </row>
    <row r="30" spans="2:30">
      <c r="B30" s="406"/>
      <c r="C30" s="549" t="s">
        <v>357</v>
      </c>
      <c r="D30" s="549"/>
      <c r="E30" s="549"/>
      <c r="F30" s="549"/>
      <c r="G30" s="549"/>
      <c r="H30" s="549"/>
      <c r="I30" s="549"/>
      <c r="J30" s="549"/>
      <c r="L30" s="406"/>
    </row>
    <row r="31" spans="2:30">
      <c r="B31" s="406"/>
      <c r="C31" s="550">
        <f>C21</f>
        <v>46023</v>
      </c>
      <c r="D31" s="551"/>
      <c r="E31" s="550">
        <f>D21</f>
        <v>46082</v>
      </c>
      <c r="F31" s="551"/>
      <c r="G31" s="552" t="s">
        <v>20</v>
      </c>
      <c r="H31" s="552"/>
      <c r="I31"/>
      <c r="J31"/>
      <c r="L31" s="406"/>
      <c r="M31" s="115"/>
      <c r="N31" s="116"/>
      <c r="O31" s="115"/>
      <c r="P31" s="116"/>
      <c r="Q31" s="117"/>
      <c r="R31" s="117"/>
      <c r="S31" s="98"/>
      <c r="T31" s="117"/>
    </row>
    <row r="32" spans="2:30">
      <c r="B32" s="406"/>
      <c r="C32" s="56" t="s">
        <v>143</v>
      </c>
      <c r="D32" s="56" t="s">
        <v>144</v>
      </c>
      <c r="E32" s="56" t="s">
        <v>143</v>
      </c>
      <c r="F32" s="56" t="s">
        <v>144</v>
      </c>
      <c r="G32" s="56" t="s">
        <v>143</v>
      </c>
      <c r="H32" s="56" t="s">
        <v>144</v>
      </c>
      <c r="I32"/>
      <c r="J32"/>
      <c r="L32" s="406"/>
      <c r="M32" s="56"/>
      <c r="N32" s="56"/>
      <c r="O32" s="56"/>
      <c r="P32" s="56"/>
      <c r="Q32" s="56"/>
      <c r="R32" s="56"/>
      <c r="S32" s="56"/>
      <c r="T32" s="56"/>
    </row>
    <row r="33" spans="2:28">
      <c r="B33" s="20" t="s">
        <v>345</v>
      </c>
      <c r="C33" s="56">
        <f>SUM(SUM($C$22*$Q22,$C$23*$R22,$C$24*$S22),($C$28*365.25/12))</f>
        <v>412.32505624999999</v>
      </c>
      <c r="D33" s="56">
        <f>SUM(SUM($C$25*$T22,$C$26*$U22,$C$27*$V22),($C$28*365.25/12))</f>
        <v>304.89143624999997</v>
      </c>
      <c r="E33" s="56">
        <f>SUM(SUM($D$22*$Q22,$D$23*$R22,$D$24*$S22),($D$28*365.25/12))</f>
        <v>405.69339625000009</v>
      </c>
      <c r="F33" s="56">
        <f>SUM(SUM($D$25*$T22,$D$26*$U22,$D$27*$V22),($D$28*365.25/12))</f>
        <v>299.53237625000008</v>
      </c>
      <c r="G33" s="56">
        <f>SUM(SUM($E$22*$Q22,$E$23*$R22,$E$24*$S22),($E$28*365.25/12))</f>
        <v>405.69339625000009</v>
      </c>
      <c r="H33" s="56">
        <f>SUM(SUM($E$25*$T22,$E$26*$U22,$E$27*$V22),($E$28*365.25/12))</f>
        <v>299.53237625000008</v>
      </c>
      <c r="I33"/>
      <c r="J33"/>
      <c r="M33" s="56"/>
      <c r="N33" s="56"/>
      <c r="O33" s="56"/>
      <c r="P33" s="56"/>
      <c r="Q33" s="56"/>
      <c r="R33" s="56"/>
      <c r="S33" s="56"/>
      <c r="T33" s="56"/>
      <c r="W33" s="20" t="s">
        <v>276</v>
      </c>
      <c r="X33" s="20" t="s">
        <v>357</v>
      </c>
      <c r="Y33" s="20">
        <f>'Bill Impact (B-1)'!Y33</f>
        <v>2026</v>
      </c>
      <c r="Z33" s="20">
        <f>'Bill Impact (B-1)'!Z33</f>
        <v>2027</v>
      </c>
      <c r="AA33" s="20">
        <f>'Bill Impact (B-1)'!AA33</f>
        <v>2028</v>
      </c>
      <c r="AB33" s="20">
        <f>'Bill Impact (B-1)'!AB33</f>
        <v>2029</v>
      </c>
    </row>
    <row r="34" spans="2:28" ht="15.5">
      <c r="B34" s="20" t="s">
        <v>344</v>
      </c>
      <c r="C34" s="56">
        <f>SUM(SUM($C$22*$Q23,$C$23*$R23,$C$24*$S23),($C$28*365.25/12))</f>
        <v>742.40728624999997</v>
      </c>
      <c r="D34" s="56">
        <f>SUM(SUM($C$25*$T23,$C$26*$U23,$C$27*$V23),($C$28*365.25/12))</f>
        <v>452.69923625000001</v>
      </c>
      <c r="E34" s="56">
        <f>SUM(SUM($D$22*$Q23,$D$23*$R23,$D$24*$S23),($D$28*365.25/12))</f>
        <v>730.33172625000009</v>
      </c>
      <c r="F34" s="56">
        <f>SUM(SUM($D$25*$T23,$D$26*$U23,$D$27*$V23),($D$28*365.25/12))</f>
        <v>444.63236625000002</v>
      </c>
      <c r="G34" s="56">
        <f>SUM(SUM($E$22*$Q23,$E$23*$R23,$E$24*$S23),($E$28*365.25/12))</f>
        <v>730.33172625000009</v>
      </c>
      <c r="H34" s="56">
        <f>SUM(SUM($E$25*$T23,$E$26*$U23,$E$27*$V23),($E$28*365.25/12))</f>
        <v>444.63236625000002</v>
      </c>
      <c r="I34"/>
      <c r="J34"/>
      <c r="M34" s="56"/>
      <c r="N34" s="56"/>
      <c r="O34" s="56"/>
      <c r="P34" s="56"/>
      <c r="Q34" s="56"/>
      <c r="R34" s="56"/>
      <c r="S34" s="56"/>
      <c r="T34" s="56"/>
      <c r="V34" s="21" t="s">
        <v>143</v>
      </c>
      <c r="W34" s="21" t="s">
        <v>348</v>
      </c>
      <c r="X34" s="21" t="s">
        <v>348</v>
      </c>
      <c r="Y34" s="75">
        <v>148431.96953137699</v>
      </c>
      <c r="Z34" s="75">
        <f>'Bill Impact (B-1)'!Z34</f>
        <v>159126.03905212201</v>
      </c>
      <c r="AA34" s="75">
        <f>Y34</f>
        <v>148431.96953137699</v>
      </c>
      <c r="AB34" s="75">
        <f>AA34</f>
        <v>148431.96953137699</v>
      </c>
    </row>
    <row r="35" spans="2:28" ht="15.5">
      <c r="B35" s="20" t="s">
        <v>342</v>
      </c>
      <c r="C35" s="56">
        <f>SUM(SUM($C$22*$Q24,$C$23*$R24,$C$24*$S24),($C$28*365.25/12))</f>
        <v>1640.8302962499999</v>
      </c>
      <c r="D35" s="56">
        <f>SUM(SUM($C$25*$T24,$C$26*$U24,$C$27*$V24),($C$28*365.25/12))</f>
        <v>1019.60887625</v>
      </c>
      <c r="E35" s="56">
        <f>SUM(SUM($D$22*$Q24,$D$23*$R24,$D$24*$S24),($D$28*365.25/12))</f>
        <v>1614.1763962500002</v>
      </c>
      <c r="F35" s="56">
        <f>SUM(SUM($D$25*$T24,$D$26*$U24,$D$27*$V24),($D$28*365.25/12))</f>
        <v>1001.26929625</v>
      </c>
      <c r="G35" s="56">
        <f>SUM(SUM($E$22*$Q24,$E$23*$R24,$E$24*$S24),($E$28*365.25/12))</f>
        <v>1614.1763962500002</v>
      </c>
      <c r="H35" s="56">
        <f>SUM(SUM($E$25*$T24,$E$26*$U24,$E$27*$V24),($E$28*365.25/12))</f>
        <v>1001.26929625</v>
      </c>
      <c r="I35"/>
      <c r="J35"/>
      <c r="M35" s="56"/>
      <c r="N35" s="56"/>
      <c r="O35" s="56"/>
      <c r="P35" s="56"/>
      <c r="Q35" s="56"/>
      <c r="R35" s="56"/>
      <c r="S35" s="56"/>
      <c r="T35" s="56"/>
      <c r="V35" s="21" t="s">
        <v>143</v>
      </c>
      <c r="W35" s="21" t="s">
        <v>360</v>
      </c>
      <c r="X35" s="21" t="s">
        <v>360</v>
      </c>
      <c r="Y35" s="75">
        <v>102276.79442666098</v>
      </c>
      <c r="Z35" s="75">
        <f>'Bill Impact (B-1)'!Z35</f>
        <v>110922.120923922</v>
      </c>
      <c r="AA35" s="75">
        <f t="shared" ref="AA35:AA41" si="5">Y35</f>
        <v>102276.79442666098</v>
      </c>
      <c r="AB35" s="75">
        <f t="shared" ref="AB35:AB41" si="6">AA35</f>
        <v>102276.79442666098</v>
      </c>
    </row>
    <row r="36" spans="2:28" ht="15.5">
      <c r="C36" s="56"/>
      <c r="D36" s="56"/>
      <c r="E36" s="56"/>
      <c r="F36" s="56"/>
      <c r="G36" s="56"/>
      <c r="H36" s="56"/>
      <c r="I36" s="56"/>
      <c r="J36" s="56"/>
      <c r="M36" s="56"/>
      <c r="N36" s="56"/>
      <c r="O36" s="56"/>
      <c r="P36" s="56"/>
      <c r="Q36" s="56"/>
      <c r="R36" s="56"/>
      <c r="S36" s="56"/>
      <c r="T36" s="56"/>
      <c r="V36" s="21" t="s">
        <v>143</v>
      </c>
      <c r="W36" s="21" t="s">
        <v>361</v>
      </c>
      <c r="X36" s="21" t="s">
        <v>361</v>
      </c>
      <c r="Y36" s="75">
        <v>331735.01479594107</v>
      </c>
      <c r="Z36" s="75">
        <f>'Bill Impact (B-1)'!Z36</f>
        <v>355461.85211889603</v>
      </c>
      <c r="AA36" s="75">
        <f t="shared" si="5"/>
        <v>331735.01479594107</v>
      </c>
      <c r="AB36" s="75">
        <f t="shared" si="6"/>
        <v>331735.01479594107</v>
      </c>
    </row>
    <row r="37" spans="2:28" ht="15.5">
      <c r="C37" s="56"/>
      <c r="D37" s="56"/>
      <c r="E37" s="56"/>
      <c r="F37" s="56"/>
      <c r="G37" s="124"/>
      <c r="H37" s="124"/>
      <c r="I37" s="56"/>
      <c r="J37" s="56"/>
      <c r="M37" s="56"/>
      <c r="N37" s="56"/>
      <c r="O37" s="56"/>
      <c r="P37" s="56"/>
      <c r="Q37" s="56"/>
      <c r="R37" s="56"/>
      <c r="S37" s="56"/>
      <c r="T37" s="56"/>
      <c r="V37" s="21" t="s">
        <v>144</v>
      </c>
      <c r="W37" s="21" t="s">
        <v>348</v>
      </c>
      <c r="X37" s="21" t="s">
        <v>360</v>
      </c>
      <c r="Y37" s="75">
        <v>224629.25731840497</v>
      </c>
      <c r="Z37" s="75">
        <f>'Bill Impact (B-1)'!Z37</f>
        <v>236378.485566035</v>
      </c>
      <c r="AA37" s="75">
        <f t="shared" si="5"/>
        <v>224629.25731840497</v>
      </c>
      <c r="AB37" s="75">
        <f t="shared" si="6"/>
        <v>224629.25731840497</v>
      </c>
    </row>
    <row r="38" spans="2:28" ht="15" customHeight="1">
      <c r="C38" s="56"/>
      <c r="D38" s="56"/>
      <c r="E38" s="56"/>
      <c r="F38" s="56"/>
      <c r="G38" s="124"/>
      <c r="H38" s="124"/>
      <c r="I38" s="56"/>
      <c r="J38" s="56"/>
      <c r="M38" s="56"/>
      <c r="N38" s="56"/>
      <c r="O38" s="56"/>
      <c r="P38" s="56"/>
      <c r="Q38" s="56"/>
      <c r="R38" s="56"/>
      <c r="S38" s="56"/>
      <c r="T38" s="56"/>
      <c r="V38" s="21" t="s">
        <v>144</v>
      </c>
      <c r="W38" s="21" t="s">
        <v>361</v>
      </c>
      <c r="X38" s="21" t="s">
        <v>361</v>
      </c>
      <c r="Y38" s="75">
        <v>650611.21810376388</v>
      </c>
      <c r="Z38" s="75">
        <f>'Bill Impact (B-1)'!Z38</f>
        <v>693111.97492053208</v>
      </c>
      <c r="AA38" s="75">
        <f t="shared" si="5"/>
        <v>650611.21810376388</v>
      </c>
      <c r="AB38" s="75">
        <f t="shared" si="6"/>
        <v>650611.21810376388</v>
      </c>
    </row>
    <row r="39" spans="2:28" ht="15" customHeight="1">
      <c r="C39" s="56"/>
      <c r="D39" s="56"/>
      <c r="E39" s="56"/>
      <c r="F39" s="56"/>
      <c r="G39" s="124"/>
      <c r="H39" s="124"/>
      <c r="I39" s="56"/>
      <c r="J39" s="56"/>
      <c r="M39" s="56"/>
      <c r="N39" s="56"/>
      <c r="O39" s="56"/>
      <c r="P39" s="56"/>
      <c r="Q39" s="56"/>
      <c r="R39" s="56"/>
      <c r="S39" s="56"/>
      <c r="T39" s="56"/>
      <c r="V39" s="21" t="s">
        <v>144</v>
      </c>
      <c r="W39" s="21" t="s">
        <v>362</v>
      </c>
      <c r="X39" s="21" t="s">
        <v>363</v>
      </c>
      <c r="Y39" s="75">
        <v>69528.629811378007</v>
      </c>
      <c r="Z39" s="75">
        <f>'Bill Impact (B-1)'!Z39</f>
        <v>77413.600982413016</v>
      </c>
      <c r="AA39" s="75">
        <f t="shared" si="5"/>
        <v>69528.629811378007</v>
      </c>
      <c r="AB39" s="75">
        <f t="shared" si="6"/>
        <v>69528.629811378007</v>
      </c>
    </row>
    <row r="40" spans="2:28" ht="15" customHeight="1">
      <c r="C40" s="56"/>
      <c r="D40" s="56"/>
      <c r="E40" s="56"/>
      <c r="F40" s="56"/>
      <c r="G40" s="56"/>
      <c r="H40" s="56"/>
      <c r="I40" s="56"/>
      <c r="J40" s="56"/>
      <c r="M40" s="56"/>
      <c r="N40" s="56"/>
      <c r="O40" s="56"/>
      <c r="P40" s="56"/>
      <c r="Q40" s="56"/>
      <c r="R40" s="56"/>
      <c r="S40" s="56"/>
      <c r="T40" s="56"/>
      <c r="Y40" s="20">
        <v>0</v>
      </c>
      <c r="Z40" s="75">
        <f>'Bill Impact (B-1)'!Z40</f>
        <v>0</v>
      </c>
      <c r="AA40" s="75"/>
      <c r="AB40" s="75"/>
    </row>
    <row r="41" spans="2:28" ht="15.5">
      <c r="V41" s="20" t="s">
        <v>415</v>
      </c>
      <c r="W41" s="20" t="s">
        <v>364</v>
      </c>
      <c r="Y41" s="75">
        <v>824.49997799000005</v>
      </c>
      <c r="Z41" s="75">
        <f>'Bill Impact (B-1)'!Z41</f>
        <v>1002.740463523</v>
      </c>
      <c r="AA41" s="75">
        <f t="shared" si="5"/>
        <v>824.49997799000005</v>
      </c>
      <c r="AB41" s="75">
        <f t="shared" si="6"/>
        <v>824.49997799000005</v>
      </c>
    </row>
  </sheetData>
  <mergeCells count="11">
    <mergeCell ref="C30:J30"/>
    <mergeCell ref="C31:D31"/>
    <mergeCell ref="E31:F31"/>
    <mergeCell ref="G31:H31"/>
    <mergeCell ref="B2:D2"/>
    <mergeCell ref="E3:K3"/>
    <mergeCell ref="Q20:S20"/>
    <mergeCell ref="T20:V20"/>
    <mergeCell ref="AC20:AD20"/>
    <mergeCell ref="Y21:Z21"/>
    <mergeCell ref="AA21:AB21"/>
  </mergeCells>
  <pageMargins left="0.7" right="0.7" top="0.75" bottom="0.75" header="0.3" footer="0.3"/>
  <pageSetup orientation="portrait" horizontalDpi="1200" verticalDpi="1200" r:id="rId1"/>
  <headerFooter>
    <oddHeader>&amp;R&amp;F</oddHeader>
    <oddFooter xml:space="preserve">&amp;C_x000D_&amp;1#&amp;"Aptos"&amp;12&amp;K000000 Public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ACBB4-8781-43BB-9FA5-206F860E16C8}">
  <sheetPr codeName="Sheet10"/>
  <dimension ref="A1:AU71"/>
  <sheetViews>
    <sheetView tabSelected="1" workbookViewId="0"/>
  </sheetViews>
  <sheetFormatPr defaultColWidth="8.7265625" defaultRowHeight="15.5"/>
  <cols>
    <col min="1" max="1" width="3.81640625" style="223" customWidth="1"/>
    <col min="2" max="2" width="5.26953125" style="223" customWidth="1"/>
    <col min="3" max="3" width="17.26953125" style="223" customWidth="1"/>
    <col min="4" max="4" width="8.7265625" style="223" customWidth="1"/>
    <col min="5" max="16" width="8.7265625" style="223"/>
    <col min="17" max="17" width="15.453125" style="223" bestFit="1" customWidth="1"/>
    <col min="18" max="18" width="10.7265625" style="223" bestFit="1" customWidth="1"/>
    <col min="19" max="19" width="10.1796875" style="223" bestFit="1" customWidth="1"/>
    <col min="20" max="20" width="9.7265625" style="223" bestFit="1" customWidth="1"/>
    <col min="21" max="21" width="11.54296875" style="223" bestFit="1" customWidth="1"/>
    <col min="22" max="23" width="9.81640625" style="223" customWidth="1"/>
    <col min="24" max="24" width="15.81640625" style="223" customWidth="1"/>
    <col min="25" max="25" width="11.54296875" style="223" bestFit="1" customWidth="1"/>
    <col min="26" max="26" width="9.54296875" style="223" bestFit="1" customWidth="1"/>
    <col min="27" max="27" width="11.26953125" style="223" customWidth="1"/>
    <col min="28" max="42" width="8.7265625" style="223"/>
    <col min="43" max="43" width="14.54296875" style="223" bestFit="1" customWidth="1"/>
    <col min="44" max="16384" width="8.7265625" style="223"/>
  </cols>
  <sheetData>
    <row r="1" spans="1:43">
      <c r="A1" s="223" t="s">
        <v>318</v>
      </c>
      <c r="Q1" s="233"/>
    </row>
    <row r="2" spans="1:43">
      <c r="Q2" s="233" t="s">
        <v>40</v>
      </c>
    </row>
    <row r="3" spans="1:43">
      <c r="Q3" s="233" t="s">
        <v>319</v>
      </c>
    </row>
    <row r="4" spans="1:43">
      <c r="Q4" s="234" t="s">
        <v>320</v>
      </c>
      <c r="Y4"/>
      <c r="AQ4" s="235"/>
    </row>
    <row r="5" spans="1:43">
      <c r="A5" s="223">
        <v>1</v>
      </c>
      <c r="B5" s="236" t="s">
        <v>321</v>
      </c>
      <c r="Q5" s="237">
        <f>'Incremental Rev Req'!C5</f>
        <v>20085486.222601481</v>
      </c>
      <c r="AQ5" s="238"/>
    </row>
    <row r="6" spans="1:43">
      <c r="B6" s="239" t="s">
        <v>322</v>
      </c>
      <c r="C6" s="223" t="s">
        <v>323</v>
      </c>
      <c r="Q6" s="240">
        <f>Q5*0.01</f>
        <v>200854.86222601481</v>
      </c>
      <c r="AQ6" s="238"/>
    </row>
    <row r="7" spans="1:43">
      <c r="B7" s="239"/>
      <c r="Q7" s="240"/>
    </row>
    <row r="8" spans="1:43" ht="16.5">
      <c r="A8" s="223">
        <v>2</v>
      </c>
      <c r="B8" s="242" t="s">
        <v>654</v>
      </c>
      <c r="Q8" s="249"/>
      <c r="AQ8" s="235"/>
    </row>
    <row r="9" spans="1:43">
      <c r="B9" s="243" t="s">
        <v>322</v>
      </c>
      <c r="C9" s="223" t="str">
        <f>'Incremental Rev Req'!C111</f>
        <v>A.25-11-001</v>
      </c>
      <c r="D9" s="260" t="s">
        <v>596</v>
      </c>
      <c r="Q9" s="248">
        <f>'Incremental Rev Req'!I111+'Incremental Rev Req'!I112</f>
        <v>8341.0367506859202</v>
      </c>
    </row>
    <row r="10" spans="1:43">
      <c r="B10" s="243" t="s">
        <v>507</v>
      </c>
      <c r="C10" s="223" t="s">
        <v>447</v>
      </c>
      <c r="D10" s="223" t="s">
        <v>446</v>
      </c>
      <c r="Q10" s="248">
        <f>SUM('Incremental Rev Req'!H$105:H$107)</f>
        <v>170072.39544802136</v>
      </c>
      <c r="AQ10" s="235"/>
    </row>
    <row r="11" spans="1:43">
      <c r="B11" s="239" t="s">
        <v>450</v>
      </c>
      <c r="C11" s="223" t="s">
        <v>505</v>
      </c>
      <c r="D11" s="223" t="s">
        <v>501</v>
      </c>
      <c r="Q11" s="248">
        <f>SUM('Incremental Rev Req'!$I$108:$I$110)</f>
        <v>11716450.542978782</v>
      </c>
      <c r="AQ11" s="235"/>
    </row>
    <row r="12" spans="1:43">
      <c r="B12" s="239"/>
      <c r="Q12" s="241"/>
      <c r="AQ12" s="235"/>
    </row>
    <row r="13" spans="1:43">
      <c r="B13" s="239"/>
      <c r="Q13" s="240"/>
      <c r="AQ13" s="235"/>
    </row>
    <row r="14" spans="1:43" ht="15" customHeight="1">
      <c r="A14" s="223">
        <v>3</v>
      </c>
      <c r="B14" s="505" t="s">
        <v>327</v>
      </c>
      <c r="C14" s="505"/>
      <c r="D14" s="505"/>
      <c r="E14" s="505"/>
      <c r="F14" s="505"/>
      <c r="G14" s="505"/>
      <c r="H14" s="505"/>
      <c r="I14" s="505"/>
      <c r="J14" s="505"/>
      <c r="K14" s="505"/>
      <c r="L14" s="505"/>
      <c r="M14" s="505"/>
      <c r="N14" s="505"/>
      <c r="O14" s="505"/>
      <c r="P14" s="505"/>
      <c r="Q14" s="240"/>
      <c r="AQ14" s="235"/>
    </row>
    <row r="15" spans="1:43" ht="15" customHeight="1">
      <c r="B15" s="244"/>
      <c r="C15" s="244"/>
      <c r="D15" s="244"/>
      <c r="E15" s="244"/>
      <c r="F15" s="244"/>
      <c r="G15" s="244"/>
      <c r="H15" s="244"/>
      <c r="I15" s="244"/>
      <c r="J15" s="244"/>
      <c r="K15" s="244"/>
      <c r="L15" s="244"/>
      <c r="M15" s="244"/>
      <c r="N15" s="244"/>
      <c r="O15" s="244"/>
      <c r="P15" s="244"/>
      <c r="Q15" s="240"/>
      <c r="AQ15" s="235"/>
    </row>
    <row r="16" spans="1:43" ht="15" customHeight="1">
      <c r="B16" s="243" t="s">
        <v>322</v>
      </c>
      <c r="C16" s="243" t="s">
        <v>668</v>
      </c>
      <c r="D16" s="244"/>
      <c r="E16" s="244"/>
      <c r="F16" s="244"/>
      <c r="G16" s="244"/>
      <c r="H16" s="244"/>
      <c r="I16" s="244"/>
      <c r="J16" s="244"/>
      <c r="K16" s="244"/>
      <c r="L16" s="244"/>
      <c r="M16" s="244"/>
      <c r="N16" s="244"/>
      <c r="O16" s="244"/>
      <c r="P16" s="244"/>
      <c r="Q16" s="240">
        <f>'Incremental Rev Req'!C5</f>
        <v>20085486.222601481</v>
      </c>
      <c r="AQ16" s="235"/>
    </row>
    <row r="17" spans="1:43">
      <c r="B17" s="243" t="s">
        <v>324</v>
      </c>
      <c r="C17" s="243" t="s">
        <v>331</v>
      </c>
      <c r="Q17" s="240">
        <f>'Incremental Rev Req'!S114</f>
        <v>19913315.304724991</v>
      </c>
      <c r="AQ17" s="235"/>
    </row>
    <row r="18" spans="1:43">
      <c r="B18" s="243" t="s">
        <v>325</v>
      </c>
      <c r="C18" s="243" t="s">
        <v>417</v>
      </c>
      <c r="Q18" s="240">
        <f>'Incremental Rev Req'!T114</f>
        <v>19687250.543448798</v>
      </c>
    </row>
    <row r="19" spans="1:43">
      <c r="B19" s="243" t="s">
        <v>326</v>
      </c>
      <c r="C19" s="243" t="s">
        <v>497</v>
      </c>
      <c r="Q19" s="240">
        <f>'Incremental Rev Req'!U114</f>
        <v>19778307.231868744</v>
      </c>
    </row>
    <row r="20" spans="1:43">
      <c r="B20" s="243" t="s">
        <v>507</v>
      </c>
      <c r="C20" s="243" t="s">
        <v>669</v>
      </c>
      <c r="Q20" s="240">
        <f>'Incremental Rev Req'!V114</f>
        <v>20570586.872077931</v>
      </c>
    </row>
    <row r="21" spans="1:43">
      <c r="R21" s="267"/>
      <c r="S21" s="267"/>
      <c r="T21" s="267"/>
      <c r="AB21" s="244"/>
    </row>
    <row r="22" spans="1:43">
      <c r="A22" s="223">
        <v>4</v>
      </c>
      <c r="B22" s="506" t="s">
        <v>328</v>
      </c>
      <c r="C22" s="506"/>
      <c r="D22" s="506"/>
      <c r="E22" s="506"/>
      <c r="F22" s="506"/>
      <c r="G22" s="506"/>
      <c r="H22" s="506"/>
      <c r="I22" s="506"/>
      <c r="J22" s="506"/>
      <c r="K22" s="506"/>
      <c r="L22" s="506"/>
      <c r="M22" s="506"/>
      <c r="N22" s="506"/>
      <c r="O22" s="506"/>
      <c r="R22" s="269" t="s">
        <v>329</v>
      </c>
      <c r="S22" s="233"/>
      <c r="AQ22" s="238"/>
    </row>
    <row r="23" spans="1:43">
      <c r="B23" s="268"/>
      <c r="C23" s="243" t="s">
        <v>692</v>
      </c>
      <c r="D23" s="268"/>
      <c r="E23" s="268"/>
      <c r="F23" s="268"/>
      <c r="G23" s="268"/>
      <c r="H23" s="268"/>
      <c r="I23" s="268"/>
      <c r="J23" s="268"/>
      <c r="K23" s="268"/>
      <c r="L23" s="268"/>
      <c r="M23" s="268"/>
      <c r="N23" s="268"/>
      <c r="O23" s="268"/>
      <c r="R23" s="270">
        <v>35.044149105717644</v>
      </c>
      <c r="S23" s="233"/>
      <c r="AQ23" s="238"/>
    </row>
    <row r="24" spans="1:43">
      <c r="B24" s="243" t="s">
        <v>322</v>
      </c>
      <c r="C24" s="243" t="str">
        <f>C16</f>
        <v>Current 2026</v>
      </c>
      <c r="D24" s="268"/>
      <c r="E24" s="268"/>
      <c r="F24" s="268"/>
      <c r="G24" s="268"/>
      <c r="H24" s="268"/>
      <c r="I24" s="268"/>
      <c r="J24" s="268"/>
      <c r="K24" s="268"/>
      <c r="L24" s="268"/>
      <c r="M24" s="268"/>
      <c r="N24" s="268"/>
      <c r="O24" s="268"/>
      <c r="R24" s="270">
        <v>32.340654762006949</v>
      </c>
      <c r="S24" s="233"/>
      <c r="T24" s="270"/>
      <c r="AQ24" s="238"/>
    </row>
    <row r="25" spans="1:43">
      <c r="B25" s="243" t="s">
        <v>324</v>
      </c>
      <c r="C25" s="243" t="str">
        <f>C17</f>
        <v>YE 2026</v>
      </c>
      <c r="R25" s="270">
        <v>32.357589922083697</v>
      </c>
      <c r="S25" s="270"/>
      <c r="T25" s="270"/>
      <c r="AQ25" s="238"/>
    </row>
    <row r="26" spans="1:43">
      <c r="B26" s="243" t="s">
        <v>325</v>
      </c>
      <c r="C26" s="243" t="str">
        <f>C18</f>
        <v>YE 2027</v>
      </c>
      <c r="R26" s="270">
        <v>35.135847449150845</v>
      </c>
      <c r="S26" s="270"/>
      <c r="T26" s="270"/>
      <c r="AQ26" s="238"/>
    </row>
    <row r="27" spans="1:43">
      <c r="B27" s="243" t="s">
        <v>326</v>
      </c>
      <c r="C27" s="243" t="str">
        <f>C19</f>
        <v>YE 2028</v>
      </c>
      <c r="R27" s="270">
        <v>34.590793147410039</v>
      </c>
      <c r="S27" s="270"/>
      <c r="T27" s="270"/>
      <c r="AQ27" s="238"/>
    </row>
    <row r="28" spans="1:43">
      <c r="B28" s="243" t="s">
        <v>507</v>
      </c>
      <c r="C28" s="243" t="str">
        <f>C20</f>
        <v>YE 2029</v>
      </c>
      <c r="R28" s="270">
        <v>35.700821815532585</v>
      </c>
      <c r="S28" s="270"/>
      <c r="T28" s="270"/>
    </row>
    <row r="30" spans="1:43">
      <c r="A30" s="223">
        <v>5</v>
      </c>
      <c r="B30" s="268" t="s">
        <v>330</v>
      </c>
      <c r="S30" s="269" t="s">
        <v>47</v>
      </c>
      <c r="T30" s="269" t="s">
        <v>48</v>
      </c>
    </row>
    <row r="31" spans="1:43">
      <c r="B31" s="268"/>
      <c r="C31" s="243" t="s">
        <v>692</v>
      </c>
      <c r="S31" s="271">
        <v>208.62140630892239</v>
      </c>
      <c r="T31" s="271">
        <v>125.0541398740275</v>
      </c>
    </row>
    <row r="32" spans="1:43">
      <c r="B32" s="243" t="s">
        <v>322</v>
      </c>
      <c r="C32" s="243" t="str">
        <f>C24</f>
        <v>Current 2026</v>
      </c>
      <c r="S32" s="271">
        <v>197.51206594561299</v>
      </c>
      <c r="T32" s="271">
        <v>111.38709145750688</v>
      </c>
      <c r="V32" s="272"/>
      <c r="W32" s="272"/>
    </row>
    <row r="33" spans="1:46">
      <c r="B33" s="243" t="s">
        <v>324</v>
      </c>
      <c r="C33" s="243" t="str">
        <f>C17</f>
        <v>YE 2026</v>
      </c>
      <c r="D33" s="243"/>
      <c r="E33" s="243"/>
      <c r="F33" s="243"/>
      <c r="G33" s="243"/>
      <c r="H33" s="243"/>
      <c r="S33" s="271">
        <v>199.48717847856128</v>
      </c>
      <c r="T33" s="271">
        <v>112.61379558434089</v>
      </c>
      <c r="V33" s="272"/>
      <c r="W33" s="272"/>
      <c r="X33" s="272"/>
      <c r="Y33" s="272"/>
    </row>
    <row r="34" spans="1:46">
      <c r="B34" s="243" t="s">
        <v>325</v>
      </c>
      <c r="C34" s="243" t="str">
        <f>C18</f>
        <v>YE 2027</v>
      </c>
      <c r="D34" s="243"/>
      <c r="E34" s="243"/>
      <c r="F34" s="243"/>
      <c r="G34" s="243"/>
      <c r="H34" s="243"/>
      <c r="S34" s="271">
        <v>213.11215211807919</v>
      </c>
      <c r="T34" s="271">
        <v>121.076002730914</v>
      </c>
      <c r="V34" s="272"/>
      <c r="W34" s="272"/>
    </row>
    <row r="35" spans="1:46">
      <c r="B35" s="243" t="s">
        <v>326</v>
      </c>
      <c r="C35" s="243" t="str">
        <f>C19</f>
        <v>YE 2028</v>
      </c>
      <c r="D35" s="243"/>
      <c r="E35" s="243"/>
      <c r="F35" s="243"/>
      <c r="G35" s="243"/>
      <c r="H35" s="243"/>
      <c r="S35" s="271">
        <v>212.65106265340418</v>
      </c>
      <c r="T35" s="271">
        <v>120.78962899791343</v>
      </c>
      <c r="V35" s="272"/>
      <c r="W35" s="272"/>
    </row>
    <row r="36" spans="1:46">
      <c r="B36" s="243" t="s">
        <v>507</v>
      </c>
      <c r="C36" s="243" t="str">
        <f>C20</f>
        <v>YE 2029</v>
      </c>
      <c r="D36" s="243"/>
      <c r="E36" s="243"/>
      <c r="F36" s="243"/>
      <c r="G36" s="243"/>
      <c r="H36" s="243"/>
      <c r="S36" s="271">
        <v>219.19425973112868</v>
      </c>
      <c r="T36" s="271">
        <v>124.85348192985316</v>
      </c>
      <c r="V36" s="272"/>
      <c r="W36" s="272"/>
    </row>
    <row r="38" spans="1:46">
      <c r="A38" s="223">
        <v>6</v>
      </c>
      <c r="B38" s="268" t="s">
        <v>383</v>
      </c>
      <c r="C38" s="268"/>
      <c r="D38" s="268"/>
      <c r="E38" s="268"/>
      <c r="F38" s="268"/>
      <c r="G38" s="268"/>
      <c r="H38" s="268"/>
      <c r="I38" s="268"/>
      <c r="J38" s="268"/>
      <c r="K38" s="268"/>
      <c r="R38" s="269" t="s">
        <v>329</v>
      </c>
      <c r="S38" s="233"/>
      <c r="AS38" s="245"/>
      <c r="AT38" s="245"/>
    </row>
    <row r="39" spans="1:46">
      <c r="B39" s="268"/>
      <c r="C39" s="243" t="s">
        <v>692</v>
      </c>
      <c r="D39" s="268"/>
      <c r="E39" s="268"/>
      <c r="F39" s="268"/>
      <c r="G39" s="268"/>
      <c r="H39" s="268"/>
      <c r="I39" s="268"/>
      <c r="J39" s="268"/>
      <c r="K39" s="268"/>
      <c r="R39" s="270">
        <v>43.486730990940728</v>
      </c>
      <c r="S39" s="233"/>
      <c r="AS39" s="245"/>
      <c r="AT39" s="245"/>
    </row>
    <row r="40" spans="1:46">
      <c r="B40" s="243" t="s">
        <v>322</v>
      </c>
      <c r="C40" s="243" t="str">
        <f>C16</f>
        <v>Current 2026</v>
      </c>
      <c r="D40" s="268"/>
      <c r="E40" s="268"/>
      <c r="F40" s="268"/>
      <c r="G40" s="268"/>
      <c r="H40" s="268"/>
      <c r="I40" s="268"/>
      <c r="J40" s="268"/>
      <c r="K40" s="268"/>
      <c r="L40" s="268"/>
      <c r="M40" s="268"/>
      <c r="N40" s="268"/>
      <c r="O40" s="268"/>
      <c r="R40" s="270">
        <v>40.73713053702604</v>
      </c>
      <c r="S40" s="233"/>
      <c r="T40" s="270"/>
      <c r="AQ40" s="238"/>
    </row>
    <row r="41" spans="1:46">
      <c r="B41" s="243" t="s">
        <v>324</v>
      </c>
      <c r="C41" s="243" t="str">
        <f>C17</f>
        <v>YE 2026</v>
      </c>
      <c r="R41" s="270">
        <v>40.202787200808629</v>
      </c>
      <c r="S41" s="270"/>
      <c r="T41" s="270"/>
      <c r="AS41" s="245"/>
      <c r="AT41" s="245"/>
    </row>
    <row r="42" spans="1:46">
      <c r="B42" s="243" t="s">
        <v>325</v>
      </c>
      <c r="C42" s="243" t="str">
        <f>C18</f>
        <v>YE 2027</v>
      </c>
      <c r="R42" s="270">
        <v>43.017848238592499</v>
      </c>
      <c r="S42" s="270"/>
      <c r="T42" s="270"/>
      <c r="AS42" s="245"/>
      <c r="AT42" s="245"/>
    </row>
    <row r="43" spans="1:46">
      <c r="B43" s="243" t="s">
        <v>326</v>
      </c>
      <c r="C43" s="243" t="str">
        <f>C19</f>
        <v>YE 2028</v>
      </c>
      <c r="R43" s="270">
        <v>42.977661721816737</v>
      </c>
      <c r="S43" s="270"/>
      <c r="T43" s="270"/>
      <c r="AS43" s="245"/>
      <c r="AT43" s="245"/>
    </row>
    <row r="44" spans="1:46">
      <c r="B44" s="243" t="s">
        <v>507</v>
      </c>
      <c r="C44" s="243" t="str">
        <f>C20</f>
        <v>YE 2029</v>
      </c>
      <c r="R44" s="270">
        <v>44.510834997858886</v>
      </c>
      <c r="S44" s="270"/>
      <c r="T44" s="270"/>
    </row>
    <row r="46" spans="1:46">
      <c r="A46" s="223">
        <v>7</v>
      </c>
      <c r="B46" s="268" t="s">
        <v>384</v>
      </c>
      <c r="S46" s="273" t="s">
        <v>345</v>
      </c>
      <c r="T46" s="273" t="s">
        <v>344</v>
      </c>
      <c r="U46" s="273" t="s">
        <v>342</v>
      </c>
    </row>
    <row r="47" spans="1:46" ht="19">
      <c r="B47" s="268"/>
      <c r="C47" s="243" t="s">
        <v>693</v>
      </c>
      <c r="S47" s="271">
        <v>362.92926720824562</v>
      </c>
      <c r="T47" s="271">
        <v>585.40722965806845</v>
      </c>
      <c r="U47" s="271">
        <v>1307.8180131546308</v>
      </c>
    </row>
    <row r="48" spans="1:46">
      <c r="B48" s="243" t="s">
        <v>322</v>
      </c>
      <c r="C48" s="243" t="str">
        <f>C16</f>
        <v>Current 2026</v>
      </c>
      <c r="D48" s="268"/>
      <c r="E48" s="268"/>
      <c r="F48" s="268"/>
      <c r="G48" s="268"/>
      <c r="H48" s="268"/>
      <c r="I48" s="268"/>
      <c r="J48" s="268"/>
      <c r="K48" s="268"/>
      <c r="L48" s="268"/>
      <c r="M48" s="268"/>
      <c r="N48" s="268"/>
      <c r="O48" s="268"/>
      <c r="R48" s="233"/>
      <c r="S48" s="271">
        <v>334.91938291666673</v>
      </c>
      <c r="T48" s="271">
        <v>539.86548625000012</v>
      </c>
      <c r="U48" s="271">
        <v>1205.5716629166666</v>
      </c>
      <c r="W48" s="272"/>
      <c r="X48" s="272"/>
      <c r="Y48" s="272"/>
      <c r="AQ48" s="238"/>
    </row>
    <row r="49" spans="1:47">
      <c r="B49" s="243" t="s">
        <v>324</v>
      </c>
      <c r="C49" s="243" t="str">
        <f>C17</f>
        <v>YE 2026</v>
      </c>
      <c r="S49" s="271">
        <v>335.0622367790366</v>
      </c>
      <c r="T49" s="271">
        <v>540.09775475483127</v>
      </c>
      <c r="U49" s="271">
        <v>1206.093131905709</v>
      </c>
      <c r="W49" s="272"/>
      <c r="X49" s="272"/>
      <c r="Y49" s="272"/>
      <c r="Z49" s="272"/>
    </row>
    <row r="50" spans="1:47">
      <c r="B50" s="243" t="s">
        <v>325</v>
      </c>
      <c r="C50" s="243" t="str">
        <f>C18</f>
        <v>YE 2027</v>
      </c>
      <c r="S50" s="271">
        <v>357.60310076979175</v>
      </c>
      <c r="T50" s="271">
        <v>576.74732579114482</v>
      </c>
      <c r="U50" s="271">
        <v>1288.3755522925001</v>
      </c>
      <c r="W50" s="272"/>
      <c r="X50" s="272"/>
      <c r="Y50" s="272"/>
    </row>
    <row r="51" spans="1:47">
      <c r="B51" s="243" t="s">
        <v>326</v>
      </c>
      <c r="C51" s="243" t="str">
        <f>C19</f>
        <v>YE 2028</v>
      </c>
      <c r="S51" s="271">
        <v>357.81128398109763</v>
      </c>
      <c r="T51" s="271">
        <v>577.08581438654414</v>
      </c>
      <c r="U51" s="271">
        <v>1289.1354973645768</v>
      </c>
      <c r="W51" s="272"/>
      <c r="X51" s="272"/>
      <c r="Y51" s="272"/>
    </row>
    <row r="52" spans="1:47">
      <c r="B52" s="243" t="s">
        <v>507</v>
      </c>
      <c r="C52" s="243" t="str">
        <f>C20</f>
        <v>YE 2029</v>
      </c>
      <c r="S52" s="271">
        <v>370.38058430857694</v>
      </c>
      <c r="T52" s="271">
        <v>597.52245183831371</v>
      </c>
      <c r="U52" s="271">
        <v>1335.0180533277228</v>
      </c>
      <c r="W52" s="272"/>
      <c r="X52" s="272"/>
      <c r="Y52" s="272"/>
    </row>
    <row r="54" spans="1:47">
      <c r="A54" s="223">
        <v>8</v>
      </c>
      <c r="B54" s="268" t="s">
        <v>681</v>
      </c>
      <c r="C54" s="268"/>
      <c r="D54" s="268"/>
      <c r="E54" s="268"/>
      <c r="F54" s="268"/>
      <c r="G54" s="268"/>
      <c r="H54" s="268"/>
      <c r="I54" s="268"/>
      <c r="J54" s="268"/>
      <c r="K54" s="268"/>
      <c r="R54" s="269" t="s">
        <v>329</v>
      </c>
      <c r="S54" s="233"/>
      <c r="AS54" s="245"/>
      <c r="AT54" s="245"/>
    </row>
    <row r="55" spans="1:47">
      <c r="B55" s="268"/>
      <c r="C55" s="243" t="s">
        <v>692</v>
      </c>
      <c r="R55" s="270">
        <v>38.613920778268493</v>
      </c>
      <c r="S55" s="233"/>
      <c r="AS55" s="245"/>
      <c r="AT55" s="245"/>
    </row>
    <row r="56" spans="1:47">
      <c r="B56" s="243" t="s">
        <v>322</v>
      </c>
      <c r="C56" s="243" t="str">
        <f>C32</f>
        <v>Current 2026</v>
      </c>
      <c r="D56" s="268"/>
      <c r="E56" s="268"/>
      <c r="F56" s="268"/>
      <c r="G56" s="268"/>
      <c r="H56" s="268"/>
      <c r="I56" s="268"/>
      <c r="J56" s="268"/>
      <c r="K56" s="268"/>
      <c r="L56" s="268"/>
      <c r="M56" s="268"/>
      <c r="N56" s="268"/>
      <c r="O56" s="268"/>
      <c r="R56" s="270">
        <v>35.462275720449355</v>
      </c>
      <c r="S56" s="233"/>
      <c r="T56" s="270"/>
      <c r="AQ56" s="238"/>
    </row>
    <row r="57" spans="1:47">
      <c r="B57" s="243" t="s">
        <v>324</v>
      </c>
      <c r="C57" s="243" t="str">
        <f>C33</f>
        <v>YE 2026</v>
      </c>
      <c r="R57" s="270">
        <v>34.641041918871522</v>
      </c>
      <c r="S57" s="270"/>
      <c r="T57" s="270"/>
      <c r="AS57" s="245"/>
      <c r="AT57" s="245"/>
    </row>
    <row r="58" spans="1:47">
      <c r="B58" s="243" t="s">
        <v>325</v>
      </c>
      <c r="C58" s="243" t="str">
        <f>C34</f>
        <v>YE 2027</v>
      </c>
      <c r="R58" s="270">
        <v>37.914920379464967</v>
      </c>
      <c r="S58" s="270"/>
      <c r="T58" s="270"/>
      <c r="AS58" s="245"/>
      <c r="AT58" s="245"/>
    </row>
    <row r="59" spans="1:47">
      <c r="B59" s="243" t="s">
        <v>326</v>
      </c>
      <c r="C59" s="243" t="str">
        <f>C35</f>
        <v>YE 2028</v>
      </c>
      <c r="R59" s="270">
        <v>37.260315609121193</v>
      </c>
      <c r="S59" s="270"/>
      <c r="T59" s="270"/>
      <c r="AS59" s="245"/>
      <c r="AT59" s="245"/>
    </row>
    <row r="60" spans="1:47">
      <c r="B60" s="243" t="s">
        <v>507</v>
      </c>
      <c r="C60" s="243" t="str">
        <f>C36</f>
        <v>YE 2029</v>
      </c>
      <c r="R60" s="270">
        <v>38.284269416670554</v>
      </c>
      <c r="S60" s="270"/>
      <c r="T60" s="270"/>
    </row>
    <row r="61" spans="1:47">
      <c r="AS61" s="245"/>
      <c r="AT61" s="245"/>
      <c r="AU61" s="245"/>
    </row>
    <row r="62" spans="1:47">
      <c r="A62" s="223">
        <v>9</v>
      </c>
      <c r="B62" s="268" t="s">
        <v>682</v>
      </c>
      <c r="C62" s="268"/>
      <c r="D62" s="268"/>
      <c r="E62" s="268"/>
      <c r="F62" s="268"/>
      <c r="G62" s="268"/>
      <c r="H62" s="268"/>
      <c r="I62" s="268"/>
      <c r="J62" s="268"/>
      <c r="K62" s="268"/>
      <c r="R62" s="269" t="s">
        <v>329</v>
      </c>
      <c r="S62" s="233"/>
      <c r="AS62" s="245"/>
      <c r="AT62" s="245"/>
    </row>
    <row r="63" spans="1:47">
      <c r="B63" s="268"/>
      <c r="C63" s="243" t="s">
        <v>692</v>
      </c>
      <c r="R63" s="270">
        <v>33.462944293033829</v>
      </c>
      <c r="S63" s="233"/>
      <c r="AS63" s="245"/>
      <c r="AT63" s="245"/>
    </row>
    <row r="64" spans="1:47">
      <c r="B64" s="243" t="s">
        <v>322</v>
      </c>
      <c r="C64" s="243" t="str">
        <f>C40</f>
        <v>Current 2026</v>
      </c>
      <c r="D64" s="268"/>
      <c r="E64" s="268"/>
      <c r="F64" s="268"/>
      <c r="G64" s="268"/>
      <c r="H64" s="268"/>
      <c r="I64" s="268"/>
      <c r="J64" s="268"/>
      <c r="K64" s="268"/>
      <c r="L64" s="268"/>
      <c r="M64" s="268"/>
      <c r="N64" s="268"/>
      <c r="O64" s="268"/>
      <c r="R64" s="270">
        <v>31.167326702554444</v>
      </c>
      <c r="S64" s="233"/>
      <c r="T64" s="270"/>
      <c r="AQ64" s="238"/>
    </row>
    <row r="65" spans="2:47">
      <c r="B65" s="243" t="s">
        <v>324</v>
      </c>
      <c r="C65" s="243" t="str">
        <f>C41</f>
        <v>YE 2026</v>
      </c>
      <c r="R65" s="270">
        <v>30.007756351376337</v>
      </c>
      <c r="S65" s="270"/>
      <c r="T65" s="270"/>
      <c r="AS65" s="245"/>
      <c r="AT65" s="245"/>
    </row>
    <row r="66" spans="2:47">
      <c r="B66" s="243" t="s">
        <v>325</v>
      </c>
      <c r="C66" s="243" t="str">
        <f>C42</f>
        <v>YE 2027</v>
      </c>
      <c r="R66" s="270">
        <v>33.264047457559975</v>
      </c>
      <c r="S66" s="270"/>
      <c r="T66" s="270"/>
      <c r="AS66" s="245"/>
      <c r="AT66" s="245"/>
    </row>
    <row r="67" spans="2:47">
      <c r="B67" s="243" t="s">
        <v>326</v>
      </c>
      <c r="C67" s="243" t="str">
        <f>C43</f>
        <v>YE 2028</v>
      </c>
      <c r="R67" s="270">
        <v>32.549176663835603</v>
      </c>
      <c r="S67" s="270"/>
      <c r="T67" s="270"/>
      <c r="AS67" s="245"/>
      <c r="AT67" s="245"/>
    </row>
    <row r="68" spans="2:47">
      <c r="B68" s="243" t="s">
        <v>507</v>
      </c>
      <c r="C68" s="243" t="str">
        <f>C44</f>
        <v>YE 2029</v>
      </c>
      <c r="R68" s="270">
        <v>33.380568366621063</v>
      </c>
      <c r="S68" s="270"/>
      <c r="T68" s="270"/>
    </row>
    <row r="69" spans="2:47">
      <c r="B69" s="243"/>
      <c r="C69" s="243"/>
      <c r="R69" s="270"/>
      <c r="S69" s="270"/>
    </row>
    <row r="70" spans="2:47">
      <c r="B70" t="s">
        <v>655</v>
      </c>
      <c r="AS70" s="245"/>
      <c r="AT70" s="245"/>
      <c r="AU70" s="245"/>
    </row>
    <row r="71" spans="2:47" ht="16.5">
      <c r="B71" s="274" t="s">
        <v>694</v>
      </c>
      <c r="AS71" s="245"/>
      <c r="AT71" s="245"/>
      <c r="AU71" s="245"/>
    </row>
  </sheetData>
  <mergeCells count="2">
    <mergeCell ref="B14:P14"/>
    <mergeCell ref="B22:O22"/>
  </mergeCells>
  <phoneticPr fontId="34" type="noConversion"/>
  <pageMargins left="0.7" right="0.7" top="0.75" bottom="0.75" header="0.3" footer="0.3"/>
  <pageSetup orientation="portrait" horizontalDpi="1200" verticalDpi="1200" r:id="rId1"/>
  <headerFooter>
    <oddHeader>&amp;R&amp;F</oddHeader>
    <oddFooter xml:space="preserve">&amp;C_x000D_&amp;1#&amp;"Aptos"&amp;12&amp;K000000 Public </oddFooter>
  </headerFooter>
  <ignoredErrors>
    <ignoredError sqref="Q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114A5-23CA-4D29-8133-0310149FE819}">
  <sheetPr codeName="Sheet11"/>
  <dimension ref="A1:B22"/>
  <sheetViews>
    <sheetView tabSelected="1" workbookViewId="0"/>
  </sheetViews>
  <sheetFormatPr defaultColWidth="0" defaultRowHeight="14.5" zeroHeight="1"/>
  <cols>
    <col min="1" max="1" width="150.54296875" customWidth="1"/>
    <col min="2" max="2" width="9.1796875" customWidth="1"/>
    <col min="3" max="16384" width="9.1796875" hidden="1"/>
  </cols>
  <sheetData>
    <row r="1" spans="1:1"/>
    <row r="2" spans="1:1" ht="18.5">
      <c r="A2" s="148" t="s">
        <v>508</v>
      </c>
    </row>
    <row r="3" spans="1:1">
      <c r="A3" s="149" t="s">
        <v>438</v>
      </c>
    </row>
    <row r="4" spans="1:1">
      <c r="A4" s="149" t="s">
        <v>434</v>
      </c>
    </row>
    <row r="5" spans="1:1">
      <c r="A5" s="149" t="s">
        <v>437</v>
      </c>
    </row>
    <row r="6" spans="1:1">
      <c r="A6" s="149" t="s">
        <v>557</v>
      </c>
    </row>
    <row r="7" spans="1:1" ht="39.75" customHeight="1">
      <c r="A7" s="149" t="s">
        <v>708</v>
      </c>
    </row>
    <row r="8" spans="1:1"/>
    <row r="9" spans="1:1"/>
    <row r="10" spans="1:1"/>
    <row r="11" spans="1:1"/>
    <row r="12" spans="1:1"/>
    <row r="13" spans="1:1"/>
    <row r="14" spans="1:1"/>
    <row r="15" spans="1:1"/>
    <row r="16" spans="1:1"/>
    <row r="17"/>
    <row r="18"/>
    <row r="19"/>
    <row r="20"/>
    <row r="21"/>
    <row r="22"/>
  </sheetData>
  <pageMargins left="0.7" right="0.7" top="0.75" bottom="0.75" header="0.3" footer="0.3"/>
  <pageSetup orientation="portrait" horizontalDpi="1200" verticalDpi="1200" r:id="rId1"/>
  <headerFooter>
    <oddHeader>&amp;R&amp;F</oddHeader>
    <oddFooter xml:space="preserve">&amp;C_x000D_&amp;1#&amp;"Aptos"&amp;12&amp;K000000 Public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25A53-4286-4165-B034-9FBB5A476044}">
  <sheetPr codeName="Sheet12"/>
  <dimension ref="A1:T196"/>
  <sheetViews>
    <sheetView tabSelected="1" workbookViewId="0"/>
  </sheetViews>
  <sheetFormatPr defaultColWidth="0" defaultRowHeight="14.5" zeroHeight="1"/>
  <cols>
    <col min="1" max="6" width="9.1796875" customWidth="1"/>
    <col min="7" max="7" width="13.81640625" customWidth="1"/>
    <col min="8" max="8" width="14" customWidth="1"/>
    <col min="9" max="9" width="11.26953125" customWidth="1"/>
    <col min="10" max="16" width="9.1796875" customWidth="1"/>
    <col min="17" max="17" width="11.26953125" customWidth="1"/>
    <col min="18" max="18" width="52.81640625" customWidth="1"/>
    <col min="19" max="20" width="0" hidden="1" customWidth="1"/>
    <col min="21" max="16384" width="9.1796875" hidden="1"/>
  </cols>
  <sheetData>
    <row r="1" spans="1:12" ht="21">
      <c r="A1" s="171" t="s">
        <v>510</v>
      </c>
      <c r="B1" s="172"/>
      <c r="C1" s="172"/>
      <c r="D1" s="172"/>
      <c r="E1" s="172"/>
      <c r="F1" s="172"/>
      <c r="G1" s="172"/>
      <c r="H1" s="172"/>
      <c r="I1" s="172"/>
      <c r="J1" s="172"/>
      <c r="K1" s="172"/>
      <c r="L1" s="172"/>
    </row>
    <row r="2" spans="1:12">
      <c r="A2" s="172"/>
      <c r="B2" s="172"/>
      <c r="C2" s="172"/>
      <c r="D2" s="172"/>
      <c r="E2" s="172"/>
      <c r="F2" s="172"/>
      <c r="G2" s="172"/>
      <c r="H2" s="172"/>
      <c r="I2" s="172"/>
      <c r="J2" s="172"/>
      <c r="K2" s="172"/>
      <c r="L2" s="172"/>
    </row>
    <row r="3" spans="1:12">
      <c r="A3" s="172"/>
      <c r="B3" s="172"/>
      <c r="C3" s="172"/>
      <c r="D3" s="172"/>
      <c r="E3" s="172"/>
      <c r="F3" s="172"/>
      <c r="G3" s="172"/>
      <c r="H3" s="172"/>
      <c r="I3" s="172"/>
      <c r="J3" s="172"/>
      <c r="K3" s="172"/>
      <c r="L3" s="172"/>
    </row>
    <row r="4" spans="1:12">
      <c r="A4" s="172"/>
      <c r="B4" s="172" t="s">
        <v>511</v>
      </c>
      <c r="C4" s="172"/>
      <c r="D4" s="172"/>
      <c r="E4" s="172"/>
      <c r="F4" s="172"/>
      <c r="G4" s="172"/>
      <c r="H4" s="172"/>
      <c r="I4" s="172"/>
      <c r="J4" s="172"/>
      <c r="K4" s="172"/>
      <c r="L4" s="172"/>
    </row>
    <row r="5" spans="1:12">
      <c r="A5" s="172"/>
      <c r="B5" s="173" t="s">
        <v>512</v>
      </c>
      <c r="C5" s="172"/>
      <c r="D5" s="172"/>
      <c r="E5" s="172"/>
      <c r="F5" s="172"/>
      <c r="G5" s="172"/>
      <c r="H5" s="172"/>
      <c r="I5" s="172"/>
      <c r="J5" s="172"/>
      <c r="K5" s="172"/>
      <c r="L5" s="172"/>
    </row>
    <row r="6" spans="1:12">
      <c r="A6" s="172"/>
      <c r="B6" s="172" t="s">
        <v>513</v>
      </c>
      <c r="C6" s="172"/>
      <c r="D6" s="172"/>
      <c r="E6" s="172"/>
      <c r="F6" s="172"/>
      <c r="G6" s="172"/>
      <c r="H6" s="172"/>
      <c r="I6" s="172"/>
      <c r="J6" s="172"/>
      <c r="K6" s="172"/>
      <c r="L6" s="172"/>
    </row>
    <row r="7" spans="1:12">
      <c r="A7" s="172"/>
      <c r="B7" s="172"/>
      <c r="C7" s="172"/>
      <c r="D7" s="172"/>
      <c r="E7" s="172"/>
      <c r="F7" s="172"/>
      <c r="G7" s="172"/>
      <c r="H7" s="172"/>
      <c r="I7" s="172"/>
      <c r="J7" s="172"/>
      <c r="K7" s="172"/>
      <c r="L7" s="172"/>
    </row>
    <row r="8" spans="1:12">
      <c r="A8" s="172"/>
      <c r="B8" s="183" t="s">
        <v>515</v>
      </c>
      <c r="C8" s="172" t="s">
        <v>521</v>
      </c>
      <c r="D8" s="172"/>
      <c r="E8" s="172"/>
      <c r="F8" s="172"/>
      <c r="G8" s="172"/>
      <c r="H8" s="172"/>
      <c r="I8" s="172"/>
      <c r="J8" s="172"/>
      <c r="K8" s="172"/>
      <c r="L8" s="172"/>
    </row>
    <row r="9" spans="1:12">
      <c r="A9" s="172"/>
      <c r="B9" s="183" t="s">
        <v>516</v>
      </c>
      <c r="C9" s="172" t="s">
        <v>514</v>
      </c>
      <c r="D9" s="172"/>
      <c r="E9" s="172"/>
      <c r="F9" s="172"/>
      <c r="G9" s="172"/>
      <c r="H9" s="172"/>
      <c r="I9" s="172"/>
      <c r="J9" s="172"/>
      <c r="K9" s="172"/>
      <c r="L9" s="172"/>
    </row>
    <row r="10" spans="1:12">
      <c r="A10" s="172"/>
      <c r="B10" s="183" t="s">
        <v>517</v>
      </c>
      <c r="C10" s="172" t="s">
        <v>560</v>
      </c>
      <c r="D10" s="172"/>
      <c r="E10" s="172"/>
      <c r="F10" s="172"/>
      <c r="G10" s="172"/>
      <c r="H10" s="172"/>
      <c r="I10" s="172"/>
      <c r="J10" s="172"/>
      <c r="K10" s="172"/>
      <c r="L10" s="172"/>
    </row>
    <row r="11" spans="1:12">
      <c r="A11" s="172"/>
      <c r="B11" s="183" t="s">
        <v>518</v>
      </c>
      <c r="C11" s="172" t="s">
        <v>561</v>
      </c>
      <c r="D11" s="172"/>
      <c r="E11" s="172"/>
      <c r="F11" s="172"/>
      <c r="G11" s="172"/>
      <c r="H11" s="172"/>
      <c r="I11" s="172"/>
      <c r="J11" s="172"/>
      <c r="K11" s="172"/>
      <c r="L11" s="172"/>
    </row>
    <row r="12" spans="1:12">
      <c r="A12" s="172"/>
      <c r="B12" s="183"/>
      <c r="C12" s="172" t="s">
        <v>567</v>
      </c>
      <c r="D12" s="172"/>
      <c r="E12" s="172"/>
      <c r="F12" s="172"/>
      <c r="G12" s="172"/>
      <c r="H12" s="172"/>
      <c r="I12" s="172"/>
      <c r="J12" s="172"/>
      <c r="K12" s="172"/>
      <c r="L12" s="172"/>
    </row>
    <row r="13" spans="1:12">
      <c r="A13" s="172"/>
      <c r="B13" s="183" t="s">
        <v>519</v>
      </c>
      <c r="C13" s="172" t="s">
        <v>562</v>
      </c>
      <c r="D13" s="172"/>
      <c r="E13" s="172"/>
      <c r="F13" s="172"/>
      <c r="G13" s="172"/>
      <c r="H13" s="172"/>
      <c r="I13" s="172"/>
      <c r="J13" s="172"/>
      <c r="K13" s="172"/>
      <c r="L13" s="172"/>
    </row>
    <row r="14" spans="1:12">
      <c r="A14" s="172"/>
      <c r="B14" s="183" t="s">
        <v>520</v>
      </c>
      <c r="C14" s="172" t="s">
        <v>563</v>
      </c>
      <c r="D14" s="172"/>
      <c r="E14" s="172"/>
      <c r="F14" s="172"/>
      <c r="G14" s="172"/>
      <c r="H14" s="172"/>
      <c r="I14" s="172"/>
      <c r="J14" s="172"/>
      <c r="K14" s="172"/>
      <c r="L14" s="172"/>
    </row>
    <row r="15" spans="1:12">
      <c r="A15" s="172"/>
      <c r="B15" s="183" t="s">
        <v>558</v>
      </c>
      <c r="C15" s="172" t="s">
        <v>524</v>
      </c>
      <c r="D15" s="175"/>
      <c r="E15" s="175"/>
      <c r="F15" s="176"/>
      <c r="G15" s="177"/>
      <c r="H15" s="172"/>
      <c r="I15" s="172"/>
      <c r="J15" s="172"/>
      <c r="K15" s="172"/>
      <c r="L15" s="172"/>
    </row>
    <row r="16" spans="1:12">
      <c r="A16" s="172"/>
      <c r="B16" s="183" t="s">
        <v>559</v>
      </c>
      <c r="C16" s="174" t="s">
        <v>564</v>
      </c>
      <c r="D16" s="175"/>
      <c r="E16" s="175"/>
      <c r="F16" s="176"/>
      <c r="G16" s="177"/>
      <c r="H16" s="172"/>
      <c r="I16" s="172"/>
      <c r="J16" s="172"/>
      <c r="K16" s="172"/>
      <c r="L16" s="172"/>
    </row>
    <row r="17" spans="1:15">
      <c r="A17" s="172"/>
      <c r="B17" s="183" t="s">
        <v>565</v>
      </c>
      <c r="C17" s="174" t="s">
        <v>569</v>
      </c>
      <c r="D17" s="175"/>
      <c r="E17" s="175"/>
      <c r="F17" s="176"/>
      <c r="G17" s="177"/>
      <c r="H17" s="172"/>
      <c r="I17" s="172"/>
      <c r="J17" s="172"/>
      <c r="K17" s="172"/>
      <c r="L17" s="172"/>
    </row>
    <row r="18" spans="1:15">
      <c r="A18" s="172"/>
      <c r="B18" s="182"/>
      <c r="C18" s="174"/>
      <c r="D18" s="175"/>
      <c r="E18" s="175"/>
      <c r="F18" s="176"/>
      <c r="G18" s="177"/>
      <c r="H18" s="172"/>
      <c r="I18" s="172"/>
      <c r="J18" s="172"/>
      <c r="K18" s="172"/>
      <c r="L18" s="172"/>
    </row>
    <row r="19" spans="1:15">
      <c r="A19" s="172"/>
      <c r="B19" s="182"/>
      <c r="C19" s="178" t="s">
        <v>566</v>
      </c>
      <c r="D19" s="172"/>
      <c r="E19" s="176"/>
      <c r="F19" s="177"/>
      <c r="G19" s="179">
        <v>2</v>
      </c>
      <c r="H19" s="181">
        <v>3</v>
      </c>
      <c r="I19" s="181">
        <v>4</v>
      </c>
      <c r="J19" s="172"/>
      <c r="K19" s="172"/>
      <c r="L19" s="181"/>
    </row>
    <row r="20" spans="1:15">
      <c r="A20" s="172"/>
      <c r="B20" s="182"/>
      <c r="D20" s="172"/>
      <c r="E20" s="172"/>
      <c r="F20" s="172"/>
      <c r="G20" s="172"/>
      <c r="H20" s="172"/>
      <c r="I20" s="172"/>
      <c r="J20" s="172"/>
      <c r="K20" s="172"/>
      <c r="L20" s="172"/>
    </row>
    <row r="21" spans="1:15">
      <c r="A21" s="172"/>
      <c r="B21" s="182"/>
      <c r="C21" s="172"/>
      <c r="D21" s="172"/>
      <c r="E21" s="172"/>
      <c r="F21" s="172"/>
      <c r="G21" s="172"/>
      <c r="H21" s="172"/>
      <c r="I21" s="172"/>
      <c r="J21" s="172"/>
      <c r="K21" s="172"/>
      <c r="L21" s="172"/>
    </row>
    <row r="22" spans="1:15">
      <c r="A22" s="172"/>
      <c r="B22" s="182"/>
      <c r="C22" s="172"/>
      <c r="D22" s="172"/>
      <c r="E22" s="172"/>
      <c r="F22" s="172"/>
      <c r="G22" s="172"/>
      <c r="H22" s="172"/>
      <c r="I22" s="172"/>
      <c r="J22" s="172"/>
      <c r="K22" s="172"/>
      <c r="L22" s="172"/>
      <c r="O22" s="181">
        <v>5</v>
      </c>
    </row>
    <row r="23" spans="1:15">
      <c r="A23" s="172"/>
      <c r="B23" s="182"/>
      <c r="C23" s="172"/>
      <c r="D23" s="172"/>
      <c r="E23" s="172"/>
      <c r="F23" s="172"/>
      <c r="G23" s="172"/>
      <c r="H23" s="172"/>
      <c r="I23" s="172"/>
      <c r="J23" s="172"/>
      <c r="K23" s="172"/>
      <c r="L23" s="172"/>
      <c r="O23" s="181">
        <v>6</v>
      </c>
    </row>
    <row r="24" spans="1:15">
      <c r="A24" s="172"/>
      <c r="B24" s="182"/>
      <c r="C24" s="172"/>
      <c r="D24" s="172"/>
      <c r="E24" s="172"/>
      <c r="F24" s="172"/>
      <c r="G24" s="172"/>
      <c r="H24" s="172"/>
      <c r="I24" s="172"/>
      <c r="J24" s="172"/>
      <c r="K24" s="172"/>
      <c r="L24" s="172"/>
    </row>
    <row r="25" spans="1:15">
      <c r="A25" s="172"/>
      <c r="B25" s="182"/>
      <c r="C25" s="172"/>
      <c r="D25" s="172"/>
      <c r="E25" s="172"/>
      <c r="F25" s="172"/>
      <c r="G25" s="172"/>
      <c r="H25" s="172"/>
      <c r="I25" s="172"/>
      <c r="J25" s="172"/>
      <c r="K25" s="172"/>
      <c r="L25" s="172"/>
    </row>
    <row r="26" spans="1:15">
      <c r="A26" s="172"/>
      <c r="B26" s="182"/>
      <c r="C26" s="172"/>
      <c r="D26" s="172"/>
      <c r="E26" s="172"/>
      <c r="F26" s="172"/>
      <c r="G26" s="172"/>
      <c r="H26" s="172"/>
      <c r="I26" s="172"/>
      <c r="J26" s="172"/>
      <c r="K26" s="172"/>
      <c r="L26" s="172"/>
    </row>
    <row r="27" spans="1:15">
      <c r="A27" s="172"/>
      <c r="B27" s="182"/>
      <c r="C27" s="172"/>
      <c r="D27" s="172"/>
      <c r="E27" s="172"/>
      <c r="F27" s="172"/>
      <c r="G27" s="172"/>
      <c r="H27" s="172"/>
      <c r="I27" s="172"/>
      <c r="J27" s="172"/>
      <c r="K27" s="172"/>
      <c r="L27" s="172"/>
    </row>
    <row r="28" spans="1:15">
      <c r="A28" s="172"/>
      <c r="B28" s="182"/>
      <c r="C28" s="172"/>
      <c r="D28" s="172"/>
      <c r="E28" s="172"/>
      <c r="F28" s="172"/>
      <c r="G28" s="172"/>
      <c r="H28" s="172"/>
      <c r="I28" s="172"/>
      <c r="J28" s="172"/>
      <c r="K28" s="172"/>
      <c r="L28" s="172"/>
    </row>
    <row r="29" spans="1:15">
      <c r="A29" s="172"/>
      <c r="B29" s="182"/>
      <c r="C29" s="172"/>
      <c r="D29" s="172"/>
      <c r="E29" s="172"/>
      <c r="F29" s="172"/>
      <c r="G29" s="172"/>
      <c r="H29" s="172"/>
      <c r="I29" s="172"/>
      <c r="J29" s="172"/>
      <c r="K29" s="172"/>
      <c r="L29" s="172"/>
    </row>
    <row r="30" spans="1:15">
      <c r="A30" s="172"/>
      <c r="B30" s="182"/>
      <c r="C30" s="172"/>
      <c r="D30" s="172"/>
      <c r="E30" s="172"/>
      <c r="F30" s="172"/>
      <c r="G30" s="172"/>
      <c r="H30" s="172"/>
      <c r="I30" s="172"/>
      <c r="J30" s="172"/>
      <c r="K30" s="172"/>
      <c r="L30" s="172"/>
    </row>
    <row r="31" spans="1:15">
      <c r="A31" s="172"/>
      <c r="B31" s="182"/>
      <c r="C31" s="172"/>
      <c r="D31" s="172"/>
      <c r="E31" s="172"/>
      <c r="F31" s="172"/>
      <c r="G31" s="172"/>
      <c r="H31" s="172"/>
      <c r="I31" s="172"/>
      <c r="J31" s="172"/>
      <c r="K31" s="172"/>
      <c r="L31" s="172"/>
    </row>
    <row r="32" spans="1:15">
      <c r="A32" s="172"/>
      <c r="B32" s="182"/>
      <c r="C32" s="172"/>
      <c r="D32" s="172"/>
      <c r="E32" s="172"/>
      <c r="F32" s="172"/>
      <c r="G32" s="172"/>
      <c r="H32" s="172"/>
      <c r="I32" s="172"/>
      <c r="J32" s="172"/>
      <c r="K32" s="172"/>
      <c r="L32" s="172"/>
    </row>
    <row r="33" spans="1:12">
      <c r="A33" s="172"/>
      <c r="B33" s="182"/>
      <c r="C33" s="172"/>
      <c r="D33" s="172"/>
      <c r="E33" s="172"/>
      <c r="F33" s="172"/>
      <c r="G33" s="172"/>
      <c r="H33" s="172"/>
      <c r="I33" s="172"/>
      <c r="J33" s="172"/>
      <c r="K33" s="172"/>
      <c r="L33" s="172"/>
    </row>
    <row r="34" spans="1:12">
      <c r="A34" s="172"/>
      <c r="B34" s="182"/>
      <c r="C34" s="172"/>
      <c r="D34" s="172"/>
      <c r="E34" s="172"/>
      <c r="F34" s="172"/>
      <c r="G34" s="172"/>
      <c r="H34" s="172"/>
      <c r="I34" s="172"/>
      <c r="J34" s="172"/>
      <c r="K34" s="172"/>
      <c r="L34" s="172"/>
    </row>
    <row r="35" spans="1:12">
      <c r="A35" s="172"/>
      <c r="B35" s="182"/>
      <c r="C35" s="172"/>
      <c r="D35" s="172"/>
      <c r="E35" s="172"/>
      <c r="F35" s="172"/>
      <c r="G35" s="172"/>
      <c r="H35" s="172"/>
      <c r="I35" s="172"/>
      <c r="J35" s="172"/>
      <c r="K35" s="172"/>
      <c r="L35" s="172"/>
    </row>
    <row r="36" spans="1:12">
      <c r="A36" s="172"/>
      <c r="B36" s="182"/>
      <c r="C36" s="172"/>
      <c r="D36" s="172"/>
      <c r="E36" s="172"/>
      <c r="F36" s="172"/>
      <c r="G36" s="172"/>
      <c r="H36" s="172"/>
      <c r="I36" s="172"/>
      <c r="J36" s="172"/>
      <c r="K36" s="172"/>
      <c r="L36" s="172"/>
    </row>
    <row r="37" spans="1:12">
      <c r="A37" s="172"/>
      <c r="B37" s="182"/>
      <c r="C37" s="172"/>
      <c r="D37" s="172"/>
      <c r="E37" s="172"/>
      <c r="F37" s="172"/>
      <c r="G37" s="172"/>
      <c r="H37" s="172"/>
      <c r="I37" s="172"/>
      <c r="J37" s="172"/>
      <c r="K37" s="172"/>
      <c r="L37" s="172"/>
    </row>
    <row r="38" spans="1:12">
      <c r="A38" s="172"/>
      <c r="B38" s="182"/>
      <c r="C38" s="172"/>
      <c r="D38" s="172"/>
      <c r="E38" s="172"/>
      <c r="F38" s="172"/>
      <c r="G38" s="172"/>
      <c r="H38" s="172"/>
      <c r="I38" s="172"/>
      <c r="J38" s="172"/>
      <c r="K38" s="172"/>
      <c r="L38" s="172"/>
    </row>
    <row r="39" spans="1:12">
      <c r="A39" s="172"/>
      <c r="B39" s="182"/>
      <c r="C39" s="172"/>
      <c r="D39" s="172"/>
      <c r="E39" s="172"/>
      <c r="F39" s="172"/>
      <c r="G39" s="172"/>
      <c r="H39" s="172"/>
      <c r="I39" s="172"/>
      <c r="J39" s="172"/>
      <c r="K39" s="172"/>
      <c r="L39" s="172"/>
    </row>
    <row r="40" spans="1:12">
      <c r="A40" s="172"/>
      <c r="B40" s="182"/>
      <c r="C40" s="172"/>
      <c r="D40" s="172"/>
      <c r="E40" s="172"/>
      <c r="F40" s="172"/>
      <c r="G40" s="172"/>
      <c r="H40" s="172"/>
      <c r="I40" s="172"/>
      <c r="J40" s="172"/>
      <c r="K40" s="172"/>
      <c r="L40" s="172"/>
    </row>
    <row r="41" spans="1:12">
      <c r="A41" s="172"/>
      <c r="B41" s="182"/>
      <c r="C41" s="172"/>
      <c r="D41" s="172"/>
      <c r="E41" s="172"/>
      <c r="F41" s="172"/>
      <c r="G41" s="172"/>
      <c r="H41" s="172"/>
      <c r="I41" s="172"/>
      <c r="J41" s="172"/>
      <c r="K41" s="172"/>
      <c r="L41" s="172"/>
    </row>
    <row r="42" spans="1:12">
      <c r="A42" s="172"/>
      <c r="B42" s="182"/>
      <c r="C42" s="199" t="s">
        <v>568</v>
      </c>
      <c r="D42" s="172"/>
      <c r="E42" s="172"/>
      <c r="F42" s="172"/>
      <c r="G42" s="172"/>
      <c r="H42" s="172"/>
      <c r="I42" s="172"/>
      <c r="J42" s="172"/>
      <c r="K42" s="172"/>
      <c r="L42" s="172"/>
    </row>
    <row r="43" spans="1:12">
      <c r="A43" s="172"/>
      <c r="B43" s="182"/>
      <c r="C43" s="172"/>
      <c r="D43" s="172"/>
      <c r="E43" s="172"/>
      <c r="F43" s="172"/>
      <c r="G43" s="172"/>
      <c r="H43" s="172"/>
      <c r="I43" s="172"/>
      <c r="J43" s="172"/>
      <c r="K43" s="172"/>
      <c r="L43" s="172"/>
    </row>
    <row r="44" spans="1:12">
      <c r="A44" s="172"/>
      <c r="B44" s="182"/>
      <c r="C44" s="172"/>
      <c r="D44" s="172"/>
      <c r="E44" s="172"/>
      <c r="F44" s="172"/>
      <c r="G44" s="172"/>
      <c r="H44" s="172"/>
      <c r="I44" s="172"/>
      <c r="J44" s="172"/>
      <c r="K44" s="172"/>
      <c r="L44" s="172"/>
    </row>
    <row r="45" spans="1:12">
      <c r="A45" s="172"/>
      <c r="B45" s="182"/>
      <c r="C45" s="172"/>
      <c r="D45" s="172"/>
      <c r="E45" s="172"/>
      <c r="F45" s="172"/>
      <c r="G45" s="172"/>
      <c r="H45" s="172"/>
      <c r="I45" s="172"/>
      <c r="J45" s="172"/>
      <c r="K45" s="172"/>
      <c r="L45" s="172"/>
    </row>
    <row r="46" spans="1:12">
      <c r="A46" s="172"/>
      <c r="B46" s="182"/>
      <c r="C46" s="172"/>
      <c r="D46" s="172"/>
      <c r="E46" s="172"/>
      <c r="F46" s="172"/>
      <c r="G46" s="172"/>
      <c r="H46" s="172"/>
      <c r="I46" s="172"/>
      <c r="J46" s="172"/>
      <c r="K46" s="172"/>
      <c r="L46" s="172"/>
    </row>
    <row r="47" spans="1:12">
      <c r="A47" s="172"/>
      <c r="B47" s="182"/>
      <c r="C47" s="172"/>
      <c r="D47" s="172"/>
      <c r="E47" s="172"/>
      <c r="F47" s="172"/>
      <c r="G47" s="172"/>
      <c r="H47" s="172"/>
      <c r="I47" s="172"/>
      <c r="J47" s="172"/>
      <c r="K47" s="172"/>
      <c r="L47" s="172"/>
    </row>
    <row r="48" spans="1:12">
      <c r="A48" s="172"/>
      <c r="B48" s="182"/>
      <c r="C48" s="172"/>
      <c r="D48" s="172"/>
      <c r="E48" s="172"/>
      <c r="F48" s="172"/>
      <c r="G48" s="172"/>
      <c r="H48" s="172"/>
      <c r="I48" s="172"/>
      <c r="J48" s="172"/>
      <c r="K48" s="172"/>
      <c r="L48" s="172"/>
    </row>
    <row r="49" spans="1:12">
      <c r="A49" s="172"/>
      <c r="B49" s="182"/>
      <c r="C49" s="172"/>
      <c r="D49" s="172"/>
      <c r="E49" s="172"/>
      <c r="F49" s="172"/>
      <c r="G49" s="172"/>
      <c r="H49" s="172"/>
      <c r="I49" s="172"/>
      <c r="J49" s="172"/>
      <c r="K49" s="172"/>
      <c r="L49" s="172"/>
    </row>
    <row r="50" spans="1:12">
      <c r="A50" s="172"/>
      <c r="B50" s="182"/>
      <c r="C50" s="172"/>
      <c r="D50" s="172"/>
      <c r="E50" s="172"/>
      <c r="F50" s="172"/>
      <c r="G50" s="172"/>
      <c r="H50" s="172"/>
      <c r="I50" s="172"/>
      <c r="J50" s="172"/>
      <c r="K50" s="172"/>
      <c r="L50" s="172"/>
    </row>
    <row r="51" spans="1:12">
      <c r="A51" s="172"/>
      <c r="B51" s="182"/>
      <c r="C51" s="172"/>
      <c r="D51" s="172"/>
      <c r="E51" s="172"/>
      <c r="F51" s="172"/>
      <c r="G51" s="172"/>
      <c r="H51" s="172"/>
      <c r="I51" s="172"/>
      <c r="J51" s="172"/>
      <c r="K51" s="172"/>
      <c r="L51" s="172"/>
    </row>
    <row r="52" spans="1:12">
      <c r="A52" s="172"/>
      <c r="B52" s="182"/>
      <c r="C52" s="172"/>
      <c r="D52" s="172"/>
      <c r="E52" s="172"/>
      <c r="F52" s="172"/>
      <c r="G52" s="172"/>
      <c r="H52" s="172"/>
      <c r="I52" s="172"/>
      <c r="J52" s="172"/>
      <c r="K52" s="172"/>
      <c r="L52" s="172"/>
    </row>
    <row r="53" spans="1:12">
      <c r="A53" s="172"/>
      <c r="B53" s="182"/>
      <c r="C53" s="172"/>
      <c r="D53" s="172"/>
      <c r="E53" s="172"/>
      <c r="F53" s="172"/>
      <c r="G53" s="172"/>
      <c r="H53" s="172"/>
      <c r="I53" s="172"/>
      <c r="J53" s="172"/>
      <c r="K53" s="172"/>
      <c r="L53" s="172"/>
    </row>
    <row r="54" spans="1:12">
      <c r="A54" s="172"/>
      <c r="B54" s="182"/>
      <c r="C54" s="172"/>
      <c r="D54" s="172"/>
      <c r="E54" s="172"/>
      <c r="F54" s="172"/>
      <c r="G54" s="172"/>
      <c r="H54" s="172"/>
      <c r="I54" s="172"/>
      <c r="J54" s="172"/>
      <c r="K54" s="172"/>
      <c r="L54" s="172"/>
    </row>
    <row r="55" spans="1:12">
      <c r="A55" s="172"/>
      <c r="B55" s="182"/>
      <c r="C55" s="172"/>
      <c r="D55" s="172"/>
      <c r="E55" s="172"/>
      <c r="F55" s="172"/>
      <c r="G55" s="172"/>
      <c r="H55" s="172"/>
      <c r="I55" s="172"/>
      <c r="J55" s="172"/>
      <c r="K55" s="172"/>
      <c r="L55" s="172"/>
    </row>
    <row r="56" spans="1:12">
      <c r="A56" s="172"/>
      <c r="B56" s="182"/>
      <c r="C56" s="172"/>
      <c r="D56" s="172"/>
      <c r="E56" s="172"/>
      <c r="F56" s="172"/>
      <c r="G56" s="172"/>
      <c r="H56" s="172"/>
      <c r="I56" s="172"/>
      <c r="J56" s="172"/>
      <c r="K56" s="172"/>
      <c r="L56" s="172"/>
    </row>
    <row r="57" spans="1:12">
      <c r="A57" s="172"/>
      <c r="B57" s="182"/>
      <c r="C57" s="172"/>
      <c r="D57" s="172"/>
      <c r="E57" s="172"/>
      <c r="F57" s="172"/>
      <c r="G57" s="172"/>
      <c r="H57" s="172"/>
      <c r="I57" s="172"/>
      <c r="J57" s="172"/>
      <c r="K57" s="172"/>
      <c r="L57" s="172"/>
    </row>
    <row r="58" spans="1:12" ht="21">
      <c r="A58" s="171" t="s">
        <v>527</v>
      </c>
      <c r="B58" s="172"/>
      <c r="C58" s="172"/>
      <c r="D58" s="172"/>
      <c r="E58" s="172"/>
      <c r="F58" s="172"/>
      <c r="G58" s="172"/>
      <c r="H58" s="172"/>
      <c r="I58" s="172"/>
      <c r="J58" s="172"/>
      <c r="K58" s="172"/>
      <c r="L58" s="172"/>
    </row>
    <row r="59" spans="1:12">
      <c r="A59" s="172"/>
      <c r="B59" s="172"/>
      <c r="C59" s="172"/>
      <c r="D59" s="172"/>
      <c r="E59" s="172"/>
      <c r="F59" s="172"/>
      <c r="G59" s="172"/>
      <c r="H59" s="172"/>
      <c r="I59" s="172"/>
      <c r="J59" s="172"/>
      <c r="K59" s="172"/>
      <c r="L59" s="172"/>
    </row>
    <row r="60" spans="1:12">
      <c r="A60" s="172"/>
      <c r="B60" s="183" t="s">
        <v>515</v>
      </c>
      <c r="C60" s="172" t="s">
        <v>553</v>
      </c>
      <c r="D60" s="172"/>
      <c r="E60" s="172"/>
      <c r="F60" s="172"/>
      <c r="G60" s="172"/>
      <c r="H60" s="172"/>
      <c r="I60" s="172"/>
      <c r="J60" s="172"/>
      <c r="K60" s="172"/>
      <c r="L60" s="172"/>
    </row>
    <row r="61" spans="1:12">
      <c r="A61" s="172"/>
      <c r="B61" s="183" t="s">
        <v>516</v>
      </c>
      <c r="C61" s="172" t="s">
        <v>544</v>
      </c>
      <c r="D61" s="172"/>
      <c r="E61" s="172"/>
      <c r="F61" s="172"/>
      <c r="G61" s="172"/>
      <c r="H61" s="172"/>
      <c r="I61" s="172"/>
      <c r="J61" s="172"/>
      <c r="K61" s="172"/>
      <c r="L61" s="172"/>
    </row>
    <row r="62" spans="1:12">
      <c r="A62" s="172"/>
      <c r="B62" s="183" t="s">
        <v>517</v>
      </c>
      <c r="C62" s="172" t="s">
        <v>528</v>
      </c>
      <c r="D62" s="172"/>
      <c r="E62" s="172"/>
      <c r="F62" s="172"/>
      <c r="G62" s="172"/>
      <c r="H62" s="172"/>
      <c r="I62" s="172"/>
      <c r="J62" s="172"/>
      <c r="K62" s="172"/>
      <c r="L62" s="172"/>
    </row>
    <row r="63" spans="1:12"/>
    <row r="64" spans="1:12">
      <c r="B64" s="178"/>
      <c r="C64" s="178" t="s">
        <v>554</v>
      </c>
    </row>
    <row r="65" spans="1:19">
      <c r="A65" s="172"/>
      <c r="B65" s="183"/>
      <c r="C65" s="172"/>
      <c r="D65" s="172"/>
      <c r="E65" s="172"/>
      <c r="F65" s="172"/>
      <c r="G65" s="172"/>
      <c r="H65" s="172"/>
      <c r="I65" s="172"/>
      <c r="J65" s="172"/>
      <c r="K65" s="172"/>
      <c r="L65" s="172"/>
    </row>
    <row r="66" spans="1:19">
      <c r="A66" s="172"/>
      <c r="B66" s="182"/>
      <c r="C66" s="172"/>
      <c r="D66" s="172"/>
      <c r="E66" s="172"/>
      <c r="F66" s="172"/>
      <c r="G66" s="172"/>
      <c r="H66" s="172"/>
      <c r="I66" s="172"/>
      <c r="J66" s="172"/>
      <c r="K66" s="172"/>
      <c r="L66" s="172"/>
    </row>
    <row r="67" spans="1:19">
      <c r="A67" s="172"/>
      <c r="B67" s="182"/>
      <c r="C67" s="172"/>
      <c r="D67" s="172"/>
      <c r="E67" s="172"/>
      <c r="F67" s="172"/>
      <c r="G67" s="172"/>
      <c r="H67" s="172"/>
      <c r="I67" s="172"/>
      <c r="J67" s="172"/>
      <c r="K67" s="172"/>
      <c r="L67" s="172"/>
    </row>
    <row r="68" spans="1:19">
      <c r="A68" s="172"/>
      <c r="B68" s="182"/>
      <c r="C68" s="172"/>
      <c r="D68" s="172"/>
      <c r="E68" s="172"/>
      <c r="F68" s="172"/>
      <c r="G68" s="172"/>
      <c r="H68" s="172"/>
      <c r="I68" s="172"/>
      <c r="J68" s="172"/>
      <c r="K68" s="172"/>
      <c r="L68" s="172"/>
      <c r="O68" s="190">
        <v>1</v>
      </c>
    </row>
    <row r="69" spans="1:19">
      <c r="A69" s="172"/>
      <c r="B69" s="182"/>
      <c r="C69" s="172"/>
      <c r="D69" s="172"/>
      <c r="E69" s="172"/>
      <c r="F69" s="172"/>
      <c r="G69" s="172"/>
      <c r="H69" s="172"/>
      <c r="I69" s="172"/>
      <c r="J69" s="172"/>
      <c r="K69" s="172"/>
      <c r="L69" s="172"/>
    </row>
    <row r="70" spans="1:19">
      <c r="A70" s="172"/>
      <c r="B70" s="182"/>
      <c r="C70" s="172"/>
      <c r="D70" s="172"/>
      <c r="E70" s="172"/>
      <c r="F70" s="172"/>
      <c r="G70" s="172"/>
      <c r="H70" s="172"/>
      <c r="I70" s="172"/>
      <c r="J70" s="172"/>
      <c r="K70" s="172"/>
      <c r="L70" s="172"/>
    </row>
    <row r="71" spans="1:19">
      <c r="A71" s="172"/>
      <c r="B71" s="182"/>
      <c r="C71" s="172"/>
      <c r="D71" s="172"/>
      <c r="E71" s="172"/>
      <c r="F71" s="172"/>
      <c r="G71" s="172"/>
      <c r="H71" s="172"/>
      <c r="I71" s="172"/>
      <c r="J71" s="172"/>
      <c r="K71" s="172"/>
      <c r="L71" s="172"/>
    </row>
    <row r="72" spans="1:19">
      <c r="A72" s="172"/>
      <c r="B72" s="182"/>
      <c r="C72" s="172"/>
      <c r="D72" s="172"/>
      <c r="E72" s="172"/>
      <c r="F72" s="172"/>
      <c r="G72" s="172"/>
      <c r="H72" s="172"/>
      <c r="I72" s="172"/>
      <c r="J72" s="172"/>
      <c r="K72" s="172"/>
      <c r="L72" s="172"/>
    </row>
    <row r="73" spans="1:19">
      <c r="A73" s="172"/>
      <c r="B73" s="182"/>
      <c r="C73" s="172"/>
      <c r="D73" s="172"/>
      <c r="E73" s="172"/>
      <c r="F73" s="172"/>
      <c r="G73" s="172"/>
      <c r="H73" s="172"/>
      <c r="I73" s="172"/>
      <c r="J73" s="172"/>
      <c r="K73" s="172"/>
      <c r="L73" s="172"/>
    </row>
    <row r="74" spans="1:19">
      <c r="A74" s="172"/>
      <c r="B74" s="182"/>
      <c r="C74" s="172"/>
      <c r="D74" s="172"/>
      <c r="E74" s="172"/>
      <c r="F74" s="172"/>
      <c r="G74" s="172"/>
      <c r="H74" s="172"/>
      <c r="I74" s="172"/>
      <c r="J74" s="172"/>
      <c r="K74" s="172"/>
      <c r="L74" s="172"/>
    </row>
    <row r="75" spans="1:19" s="193" customFormat="1">
      <c r="A75" s="191"/>
      <c r="B75" s="192"/>
      <c r="C75" s="191"/>
      <c r="D75" s="191"/>
      <c r="E75" s="191"/>
      <c r="F75" s="191"/>
      <c r="G75" s="191"/>
      <c r="H75" s="191"/>
      <c r="I75" s="191"/>
      <c r="J75" s="191"/>
      <c r="K75" s="191"/>
      <c r="L75" s="191"/>
    </row>
    <row r="76" spans="1:19">
      <c r="A76" s="172"/>
      <c r="B76" s="182"/>
      <c r="C76" s="172"/>
      <c r="D76" s="172"/>
      <c r="E76" s="172"/>
      <c r="F76" s="172"/>
      <c r="G76" s="172"/>
      <c r="H76" s="172"/>
      <c r="I76" s="172"/>
      <c r="J76" s="172"/>
      <c r="K76" s="172"/>
      <c r="L76" s="172"/>
    </row>
    <row r="77" spans="1:19" ht="21">
      <c r="A77" s="171" t="s">
        <v>522</v>
      </c>
      <c r="E77" s="172"/>
      <c r="F77" s="172"/>
      <c r="G77" s="172"/>
      <c r="H77" s="172"/>
      <c r="I77" s="172"/>
      <c r="J77" s="172"/>
      <c r="K77" s="172"/>
      <c r="L77" s="172"/>
      <c r="S77" s="12"/>
    </row>
    <row r="78" spans="1:19" ht="21">
      <c r="A78" s="171"/>
      <c r="E78" s="172"/>
      <c r="F78" s="172"/>
      <c r="G78" s="172"/>
      <c r="H78" s="172"/>
      <c r="I78" s="172"/>
      <c r="J78" s="172"/>
      <c r="K78" s="172"/>
      <c r="L78" s="172"/>
      <c r="S78" s="12"/>
    </row>
    <row r="79" spans="1:19">
      <c r="A79" s="172"/>
      <c r="B79" s="172" t="s">
        <v>543</v>
      </c>
      <c r="C79" s="172"/>
      <c r="D79" s="172"/>
      <c r="E79" s="172"/>
      <c r="F79" s="172"/>
      <c r="G79" s="172"/>
      <c r="H79" s="172"/>
      <c r="I79" s="172"/>
      <c r="J79" s="172"/>
      <c r="K79" s="172"/>
      <c r="L79" s="172"/>
    </row>
    <row r="80" spans="1:19">
      <c r="A80" s="172"/>
      <c r="B80" s="183" t="s">
        <v>515</v>
      </c>
      <c r="C80" s="172" t="s">
        <v>549</v>
      </c>
      <c r="D80" s="172"/>
      <c r="E80" s="172"/>
      <c r="F80" s="172"/>
      <c r="G80" s="172"/>
      <c r="H80" s="172"/>
      <c r="I80" s="172"/>
      <c r="J80" s="172"/>
      <c r="K80" s="172"/>
      <c r="L80" s="172"/>
    </row>
    <row r="81" spans="1:20">
      <c r="A81" s="172"/>
      <c r="B81" s="183" t="s">
        <v>516</v>
      </c>
      <c r="C81" s="172" t="s">
        <v>550</v>
      </c>
      <c r="D81" s="172"/>
      <c r="E81" s="172"/>
      <c r="F81" s="172"/>
      <c r="G81" s="172"/>
      <c r="H81" s="172"/>
      <c r="I81" s="172"/>
      <c r="J81" s="172"/>
      <c r="K81" s="172"/>
      <c r="L81" s="172"/>
    </row>
    <row r="82" spans="1:20">
      <c r="A82" s="172"/>
      <c r="B82" s="183" t="s">
        <v>517</v>
      </c>
      <c r="C82" s="172" t="s">
        <v>551</v>
      </c>
      <c r="D82" s="172"/>
      <c r="E82" s="172"/>
      <c r="F82" s="172"/>
      <c r="G82" s="172"/>
      <c r="H82" s="172"/>
      <c r="I82" s="172"/>
      <c r="J82" s="172"/>
      <c r="K82" s="172"/>
      <c r="L82" s="172"/>
    </row>
    <row r="83" spans="1:20">
      <c r="A83" s="172"/>
      <c r="B83" s="183" t="s">
        <v>518</v>
      </c>
      <c r="C83" t="s">
        <v>552</v>
      </c>
      <c r="E83" s="172"/>
      <c r="F83" s="172"/>
      <c r="G83" s="172"/>
      <c r="H83" s="172"/>
      <c r="I83" s="172"/>
      <c r="J83" s="172"/>
      <c r="K83" s="172"/>
      <c r="L83" s="172"/>
    </row>
    <row r="84" spans="1:20">
      <c r="A84" s="172"/>
      <c r="C84" t="s">
        <v>526</v>
      </c>
      <c r="E84" s="172"/>
      <c r="F84" s="172"/>
      <c r="G84" s="172"/>
      <c r="H84" s="172"/>
      <c r="I84" s="172"/>
      <c r="J84" s="172"/>
      <c r="K84" s="172"/>
      <c r="L84" s="172"/>
    </row>
    <row r="85" spans="1:20">
      <c r="A85" s="172"/>
      <c r="B85" s="183" t="s">
        <v>519</v>
      </c>
      <c r="C85" t="s">
        <v>523</v>
      </c>
      <c r="E85" s="172"/>
      <c r="F85" s="172"/>
      <c r="G85" s="172"/>
      <c r="H85" s="172"/>
      <c r="I85" s="172"/>
      <c r="J85" s="180"/>
      <c r="K85" s="172"/>
      <c r="L85" s="172"/>
    </row>
    <row r="86" spans="1:20">
      <c r="A86" s="172"/>
      <c r="B86" s="183" t="s">
        <v>520</v>
      </c>
      <c r="C86" t="s">
        <v>525</v>
      </c>
      <c r="E86" s="172"/>
      <c r="F86" s="172"/>
      <c r="G86" s="172"/>
      <c r="H86" s="172"/>
      <c r="I86" s="172"/>
      <c r="J86" s="180"/>
      <c r="K86" s="172"/>
      <c r="L86" s="172"/>
    </row>
    <row r="87" spans="1:20">
      <c r="A87" s="172"/>
      <c r="C87" s="12" t="s">
        <v>548</v>
      </c>
      <c r="E87" s="172"/>
      <c r="F87" s="172"/>
      <c r="G87" s="172"/>
      <c r="H87" s="179">
        <v>1</v>
      </c>
      <c r="I87" s="181">
        <v>2</v>
      </c>
      <c r="J87" s="181">
        <v>3</v>
      </c>
      <c r="K87" s="172"/>
      <c r="L87" s="172"/>
      <c r="T87" s="12"/>
    </row>
    <row r="88" spans="1:20">
      <c r="A88" s="172"/>
      <c r="C88" s="12"/>
      <c r="E88" s="172"/>
      <c r="F88" s="172"/>
      <c r="G88" s="172"/>
      <c r="H88" s="172"/>
      <c r="I88" s="172"/>
      <c r="J88" s="172"/>
      <c r="K88" s="172"/>
      <c r="L88" s="172"/>
      <c r="T88" s="12"/>
    </row>
    <row r="89" spans="1:20">
      <c r="A89" s="172"/>
      <c r="C89" s="12"/>
      <c r="E89" s="172"/>
      <c r="F89" s="172"/>
      <c r="G89" s="172"/>
      <c r="H89" s="172"/>
      <c r="I89" s="172"/>
      <c r="J89" s="180"/>
      <c r="K89" s="172"/>
      <c r="L89" s="172"/>
      <c r="T89" s="12"/>
    </row>
    <row r="90" spans="1:20">
      <c r="A90" s="172"/>
      <c r="C90" s="12"/>
      <c r="E90" s="172"/>
      <c r="F90" s="172"/>
      <c r="G90" s="172"/>
      <c r="H90" s="172"/>
      <c r="I90" s="172"/>
      <c r="J90" s="180"/>
      <c r="K90" s="172"/>
      <c r="L90" s="172"/>
      <c r="T90" s="12"/>
    </row>
    <row r="91" spans="1:20">
      <c r="A91" s="172"/>
      <c r="C91" s="12"/>
      <c r="E91" s="172"/>
      <c r="F91" s="172"/>
      <c r="G91" s="172"/>
      <c r="H91" s="172"/>
      <c r="I91" s="172"/>
      <c r="J91" s="180"/>
      <c r="K91" s="172"/>
      <c r="L91" s="172"/>
      <c r="T91" s="12"/>
    </row>
    <row r="92" spans="1:20">
      <c r="A92" s="172"/>
      <c r="C92" s="12"/>
      <c r="E92" s="172"/>
      <c r="F92" s="172"/>
      <c r="G92" s="172"/>
      <c r="H92" s="172"/>
      <c r="I92" s="172"/>
      <c r="J92" s="180"/>
      <c r="K92" s="172"/>
      <c r="L92" s="172"/>
      <c r="T92" s="12"/>
    </row>
    <row r="93" spans="1:20">
      <c r="A93" s="172"/>
      <c r="C93" s="12"/>
      <c r="E93" s="172"/>
      <c r="F93" s="172"/>
      <c r="G93" s="172"/>
      <c r="H93" s="172"/>
      <c r="I93" s="172"/>
      <c r="J93" s="180"/>
      <c r="K93" s="172"/>
      <c r="L93" s="172"/>
      <c r="T93" s="12"/>
    </row>
    <row r="94" spans="1:20">
      <c r="A94" s="172"/>
      <c r="C94" s="12"/>
      <c r="E94" s="172"/>
      <c r="F94" s="172"/>
      <c r="G94" s="172"/>
      <c r="H94" s="172"/>
      <c r="I94" s="172"/>
      <c r="J94" s="180"/>
      <c r="K94" s="172"/>
      <c r="L94" s="172"/>
      <c r="T94" s="12"/>
    </row>
    <row r="95" spans="1:20">
      <c r="A95" s="172"/>
      <c r="C95" s="12"/>
      <c r="E95" s="172"/>
      <c r="F95" s="172"/>
      <c r="G95" s="172"/>
      <c r="H95" s="172"/>
      <c r="I95" s="172"/>
      <c r="J95" s="180"/>
      <c r="K95" s="172"/>
      <c r="L95" s="172"/>
      <c r="T95" s="12"/>
    </row>
    <row r="96" spans="1:20">
      <c r="A96" s="172"/>
      <c r="C96" s="12"/>
      <c r="E96" s="172"/>
      <c r="F96" s="172"/>
      <c r="G96" s="172"/>
      <c r="H96" s="172"/>
      <c r="I96" s="172"/>
      <c r="J96" s="180"/>
      <c r="K96" s="172"/>
      <c r="L96" s="172"/>
      <c r="T96" s="12"/>
    </row>
    <row r="97" spans="1:20">
      <c r="A97" s="172"/>
      <c r="C97" s="12"/>
      <c r="E97" s="172"/>
      <c r="F97" s="172"/>
      <c r="G97" s="172"/>
      <c r="H97" s="172"/>
      <c r="I97" s="172"/>
      <c r="J97" s="180"/>
      <c r="K97" s="172"/>
      <c r="L97" s="172"/>
      <c r="T97" s="12"/>
    </row>
    <row r="98" spans="1:20">
      <c r="A98" s="172"/>
      <c r="C98" s="12"/>
      <c r="E98" s="172"/>
      <c r="F98" s="172"/>
      <c r="G98" s="172"/>
      <c r="H98" s="172"/>
      <c r="I98" s="172"/>
      <c r="J98" s="180"/>
      <c r="K98" s="172"/>
      <c r="L98" s="172"/>
      <c r="T98" s="12"/>
    </row>
    <row r="99" spans="1:20">
      <c r="A99" s="172"/>
      <c r="C99" s="12"/>
      <c r="E99" s="172"/>
      <c r="F99" s="172"/>
      <c r="G99" s="172"/>
      <c r="H99" s="172"/>
      <c r="I99" s="172"/>
      <c r="J99" s="180"/>
      <c r="K99" s="172"/>
      <c r="L99" s="172"/>
      <c r="T99" s="12"/>
    </row>
    <row r="100" spans="1:20">
      <c r="A100" s="172"/>
      <c r="C100" s="12"/>
      <c r="E100" s="172"/>
      <c r="F100" s="172"/>
      <c r="G100" s="172"/>
      <c r="H100" s="172"/>
      <c r="I100" s="172"/>
      <c r="J100" s="180"/>
      <c r="K100" s="172"/>
      <c r="L100" s="172"/>
      <c r="T100" s="12"/>
    </row>
    <row r="101" spans="1:20">
      <c r="A101" s="172"/>
      <c r="C101" s="12"/>
      <c r="E101" s="172"/>
      <c r="F101" s="172"/>
      <c r="G101" s="172"/>
      <c r="H101" s="172"/>
      <c r="I101" s="172"/>
      <c r="J101" s="180"/>
      <c r="K101" s="172"/>
      <c r="L101" s="172"/>
      <c r="T101" s="12"/>
    </row>
    <row r="102" spans="1:20">
      <c r="A102" s="172"/>
      <c r="C102" s="12"/>
      <c r="E102" s="172"/>
      <c r="F102" s="172"/>
      <c r="G102" s="172"/>
      <c r="H102" s="172"/>
      <c r="I102" s="172"/>
      <c r="J102" s="180"/>
      <c r="K102" s="172"/>
      <c r="L102" s="172"/>
      <c r="T102" s="12"/>
    </row>
    <row r="103" spans="1:20">
      <c r="A103" s="172"/>
      <c r="C103" s="12"/>
      <c r="E103" s="172"/>
      <c r="F103" s="172"/>
      <c r="G103" s="172"/>
      <c r="H103" s="172"/>
      <c r="I103" s="172"/>
      <c r="J103" s="180"/>
      <c r="K103" s="172"/>
      <c r="L103" s="172"/>
      <c r="T103" s="12"/>
    </row>
    <row r="104" spans="1:20" ht="18" customHeight="1">
      <c r="A104" s="172"/>
      <c r="C104" s="12"/>
      <c r="E104" s="172"/>
      <c r="F104" s="172"/>
      <c r="G104" s="172"/>
      <c r="H104" s="172"/>
      <c r="I104" s="172"/>
      <c r="J104" s="180"/>
      <c r="K104" s="172"/>
      <c r="L104" s="172"/>
      <c r="T104" s="12"/>
    </row>
    <row r="105" spans="1:20">
      <c r="A105" s="172"/>
      <c r="E105" s="172"/>
      <c r="F105" s="172"/>
      <c r="G105" s="172"/>
      <c r="H105" s="172"/>
      <c r="I105" s="172"/>
      <c r="J105" s="180"/>
      <c r="K105" s="172"/>
      <c r="L105" s="172"/>
      <c r="T105" s="12"/>
    </row>
    <row r="106" spans="1:20">
      <c r="A106" s="172"/>
      <c r="E106" s="172"/>
      <c r="F106" s="172"/>
      <c r="G106" s="172"/>
      <c r="H106" s="172"/>
      <c r="I106" s="172"/>
      <c r="J106" s="180"/>
      <c r="K106" s="172"/>
      <c r="L106" s="172"/>
      <c r="T106" s="12"/>
    </row>
    <row r="107" spans="1:20" hidden="1">
      <c r="A107" s="172"/>
      <c r="C107" s="12"/>
      <c r="E107" s="172"/>
      <c r="F107" s="172"/>
      <c r="G107" s="172"/>
      <c r="H107" s="172"/>
      <c r="I107" s="172"/>
      <c r="J107" s="180"/>
      <c r="K107" s="172"/>
      <c r="L107" s="172"/>
      <c r="T107" s="12"/>
    </row>
    <row r="108" spans="1:20" hidden="1">
      <c r="A108" s="172"/>
      <c r="C108" s="12"/>
      <c r="E108" s="172"/>
      <c r="F108" s="172"/>
      <c r="G108" s="172"/>
      <c r="H108" s="172"/>
      <c r="I108" s="172"/>
      <c r="J108" s="180"/>
      <c r="K108" s="172"/>
      <c r="L108" s="172"/>
      <c r="T108" s="12"/>
    </row>
    <row r="109" spans="1:20" hidden="1">
      <c r="A109" s="172"/>
      <c r="C109" s="12"/>
      <c r="E109" s="172"/>
      <c r="F109" s="172"/>
      <c r="G109" s="172"/>
      <c r="H109" s="172"/>
      <c r="I109" s="172"/>
      <c r="J109" s="180"/>
      <c r="K109" s="172"/>
      <c r="L109" s="172"/>
      <c r="T109" s="12"/>
    </row>
    <row r="110" spans="1:20" hidden="1">
      <c r="A110" s="172"/>
      <c r="C110" s="12"/>
      <c r="E110" s="172"/>
      <c r="F110" s="172"/>
      <c r="G110" s="172"/>
      <c r="H110" s="172"/>
      <c r="I110" s="172"/>
      <c r="J110" s="180"/>
      <c r="K110" s="172"/>
      <c r="L110" s="172"/>
      <c r="T110" s="12"/>
    </row>
    <row r="111" spans="1:20" hidden="1">
      <c r="A111" s="172"/>
      <c r="C111" s="12"/>
      <c r="E111" s="172"/>
      <c r="F111" s="172"/>
      <c r="G111" s="172"/>
      <c r="H111" s="172"/>
      <c r="I111" s="172"/>
      <c r="J111" s="180"/>
      <c r="K111" s="172"/>
      <c r="L111" s="172"/>
      <c r="T111" s="12"/>
    </row>
    <row r="112" spans="1:20" ht="21" hidden="1">
      <c r="A112" s="171"/>
      <c r="B112" s="172"/>
      <c r="C112" s="172"/>
      <c r="D112" s="172"/>
      <c r="E112" s="172"/>
      <c r="F112" s="172"/>
      <c r="G112" s="172"/>
      <c r="H112" s="172"/>
      <c r="I112" s="172"/>
      <c r="J112" s="172"/>
      <c r="K112" s="172"/>
      <c r="L112" s="172"/>
      <c r="M112" s="172"/>
      <c r="N112" s="172"/>
      <c r="O112" s="172"/>
      <c r="R112" s="21"/>
    </row>
    <row r="113" spans="1:15" hidden="1">
      <c r="A113" s="172"/>
      <c r="B113" s="172"/>
      <c r="C113" s="172"/>
      <c r="D113" s="172"/>
      <c r="E113" s="172"/>
      <c r="F113" s="172"/>
      <c r="G113" s="172"/>
      <c r="H113" s="172"/>
      <c r="I113" s="172"/>
      <c r="J113" s="172"/>
      <c r="K113" s="172"/>
      <c r="L113" s="172"/>
      <c r="M113" s="172"/>
      <c r="N113" s="172"/>
      <c r="O113" s="172"/>
    </row>
    <row r="114" spans="1:15" hidden="1">
      <c r="A114" s="172"/>
      <c r="B114" s="183"/>
      <c r="C114" s="172"/>
      <c r="D114" s="172"/>
      <c r="E114" s="172"/>
      <c r="F114" s="172"/>
      <c r="G114" s="172"/>
      <c r="H114" s="172"/>
      <c r="I114" s="172"/>
      <c r="J114" s="172"/>
      <c r="K114" s="172"/>
      <c r="L114" s="172"/>
      <c r="M114" s="172"/>
      <c r="N114" s="172"/>
      <c r="O114" s="172"/>
    </row>
    <row r="115" spans="1:15" hidden="1">
      <c r="A115" s="172"/>
      <c r="B115" s="183"/>
      <c r="C115" s="172"/>
      <c r="D115" s="172"/>
      <c r="E115" s="172"/>
      <c r="F115" s="172"/>
      <c r="G115" s="172"/>
      <c r="H115" s="172"/>
      <c r="I115" s="172"/>
      <c r="J115" s="172"/>
      <c r="K115" s="172"/>
      <c r="L115" s="172"/>
      <c r="M115" s="172"/>
      <c r="N115" s="172"/>
      <c r="O115" s="172"/>
    </row>
    <row r="116" spans="1:15" hidden="1">
      <c r="A116" s="172"/>
      <c r="B116" s="183"/>
      <c r="C116" s="172"/>
      <c r="D116" s="172"/>
      <c r="E116" s="172"/>
      <c r="F116" s="172"/>
      <c r="G116" s="172"/>
      <c r="H116" s="172"/>
      <c r="I116" s="172"/>
      <c r="J116" s="172"/>
      <c r="K116" s="172"/>
      <c r="L116" s="172"/>
      <c r="M116" s="172"/>
      <c r="N116" s="172"/>
      <c r="O116" s="172"/>
    </row>
    <row r="117" spans="1:15" hidden="1">
      <c r="A117" s="172"/>
      <c r="B117" s="172"/>
      <c r="C117" s="172"/>
      <c r="D117" s="172"/>
      <c r="E117" s="172"/>
      <c r="F117" s="172"/>
      <c r="G117" s="172"/>
      <c r="H117" s="172"/>
      <c r="I117" s="172"/>
      <c r="J117" s="177"/>
      <c r="K117" s="172"/>
      <c r="L117" s="172"/>
    </row>
    <row r="118" spans="1:15" hidden="1">
      <c r="A118" s="172"/>
      <c r="B118" s="172"/>
      <c r="C118" s="172"/>
      <c r="D118" s="172"/>
      <c r="E118" s="172"/>
      <c r="F118" s="172"/>
      <c r="G118" s="172"/>
      <c r="H118" s="172"/>
      <c r="I118" s="172"/>
      <c r="J118" s="177"/>
      <c r="K118" s="172"/>
      <c r="L118" s="172"/>
    </row>
    <row r="119" spans="1:15" hidden="1">
      <c r="A119" s="172"/>
      <c r="B119" s="172"/>
      <c r="C119" s="172"/>
      <c r="D119" s="172"/>
      <c r="E119" s="172"/>
      <c r="F119" s="172"/>
      <c r="G119" s="172"/>
      <c r="H119" s="172"/>
      <c r="I119" s="172"/>
      <c r="J119" s="177"/>
      <c r="K119" s="172"/>
      <c r="L119" s="172"/>
    </row>
    <row r="120" spans="1:15" hidden="1">
      <c r="A120" s="172"/>
      <c r="B120" s="172"/>
      <c r="C120" s="172"/>
      <c r="D120" s="172"/>
      <c r="E120" s="172"/>
      <c r="F120" s="172"/>
      <c r="G120" s="172"/>
      <c r="H120" s="172"/>
      <c r="I120" s="172"/>
      <c r="J120" s="177"/>
      <c r="K120" s="172"/>
      <c r="L120" s="172"/>
    </row>
    <row r="121" spans="1:15" hidden="1">
      <c r="A121" s="172"/>
      <c r="B121" s="172"/>
      <c r="C121" s="172"/>
      <c r="D121" s="172"/>
      <c r="E121" s="172"/>
      <c r="F121" s="172"/>
      <c r="G121" s="172"/>
      <c r="H121" s="172"/>
      <c r="I121" s="172"/>
      <c r="J121" s="177"/>
      <c r="K121" s="172"/>
      <c r="L121" s="172"/>
    </row>
    <row r="122" spans="1:15" hidden="1">
      <c r="A122" s="172"/>
      <c r="B122" s="172"/>
      <c r="C122" s="172"/>
      <c r="D122" s="172"/>
      <c r="E122" s="172"/>
      <c r="F122" s="172"/>
      <c r="G122" s="172"/>
      <c r="H122" s="172"/>
      <c r="I122" s="172"/>
      <c r="J122" s="177"/>
      <c r="K122" s="172"/>
      <c r="L122" s="172"/>
    </row>
    <row r="123" spans="1:15" hidden="1">
      <c r="A123" s="172"/>
      <c r="B123" s="172"/>
      <c r="C123" s="172"/>
      <c r="D123" s="172"/>
      <c r="E123" s="172"/>
      <c r="F123" s="172"/>
      <c r="G123" s="172"/>
      <c r="H123" s="172"/>
      <c r="I123" s="172"/>
      <c r="J123" s="177"/>
      <c r="K123" s="172"/>
      <c r="L123" s="172"/>
    </row>
    <row r="124" spans="1:15" hidden="1">
      <c r="A124" s="172"/>
      <c r="B124" s="172"/>
      <c r="C124" s="172"/>
      <c r="D124" s="172"/>
      <c r="E124" s="172"/>
      <c r="F124" s="172"/>
      <c r="G124" s="172"/>
      <c r="H124" s="172"/>
      <c r="I124" s="172"/>
      <c r="J124" s="177"/>
      <c r="K124" s="172"/>
      <c r="L124" s="172"/>
    </row>
    <row r="125" spans="1:15" hidden="1">
      <c r="A125" s="172"/>
      <c r="B125" s="172"/>
      <c r="C125" s="172"/>
      <c r="D125" s="172"/>
      <c r="E125" s="172"/>
      <c r="F125" s="172"/>
      <c r="G125" s="172"/>
      <c r="H125" s="172"/>
      <c r="I125" s="172"/>
      <c r="J125" s="177"/>
      <c r="K125" s="172"/>
      <c r="L125" s="172"/>
    </row>
    <row r="126" spans="1:15" hidden="1">
      <c r="A126" s="172"/>
      <c r="B126" s="172"/>
      <c r="C126" s="172"/>
      <c r="D126" s="172"/>
      <c r="E126" s="172"/>
      <c r="F126" s="172"/>
      <c r="G126" s="172"/>
      <c r="H126" s="172"/>
      <c r="I126" s="172"/>
      <c r="J126" s="177"/>
      <c r="K126" s="172"/>
      <c r="L126" s="172"/>
    </row>
    <row r="127" spans="1:15" hidden="1">
      <c r="A127" s="172"/>
      <c r="B127" s="172"/>
      <c r="C127" s="172"/>
      <c r="D127" s="172"/>
      <c r="E127" s="172"/>
      <c r="F127" s="172"/>
      <c r="G127" s="172"/>
      <c r="H127" s="172"/>
      <c r="I127" s="172"/>
      <c r="J127" s="177"/>
      <c r="K127" s="172"/>
      <c r="L127" s="172"/>
    </row>
    <row r="128" spans="1:15" hidden="1">
      <c r="A128" s="172"/>
      <c r="B128" s="172"/>
      <c r="C128" s="172"/>
      <c r="D128" s="172"/>
      <c r="E128" s="172"/>
      <c r="F128" s="172"/>
      <c r="G128" s="172"/>
      <c r="H128" s="172"/>
      <c r="I128" s="172"/>
      <c r="J128" s="177"/>
      <c r="K128" s="172"/>
      <c r="L128" s="172"/>
    </row>
    <row r="129" spans="1:12" hidden="1">
      <c r="A129" s="172"/>
      <c r="B129" s="172"/>
      <c r="C129" s="172"/>
      <c r="D129" s="172"/>
      <c r="E129" s="172"/>
      <c r="F129" s="172"/>
      <c r="G129" s="172"/>
      <c r="H129" s="172"/>
      <c r="I129" s="172"/>
      <c r="J129" s="177"/>
      <c r="K129" s="172"/>
      <c r="L129" s="172"/>
    </row>
    <row r="130" spans="1:12" hidden="1">
      <c r="A130" s="172"/>
      <c r="B130" s="172"/>
      <c r="C130" s="172"/>
      <c r="D130" s="172"/>
      <c r="E130" s="172"/>
      <c r="F130" s="172"/>
      <c r="G130" s="172"/>
      <c r="H130" s="172"/>
      <c r="I130" s="172"/>
      <c r="J130" s="177"/>
      <c r="K130" s="172"/>
      <c r="L130" s="172"/>
    </row>
    <row r="131" spans="1:12" hidden="1">
      <c r="A131" s="172"/>
      <c r="B131" s="172"/>
      <c r="C131" s="172"/>
      <c r="D131" s="172"/>
      <c r="E131" s="172"/>
      <c r="F131" s="172"/>
      <c r="G131" s="172"/>
      <c r="H131" s="172"/>
      <c r="I131" s="172"/>
      <c r="J131" s="177"/>
      <c r="K131" s="172"/>
      <c r="L131" s="172"/>
    </row>
    <row r="132" spans="1:12" hidden="1">
      <c r="A132" s="172"/>
      <c r="B132" s="172"/>
      <c r="C132" s="172"/>
      <c r="D132" s="172"/>
      <c r="E132" s="172"/>
      <c r="F132" s="172"/>
      <c r="G132" s="172"/>
      <c r="H132" s="172"/>
      <c r="I132" s="172"/>
      <c r="J132" s="177"/>
      <c r="K132" s="172"/>
      <c r="L132" s="172"/>
    </row>
    <row r="133" spans="1:12" hidden="1">
      <c r="A133" s="172"/>
      <c r="B133" s="172"/>
      <c r="C133" s="172"/>
      <c r="D133" s="172"/>
      <c r="E133" s="172"/>
      <c r="F133" s="172"/>
      <c r="G133" s="172"/>
      <c r="H133" s="172"/>
      <c r="I133" s="172"/>
      <c r="J133" s="177"/>
      <c r="K133" s="172"/>
      <c r="L133" s="172"/>
    </row>
    <row r="134" spans="1:12" hidden="1">
      <c r="A134" s="172"/>
      <c r="B134" s="172"/>
      <c r="C134" s="172"/>
      <c r="D134" s="172"/>
      <c r="E134" s="172"/>
      <c r="F134" s="172"/>
      <c r="G134" s="172"/>
      <c r="H134" s="172"/>
      <c r="I134" s="172"/>
      <c r="J134" s="177"/>
      <c r="K134" s="172"/>
      <c r="L134" s="172"/>
    </row>
    <row r="135" spans="1:12" hidden="1">
      <c r="A135" s="172"/>
      <c r="B135" s="172"/>
      <c r="C135" s="172"/>
      <c r="D135" s="172"/>
      <c r="E135" s="172"/>
      <c r="F135" s="172"/>
      <c r="G135" s="172"/>
      <c r="H135" s="172"/>
      <c r="I135" s="172"/>
      <c r="J135" s="177"/>
      <c r="K135" s="172"/>
      <c r="L135" s="172"/>
    </row>
    <row r="136" spans="1:12" hidden="1">
      <c r="A136" s="172"/>
      <c r="B136" s="172"/>
      <c r="C136" s="172"/>
      <c r="D136" s="172"/>
      <c r="E136" s="172"/>
      <c r="F136" s="172"/>
      <c r="G136" s="172"/>
      <c r="H136" s="172"/>
      <c r="I136" s="172"/>
      <c r="J136" s="177"/>
      <c r="K136" s="172"/>
      <c r="L136" s="172"/>
    </row>
    <row r="137" spans="1:12" hidden="1">
      <c r="A137" s="172"/>
      <c r="B137" s="172"/>
      <c r="C137" s="172"/>
      <c r="D137" s="172"/>
      <c r="E137" s="172"/>
      <c r="F137" s="172"/>
      <c r="G137" s="172"/>
      <c r="H137" s="172"/>
      <c r="I137" s="172"/>
      <c r="J137" s="177"/>
      <c r="K137" s="172"/>
      <c r="L137" s="172"/>
    </row>
    <row r="138" spans="1:12" hidden="1">
      <c r="A138" s="172"/>
      <c r="B138" s="172"/>
      <c r="C138" s="172"/>
      <c r="D138" s="172"/>
      <c r="E138" s="172"/>
      <c r="F138" s="172"/>
      <c r="G138" s="172"/>
      <c r="H138" s="172"/>
      <c r="I138" s="172"/>
      <c r="J138" s="177"/>
      <c r="K138" s="172"/>
      <c r="L138" s="172"/>
    </row>
    <row r="139" spans="1:12" hidden="1">
      <c r="A139" s="172"/>
      <c r="B139" s="172"/>
      <c r="C139" s="172"/>
      <c r="D139" s="172"/>
      <c r="E139" s="172"/>
      <c r="F139" s="172"/>
      <c r="G139" s="172"/>
      <c r="H139" s="172"/>
      <c r="I139" s="172"/>
      <c r="J139" s="177"/>
      <c r="K139" s="172"/>
      <c r="L139" s="172"/>
    </row>
    <row r="140" spans="1:12" hidden="1">
      <c r="A140" s="172"/>
      <c r="B140" s="172"/>
      <c r="C140" s="172"/>
      <c r="D140" s="172"/>
      <c r="E140" s="172"/>
      <c r="F140" s="172"/>
      <c r="G140" s="172"/>
      <c r="H140" s="172"/>
      <c r="I140" s="172"/>
      <c r="J140" s="177"/>
      <c r="K140" s="172"/>
      <c r="L140" s="172"/>
    </row>
    <row r="141" spans="1:12" hidden="1">
      <c r="A141" s="172"/>
      <c r="B141" s="172"/>
      <c r="C141" s="172"/>
      <c r="D141" s="172"/>
      <c r="E141" s="172"/>
      <c r="F141" s="172"/>
      <c r="G141" s="172"/>
      <c r="H141" s="172"/>
      <c r="I141" s="172"/>
      <c r="J141" s="177"/>
      <c r="K141" s="172"/>
      <c r="L141" s="172"/>
    </row>
    <row r="142" spans="1:12" hidden="1">
      <c r="A142" s="172"/>
      <c r="B142" s="172"/>
      <c r="C142" s="172"/>
      <c r="D142" s="172"/>
      <c r="E142" s="172"/>
      <c r="F142" s="172"/>
      <c r="G142" s="172"/>
      <c r="H142" s="172"/>
      <c r="I142" s="172"/>
      <c r="J142" s="177"/>
      <c r="K142" s="172"/>
      <c r="L142" s="172"/>
    </row>
    <row r="143" spans="1:12" hidden="1">
      <c r="A143" s="172"/>
      <c r="B143" s="172"/>
      <c r="C143" s="172"/>
      <c r="D143" s="172"/>
      <c r="E143" s="172"/>
      <c r="F143" s="172"/>
      <c r="G143" s="172"/>
      <c r="H143" s="172"/>
      <c r="I143" s="172"/>
      <c r="J143" s="177"/>
      <c r="K143" s="172"/>
      <c r="L143" s="172"/>
    </row>
    <row r="144" spans="1:12" hidden="1">
      <c r="A144" s="172"/>
      <c r="B144" s="172"/>
      <c r="C144" s="172"/>
      <c r="D144" s="172"/>
      <c r="E144" s="172"/>
      <c r="F144" s="172"/>
      <c r="G144" s="172"/>
      <c r="H144" s="172"/>
      <c r="I144" s="172"/>
      <c r="J144" s="177"/>
      <c r="K144" s="172"/>
      <c r="L144" s="172"/>
    </row>
    <row r="145" spans="1:12" hidden="1">
      <c r="A145" s="172"/>
      <c r="B145" s="172"/>
      <c r="C145" s="172"/>
      <c r="D145" s="172"/>
      <c r="E145" s="172"/>
      <c r="F145" s="172"/>
      <c r="G145" s="172"/>
      <c r="H145" s="172"/>
      <c r="I145" s="172"/>
      <c r="J145" s="177"/>
      <c r="K145" s="172"/>
      <c r="L145" s="172"/>
    </row>
    <row r="146" spans="1:12" hidden="1">
      <c r="A146" s="172"/>
      <c r="B146" s="172"/>
      <c r="C146" s="172"/>
      <c r="D146" s="172"/>
      <c r="E146" s="172"/>
      <c r="F146" s="172"/>
      <c r="G146" s="172"/>
      <c r="H146" s="172"/>
      <c r="I146" s="172"/>
      <c r="J146" s="177"/>
      <c r="K146" s="172"/>
      <c r="L146" s="172"/>
    </row>
    <row r="147" spans="1:12" hidden="1">
      <c r="A147" s="172"/>
      <c r="B147" s="172"/>
      <c r="C147" s="172"/>
      <c r="D147" s="172"/>
      <c r="E147" s="172"/>
      <c r="F147" s="172"/>
      <c r="G147" s="172"/>
      <c r="H147" s="172"/>
      <c r="I147" s="172"/>
      <c r="J147" s="177"/>
      <c r="K147" s="172"/>
      <c r="L147" s="172"/>
    </row>
    <row r="148" spans="1:12" hidden="1">
      <c r="A148" s="172"/>
      <c r="B148" s="172"/>
      <c r="C148" s="172"/>
      <c r="D148" s="172"/>
      <c r="E148" s="172"/>
      <c r="F148" s="172"/>
      <c r="G148" s="172"/>
      <c r="H148" s="172"/>
      <c r="I148" s="172"/>
      <c r="J148" s="177"/>
      <c r="K148" s="172"/>
      <c r="L148" s="172"/>
    </row>
    <row r="149" spans="1:12" hidden="1">
      <c r="A149" s="172"/>
      <c r="B149" s="172"/>
      <c r="C149" s="172"/>
      <c r="D149" s="172"/>
      <c r="E149" s="172"/>
      <c r="F149" s="172"/>
      <c r="G149" s="172"/>
      <c r="H149" s="172"/>
      <c r="I149" s="172"/>
      <c r="J149" s="177"/>
      <c r="K149" s="172"/>
      <c r="L149" s="172"/>
    </row>
    <row r="150" spans="1:12" hidden="1">
      <c r="A150" s="172"/>
      <c r="B150" s="172"/>
      <c r="C150" s="172"/>
      <c r="D150" s="172"/>
      <c r="E150" s="172"/>
      <c r="F150" s="172"/>
      <c r="G150" s="172"/>
      <c r="H150" s="172"/>
      <c r="I150" s="172"/>
      <c r="J150" s="177"/>
      <c r="K150" s="172"/>
      <c r="L150" s="172"/>
    </row>
    <row r="151" spans="1:12" hidden="1">
      <c r="A151" s="172"/>
      <c r="B151" s="172"/>
      <c r="C151" s="172"/>
      <c r="D151" s="172"/>
      <c r="E151" s="172"/>
      <c r="F151" s="172"/>
      <c r="G151" s="172"/>
      <c r="H151" s="172"/>
      <c r="I151" s="172"/>
      <c r="J151" s="172"/>
      <c r="K151" s="172"/>
      <c r="L151" s="172"/>
    </row>
    <row r="152" spans="1:12" hidden="1">
      <c r="A152" s="172"/>
      <c r="B152" s="172"/>
      <c r="C152" s="172"/>
      <c r="D152" s="172"/>
      <c r="E152" s="172"/>
      <c r="F152" s="172"/>
      <c r="G152" s="172"/>
      <c r="H152" s="172"/>
      <c r="I152" s="172"/>
      <c r="J152" s="172"/>
      <c r="K152" s="172"/>
      <c r="L152" s="172"/>
    </row>
    <row r="153" spans="1:12" hidden="1">
      <c r="A153" s="172"/>
      <c r="B153" s="172"/>
      <c r="C153" s="172"/>
      <c r="D153" s="172"/>
      <c r="E153" s="172"/>
      <c r="F153" s="172"/>
      <c r="G153" s="172"/>
      <c r="H153" s="172"/>
      <c r="I153" s="172"/>
      <c r="J153" s="172"/>
      <c r="K153" s="172"/>
      <c r="L153" s="172"/>
    </row>
    <row r="154" spans="1:12" hidden="1">
      <c r="A154" s="172"/>
      <c r="B154" s="172"/>
      <c r="C154" s="172"/>
      <c r="D154" s="172"/>
      <c r="E154" s="172"/>
      <c r="F154" s="172"/>
      <c r="G154" s="172"/>
      <c r="H154" s="172"/>
      <c r="I154" s="172"/>
      <c r="J154" s="172"/>
      <c r="K154" s="172"/>
      <c r="L154" s="172"/>
    </row>
    <row r="155" spans="1:12" hidden="1">
      <c r="A155" s="172"/>
      <c r="B155" s="183"/>
      <c r="C155" s="174"/>
      <c r="D155" s="172"/>
      <c r="E155" s="172"/>
      <c r="F155" s="172"/>
      <c r="G155" s="172"/>
      <c r="H155" s="172"/>
      <c r="I155" s="172"/>
      <c r="J155" s="172"/>
      <c r="K155" s="172"/>
      <c r="L155" s="172"/>
    </row>
    <row r="156" spans="1:12" hidden="1">
      <c r="A156" s="172"/>
      <c r="B156" s="172"/>
      <c r="C156" s="174"/>
      <c r="D156" s="172"/>
      <c r="E156" s="172"/>
      <c r="F156" s="172"/>
      <c r="G156" s="172"/>
      <c r="H156" s="172"/>
      <c r="I156" s="172"/>
      <c r="J156" s="172"/>
      <c r="K156" s="172"/>
      <c r="L156" s="172"/>
    </row>
    <row r="157" spans="1:12" hidden="1">
      <c r="A157" s="172"/>
      <c r="B157" s="172"/>
      <c r="C157" s="178"/>
      <c r="D157" s="172"/>
      <c r="E157" s="172"/>
      <c r="F157" s="172"/>
      <c r="G157" s="172"/>
      <c r="H157" s="172"/>
      <c r="I157" s="172"/>
      <c r="J157" s="172"/>
      <c r="K157" s="172"/>
      <c r="L157" s="172"/>
    </row>
    <row r="158" spans="1:12" hidden="1">
      <c r="A158" s="172"/>
      <c r="B158" s="172"/>
      <c r="D158" s="172"/>
      <c r="E158" s="172"/>
      <c r="F158" s="172"/>
      <c r="G158" s="172"/>
      <c r="H158" s="172"/>
      <c r="I158" s="172"/>
      <c r="J158" s="172"/>
      <c r="K158" s="172"/>
      <c r="L158" s="172"/>
    </row>
    <row r="159" spans="1:12" hidden="1">
      <c r="A159" s="172"/>
      <c r="B159" s="172"/>
      <c r="C159" s="172"/>
      <c r="D159" s="172"/>
      <c r="E159" s="172"/>
      <c r="F159" s="172"/>
      <c r="G159" s="172"/>
      <c r="H159" s="172"/>
      <c r="I159" s="172"/>
      <c r="J159" s="172"/>
      <c r="K159" s="172"/>
      <c r="L159" s="172"/>
    </row>
    <row r="160" spans="1:12" hidden="1">
      <c r="A160" s="172"/>
      <c r="B160" s="172"/>
      <c r="C160" s="172"/>
      <c r="D160" s="172"/>
      <c r="E160" s="172"/>
      <c r="F160" s="172"/>
      <c r="G160" s="172"/>
      <c r="H160" s="172"/>
      <c r="I160" s="172"/>
      <c r="J160" s="172"/>
      <c r="K160" s="172"/>
      <c r="L160" s="172"/>
    </row>
    <row r="161" spans="1:12" hidden="1">
      <c r="A161" s="172"/>
      <c r="B161" s="172"/>
      <c r="C161" s="172"/>
      <c r="D161" s="172"/>
      <c r="E161" s="172"/>
      <c r="F161" s="172"/>
      <c r="G161" s="172"/>
      <c r="H161" s="172"/>
      <c r="I161" s="172"/>
      <c r="J161" s="172"/>
      <c r="K161" s="172"/>
      <c r="L161" s="172"/>
    </row>
    <row r="162" spans="1:12" hidden="1">
      <c r="A162" s="172"/>
      <c r="B162" s="172"/>
      <c r="C162" s="172"/>
      <c r="D162" s="172"/>
      <c r="E162" s="172"/>
      <c r="F162" s="172"/>
      <c r="G162" s="172"/>
      <c r="H162" s="172"/>
      <c r="I162" s="172"/>
      <c r="J162" s="172"/>
      <c r="K162" s="172"/>
      <c r="L162" s="172"/>
    </row>
    <row r="163" spans="1:12" hidden="1">
      <c r="A163" s="172"/>
      <c r="B163" s="172"/>
      <c r="C163" s="172"/>
      <c r="D163" s="172"/>
      <c r="E163" s="172"/>
      <c r="F163" s="172"/>
      <c r="G163" s="172"/>
      <c r="H163" s="172"/>
      <c r="I163" s="172"/>
      <c r="J163" s="172"/>
      <c r="K163" s="172"/>
      <c r="L163" s="172"/>
    </row>
    <row r="164" spans="1:12" hidden="1">
      <c r="A164" s="172"/>
      <c r="B164" s="172"/>
      <c r="C164" s="172"/>
      <c r="D164" s="172"/>
      <c r="E164" s="172"/>
      <c r="F164" s="172"/>
      <c r="G164" s="172"/>
      <c r="H164" s="172"/>
      <c r="I164" s="172"/>
      <c r="J164" s="172"/>
      <c r="K164" s="172"/>
      <c r="L164" s="172"/>
    </row>
    <row r="165" spans="1:12" hidden="1">
      <c r="A165" s="172"/>
      <c r="B165" s="172"/>
      <c r="C165" s="172"/>
      <c r="D165" s="172"/>
      <c r="E165" s="172"/>
      <c r="F165" s="172"/>
      <c r="G165" s="172"/>
      <c r="H165" s="172"/>
      <c r="I165" s="172"/>
      <c r="J165" s="172"/>
      <c r="K165" s="172"/>
      <c r="L165" s="172"/>
    </row>
    <row r="166" spans="1:12" hidden="1">
      <c r="A166" s="172"/>
      <c r="B166" s="172"/>
      <c r="C166" s="172"/>
      <c r="D166" s="172"/>
      <c r="E166" s="172"/>
      <c r="F166" s="172"/>
      <c r="G166" s="172"/>
      <c r="H166" s="172"/>
      <c r="I166" s="172"/>
      <c r="J166" s="172"/>
      <c r="K166" s="172"/>
      <c r="L166" s="172"/>
    </row>
    <row r="167" spans="1:12" hidden="1">
      <c r="A167" s="172"/>
      <c r="B167" s="172"/>
      <c r="C167" s="172"/>
      <c r="D167" s="172"/>
      <c r="E167" s="172"/>
      <c r="F167" s="172"/>
      <c r="G167" s="172"/>
      <c r="H167" s="172"/>
      <c r="I167" s="172"/>
      <c r="J167" s="172"/>
      <c r="K167" s="172"/>
      <c r="L167" s="172"/>
    </row>
    <row r="168" spans="1:12" hidden="1">
      <c r="A168" s="172"/>
      <c r="B168" s="172"/>
      <c r="C168" s="172"/>
      <c r="D168" s="172"/>
      <c r="E168" s="172"/>
      <c r="F168" s="172"/>
      <c r="G168" s="172"/>
      <c r="H168" s="172"/>
      <c r="I168" s="172"/>
      <c r="J168" s="172"/>
      <c r="K168" s="172"/>
      <c r="L168" s="172"/>
    </row>
    <row r="169" spans="1:12" hidden="1">
      <c r="A169" s="172"/>
      <c r="B169" s="172"/>
      <c r="C169" s="172"/>
      <c r="D169" s="172"/>
      <c r="E169" s="172"/>
      <c r="F169" s="172"/>
      <c r="G169" s="172"/>
      <c r="H169" s="172"/>
      <c r="I169" s="172"/>
      <c r="J169" s="172"/>
      <c r="K169" s="172"/>
      <c r="L169" s="172"/>
    </row>
    <row r="170" spans="1:12" hidden="1">
      <c r="A170" s="172"/>
      <c r="B170" s="172"/>
      <c r="C170" s="172"/>
      <c r="D170" s="172"/>
      <c r="E170" s="172"/>
      <c r="F170" s="172"/>
      <c r="G170" s="172"/>
      <c r="H170" s="172"/>
      <c r="I170" s="172"/>
      <c r="J170" s="172"/>
      <c r="K170" s="172"/>
      <c r="L170" s="172"/>
    </row>
    <row r="171" spans="1:12" hidden="1">
      <c r="A171" s="172"/>
      <c r="B171" s="172"/>
      <c r="C171" s="172"/>
      <c r="D171" s="172"/>
      <c r="E171" s="172"/>
      <c r="F171" s="172"/>
      <c r="G171" s="172"/>
      <c r="H171" s="172"/>
      <c r="I171" s="172"/>
      <c r="J171" s="172"/>
      <c r="K171" s="172"/>
      <c r="L171" s="172"/>
    </row>
    <row r="172" spans="1:12" hidden="1">
      <c r="A172" s="172"/>
      <c r="B172" s="172"/>
      <c r="C172" s="172"/>
      <c r="D172" s="172"/>
      <c r="E172" s="172"/>
      <c r="F172" s="172"/>
      <c r="G172" s="172"/>
      <c r="H172" s="172"/>
      <c r="I172" s="172"/>
      <c r="J172" s="172"/>
      <c r="K172" s="172"/>
      <c r="L172" s="172"/>
    </row>
    <row r="173" spans="1:12" hidden="1">
      <c r="A173" s="172"/>
      <c r="B173" s="172"/>
      <c r="C173" s="172"/>
      <c r="D173" s="172"/>
      <c r="E173" s="172"/>
      <c r="F173" s="172"/>
      <c r="G173" s="172"/>
      <c r="H173" s="172"/>
      <c r="I173" s="172"/>
      <c r="J173" s="172"/>
      <c r="K173" s="172"/>
      <c r="L173" s="172"/>
    </row>
    <row r="174" spans="1:12" hidden="1">
      <c r="A174" s="172"/>
      <c r="B174" s="172"/>
      <c r="C174" s="172"/>
      <c r="D174" s="172"/>
      <c r="E174" s="172"/>
      <c r="F174" s="172"/>
      <c r="G174" s="172"/>
      <c r="H174" s="172"/>
      <c r="I174" s="172"/>
      <c r="J174" s="172"/>
      <c r="K174" s="172"/>
      <c r="L174" s="172"/>
    </row>
    <row r="175" spans="1:12" hidden="1">
      <c r="A175" s="172"/>
      <c r="B175" s="172"/>
      <c r="C175" s="172"/>
      <c r="D175" s="172"/>
      <c r="E175" s="172"/>
      <c r="F175" s="172"/>
      <c r="G175" s="172"/>
      <c r="H175" s="172"/>
      <c r="I175" s="172"/>
      <c r="J175" s="172"/>
      <c r="K175" s="172"/>
      <c r="L175" s="172"/>
    </row>
    <row r="176" spans="1:12" hidden="1">
      <c r="A176" s="172"/>
      <c r="B176" s="172"/>
      <c r="C176" s="172"/>
      <c r="D176" s="172"/>
      <c r="E176" s="172"/>
      <c r="F176" s="172"/>
      <c r="G176" s="172"/>
      <c r="H176" s="172"/>
      <c r="I176" s="172"/>
      <c r="J176" s="172"/>
      <c r="K176" s="172"/>
      <c r="L176" s="172"/>
    </row>
    <row r="177" spans="1:12" hidden="1">
      <c r="A177" s="172"/>
      <c r="B177" s="172"/>
      <c r="C177" s="172"/>
      <c r="D177" s="172"/>
      <c r="E177" s="172"/>
      <c r="F177" s="172"/>
      <c r="G177" s="172"/>
      <c r="H177" s="172"/>
      <c r="I177" s="172"/>
      <c r="J177" s="172"/>
      <c r="K177" s="172"/>
      <c r="L177" s="172"/>
    </row>
    <row r="178" spans="1:12" hidden="1">
      <c r="A178" s="172"/>
      <c r="B178" s="172"/>
      <c r="C178" s="172"/>
      <c r="D178" s="172"/>
      <c r="E178" s="172"/>
      <c r="F178" s="172"/>
      <c r="G178" s="172"/>
      <c r="H178" s="172"/>
      <c r="I178" s="172"/>
      <c r="J178" s="172"/>
      <c r="K178" s="172"/>
      <c r="L178" s="172"/>
    </row>
    <row r="179" spans="1:12" hidden="1">
      <c r="A179" s="172"/>
      <c r="B179" s="172"/>
      <c r="C179" s="172"/>
      <c r="D179" s="172"/>
      <c r="E179" s="172"/>
      <c r="F179" s="172"/>
      <c r="G179" s="172"/>
      <c r="H179" s="172"/>
      <c r="I179" s="172"/>
      <c r="J179" s="172"/>
      <c r="K179" s="172"/>
      <c r="L179" s="172"/>
    </row>
    <row r="180" spans="1:12" hidden="1">
      <c r="A180" s="172"/>
      <c r="B180" s="172"/>
      <c r="C180" s="172"/>
      <c r="D180" s="172"/>
      <c r="E180" s="172"/>
      <c r="F180" s="172"/>
      <c r="G180" s="172"/>
      <c r="H180" s="172"/>
      <c r="I180" s="172"/>
      <c r="J180" s="172"/>
      <c r="K180" s="172"/>
      <c r="L180" s="172"/>
    </row>
    <row r="181" spans="1:12" hidden="1">
      <c r="A181" s="172"/>
      <c r="B181" s="172"/>
      <c r="C181" s="172"/>
      <c r="D181" s="172"/>
      <c r="E181" s="172"/>
      <c r="F181" s="172"/>
      <c r="G181" s="172"/>
      <c r="H181" s="172"/>
      <c r="I181" s="172"/>
      <c r="J181" s="172"/>
      <c r="K181" s="172"/>
      <c r="L181" s="172"/>
    </row>
    <row r="182" spans="1:12" hidden="1">
      <c r="A182" s="172"/>
      <c r="B182" s="172"/>
      <c r="C182" s="172"/>
      <c r="D182" s="172"/>
      <c r="E182" s="172"/>
      <c r="F182" s="172"/>
      <c r="G182" s="172"/>
      <c r="H182" s="172"/>
      <c r="I182" s="172"/>
      <c r="J182" s="172"/>
      <c r="K182" s="172"/>
      <c r="L182" s="172"/>
    </row>
    <row r="183" spans="1:12" hidden="1">
      <c r="A183" s="172"/>
      <c r="B183" s="172"/>
      <c r="C183" s="172"/>
      <c r="D183" s="172"/>
      <c r="E183" s="172"/>
      <c r="F183" s="172"/>
      <c r="G183" s="172"/>
      <c r="H183" s="172"/>
      <c r="I183" s="172"/>
      <c r="J183" s="172"/>
      <c r="K183" s="172"/>
      <c r="L183" s="172"/>
    </row>
    <row r="184" spans="1:12" hidden="1">
      <c r="A184" s="172"/>
      <c r="B184" s="172"/>
      <c r="C184" s="172"/>
      <c r="D184" s="172"/>
      <c r="E184" s="172"/>
      <c r="F184" s="172"/>
      <c r="G184" s="172"/>
      <c r="H184" s="172"/>
      <c r="I184" s="172"/>
      <c r="J184" s="172"/>
      <c r="K184" s="172"/>
      <c r="L184" s="172"/>
    </row>
    <row r="185" spans="1:12" hidden="1">
      <c r="A185" s="172"/>
      <c r="B185" s="172"/>
      <c r="C185" s="172"/>
      <c r="D185" s="172"/>
      <c r="E185" s="172"/>
      <c r="F185" s="172"/>
      <c r="G185" s="172"/>
      <c r="H185" s="172"/>
      <c r="I185" s="172"/>
      <c r="J185" s="172"/>
      <c r="K185" s="172"/>
      <c r="L185" s="172"/>
    </row>
    <row r="186" spans="1:12" hidden="1">
      <c r="A186" s="172"/>
      <c r="B186" s="172"/>
      <c r="C186" s="172"/>
      <c r="D186" s="172"/>
      <c r="E186" s="172"/>
      <c r="F186" s="172"/>
      <c r="G186" s="172"/>
      <c r="H186" s="172"/>
      <c r="I186" s="172"/>
      <c r="J186" s="172"/>
      <c r="K186" s="172"/>
      <c r="L186" s="172"/>
    </row>
    <row r="187" spans="1:12" hidden="1">
      <c r="A187" s="172"/>
      <c r="B187" s="172"/>
      <c r="C187" s="172"/>
      <c r="D187" s="172"/>
      <c r="E187" s="172"/>
      <c r="F187" s="172"/>
      <c r="G187" s="172"/>
      <c r="H187" s="172"/>
      <c r="I187" s="172"/>
      <c r="J187" s="172"/>
      <c r="K187" s="172"/>
      <c r="L187" s="172"/>
    </row>
    <row r="188" spans="1:12" hidden="1">
      <c r="A188" s="172"/>
      <c r="B188" s="172"/>
      <c r="C188" s="172"/>
      <c r="D188" s="172"/>
      <c r="E188" s="172"/>
      <c r="F188" s="172"/>
      <c r="G188" s="172"/>
      <c r="H188" s="172"/>
      <c r="I188" s="172"/>
      <c r="J188" s="172"/>
      <c r="K188" s="172"/>
      <c r="L188" s="172"/>
    </row>
    <row r="189" spans="1:12" hidden="1">
      <c r="A189" s="172"/>
      <c r="B189" s="172"/>
      <c r="C189" s="172"/>
      <c r="D189" s="172"/>
      <c r="E189" s="172"/>
      <c r="F189" s="172"/>
      <c r="G189" s="172"/>
      <c r="H189" s="172"/>
      <c r="I189" s="172"/>
      <c r="J189" s="172"/>
      <c r="K189" s="172"/>
      <c r="L189" s="172"/>
    </row>
    <row r="190" spans="1:12" ht="21" hidden="1">
      <c r="A190" s="171"/>
      <c r="B190" s="172"/>
      <c r="C190" s="172"/>
      <c r="D190" s="172"/>
      <c r="E190" s="172"/>
      <c r="F190" s="172"/>
      <c r="G190" s="172"/>
      <c r="H190" s="172"/>
      <c r="I190" s="172"/>
      <c r="J190" s="172"/>
      <c r="K190" s="172"/>
      <c r="L190" s="172"/>
    </row>
    <row r="191" spans="1:12" hidden="1">
      <c r="A191" s="172"/>
      <c r="B191" s="172"/>
      <c r="C191" s="172"/>
      <c r="D191" s="172"/>
      <c r="E191" s="172"/>
      <c r="F191" s="172"/>
      <c r="G191" s="172"/>
      <c r="H191" s="172"/>
      <c r="I191" s="172"/>
      <c r="J191" s="172"/>
      <c r="K191" s="172"/>
      <c r="L191" s="172"/>
    </row>
    <row r="192" spans="1:12" hidden="1">
      <c r="A192" s="172"/>
      <c r="B192" s="183"/>
      <c r="C192" s="172"/>
      <c r="D192" s="172"/>
      <c r="E192" s="172"/>
      <c r="F192" s="172"/>
      <c r="G192" s="172"/>
      <c r="H192" s="172"/>
      <c r="I192" s="172"/>
      <c r="J192" s="172"/>
      <c r="K192" s="172"/>
      <c r="L192" s="172"/>
    </row>
    <row r="193" spans="1:12" hidden="1">
      <c r="A193" s="172"/>
      <c r="B193" s="183"/>
      <c r="C193" s="172"/>
      <c r="D193" s="172"/>
      <c r="E193" s="172"/>
      <c r="F193" s="172"/>
      <c r="G193" s="172"/>
      <c r="H193" s="172"/>
      <c r="I193" s="172"/>
      <c r="J193" s="172"/>
      <c r="K193" s="172"/>
      <c r="L193" s="172"/>
    </row>
    <row r="194" spans="1:12" hidden="1">
      <c r="A194" s="172"/>
      <c r="B194" s="183"/>
      <c r="C194" s="172"/>
      <c r="D194" s="172"/>
      <c r="E194" s="172"/>
      <c r="F194" s="172"/>
      <c r="G194" s="172"/>
      <c r="H194" s="172"/>
      <c r="I194" s="172"/>
      <c r="J194" s="172"/>
      <c r="K194" s="172"/>
      <c r="L194" s="172"/>
    </row>
    <row r="195" spans="1:12" hidden="1">
      <c r="A195" s="172"/>
      <c r="B195" s="183"/>
      <c r="C195" s="172"/>
      <c r="D195" s="172"/>
      <c r="E195" s="172"/>
      <c r="F195" s="172"/>
      <c r="G195" s="172"/>
      <c r="H195" s="172"/>
      <c r="I195" s="172"/>
      <c r="J195" s="172"/>
      <c r="K195" s="172"/>
      <c r="L195" s="172"/>
    </row>
    <row r="196" spans="1:12" hidden="1">
      <c r="A196" s="172"/>
      <c r="B196" s="183"/>
      <c r="C196" s="172"/>
      <c r="D196" s="172"/>
      <c r="E196" s="172"/>
      <c r="F196" s="172"/>
      <c r="G196" s="172"/>
      <c r="H196" s="172"/>
      <c r="I196" s="172"/>
      <c r="J196" s="172"/>
      <c r="K196" s="172"/>
      <c r="L196" s="172"/>
    </row>
  </sheetData>
  <pageMargins left="0.7" right="0.7" top="0.75" bottom="0.75" header="0.3" footer="0.3"/>
  <pageSetup orientation="portrait" horizontalDpi="1200" verticalDpi="1200" r:id="rId1"/>
  <headerFooter>
    <oddHeader>&amp;R&amp;F</oddHeader>
    <oddFooter xml:space="preserve">&amp;C_x000D_&amp;1#&amp;"Aptos"&amp;12&amp;K000000 Public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F5594-86D7-4A74-ADC8-CCFD10B340D6}">
  <sheetPr codeName="Sheet3">
    <pageSetUpPr autoPageBreaks="0"/>
  </sheetPr>
  <dimension ref="A1:T117"/>
  <sheetViews>
    <sheetView tabSelected="1" workbookViewId="0"/>
  </sheetViews>
  <sheetFormatPr defaultColWidth="8.81640625" defaultRowHeight="14.5"/>
  <cols>
    <col min="1" max="1" width="5.54296875" style="20" customWidth="1"/>
    <col min="2" max="2" width="25.54296875" style="20" customWidth="1"/>
    <col min="3" max="3" width="18.1796875" style="20" customWidth="1"/>
    <col min="4" max="4" width="23.26953125" style="20" customWidth="1"/>
    <col min="5" max="5" width="18" style="20" customWidth="1"/>
    <col min="6" max="7" width="13.453125" style="20" customWidth="1"/>
    <col min="8" max="8" width="15" style="20" customWidth="1"/>
    <col min="9" max="9" width="15.1796875" style="20" customWidth="1"/>
    <col min="10" max="10" width="17.81640625" style="20" customWidth="1"/>
    <col min="11" max="11" width="18.26953125" style="20" customWidth="1"/>
    <col min="12" max="12" width="18" style="20" customWidth="1"/>
    <col min="13" max="13" width="18.26953125" style="20" customWidth="1"/>
    <col min="14" max="15" width="13.453125" style="20" customWidth="1"/>
    <col min="16" max="16" width="14.81640625" style="20" bestFit="1" customWidth="1"/>
    <col min="17" max="17" width="15" style="20" bestFit="1" customWidth="1"/>
    <col min="18" max="19" width="15.81640625" style="20" customWidth="1"/>
    <col min="20" max="24" width="15.54296875" style="20" customWidth="1"/>
    <col min="25" max="16384" width="8.81640625" style="20"/>
  </cols>
  <sheetData>
    <row r="1" spans="2:18">
      <c r="B1" s="3"/>
    </row>
    <row r="2" spans="2:18">
      <c r="B2" s="15" t="s">
        <v>135</v>
      </c>
      <c r="J2" s="15" t="s">
        <v>21</v>
      </c>
      <c r="K2" s="16"/>
      <c r="L2" s="16"/>
    </row>
    <row r="3" spans="2:18">
      <c r="B3" s="16"/>
      <c r="C3" s="38" t="str">
        <f>"Rate Impact for Year ("&amp;'Incremental Rev Req'!$G$9&amp;" - "&amp;'Incremental Rev Req'!$J$9&amp;")"</f>
        <v>Rate Impact for Year (2026 - 2029)</v>
      </c>
      <c r="D3" s="22">
        <v>2029</v>
      </c>
      <c r="E3" s="16"/>
      <c r="H3" s="21" t="s">
        <v>430</v>
      </c>
      <c r="I3" s="123" t="s">
        <v>139</v>
      </c>
      <c r="J3" s="16" t="s">
        <v>136</v>
      </c>
      <c r="K3" s="18"/>
      <c r="L3" s="288">
        <v>46082</v>
      </c>
    </row>
    <row r="4" spans="2:18">
      <c r="B4" s="19"/>
      <c r="C4" s="39" t="s">
        <v>137</v>
      </c>
      <c r="D4" s="22" t="s">
        <v>202</v>
      </c>
      <c r="H4" s="21" t="s">
        <v>431</v>
      </c>
      <c r="I4" s="22">
        <v>500</v>
      </c>
      <c r="J4" s="16" t="s">
        <v>39</v>
      </c>
      <c r="K4" s="18"/>
      <c r="L4" s="289">
        <f>D3</f>
        <v>2029</v>
      </c>
    </row>
    <row r="5" spans="2:18">
      <c r="J5" s="19" t="s">
        <v>33</v>
      </c>
      <c r="L5" s="290">
        <v>4</v>
      </c>
      <c r="M5" s="19" t="s">
        <v>34</v>
      </c>
    </row>
    <row r="6" spans="2:18" ht="15" thickBot="1">
      <c r="F6" s="40"/>
      <c r="J6" s="19" t="s">
        <v>35</v>
      </c>
      <c r="L6" s="291">
        <v>8</v>
      </c>
      <c r="M6" s="19" t="s">
        <v>34</v>
      </c>
    </row>
    <row r="7" spans="2:18" ht="15" customHeight="1" thickBot="1">
      <c r="B7" s="275" t="s">
        <v>184</v>
      </c>
      <c r="C7" s="276"/>
      <c r="D7" s="277" t="s">
        <v>138</v>
      </c>
      <c r="E7" s="278" t="s">
        <v>150</v>
      </c>
      <c r="J7" s="19" t="s">
        <v>32</v>
      </c>
      <c r="L7" s="292" t="s">
        <v>231</v>
      </c>
      <c r="M7" s="23"/>
      <c r="N7" s="16"/>
    </row>
    <row r="8" spans="2:18">
      <c r="B8" s="279" t="s">
        <v>334</v>
      </c>
      <c r="C8" s="280"/>
      <c r="D8" s="281" t="s">
        <v>139</v>
      </c>
      <c r="E8" s="282" t="s">
        <v>690</v>
      </c>
      <c r="F8" s="41"/>
      <c r="J8" s="20" t="s">
        <v>269</v>
      </c>
      <c r="L8" s="293">
        <v>-36.17754594732898</v>
      </c>
      <c r="P8" s="20" t="s">
        <v>351</v>
      </c>
      <c r="Q8" s="20" t="s">
        <v>351</v>
      </c>
    </row>
    <row r="9" spans="2:18">
      <c r="B9" s="108" t="s">
        <v>446</v>
      </c>
      <c r="D9" s="40" t="s">
        <v>139</v>
      </c>
      <c r="E9" s="198" t="s">
        <v>691</v>
      </c>
      <c r="F9" s="41"/>
      <c r="N9" s="20" t="s">
        <v>234</v>
      </c>
      <c r="O9" s="20" t="s">
        <v>235</v>
      </c>
      <c r="P9" s="20" t="s">
        <v>234</v>
      </c>
      <c r="Q9" s="20" t="s">
        <v>235</v>
      </c>
    </row>
    <row r="10" spans="2:18">
      <c r="B10" s="108" t="s">
        <v>445</v>
      </c>
      <c r="D10" s="40" t="s">
        <v>139</v>
      </c>
      <c r="E10" s="198" t="s">
        <v>691</v>
      </c>
      <c r="F10" s="41"/>
      <c r="J10" s="19" t="s">
        <v>49</v>
      </c>
      <c r="N10" s="91">
        <f>IF($D$4="ALL",SUMPRODUCT('Res Bill Impact'!Q$22:Q$31,'Res Bill Impact'!$U$22:$U$31),VLOOKUP(D$4,'Res Bill Impact'!$P$22:$T$31,2,FALSE))</f>
        <v>413.75</v>
      </c>
      <c r="O10" s="91">
        <f>IF($D$4="ALL",SUMPRODUCT('Res Bill Impact'!Y$22:Y$31,'Res Bill Impact'!$AC$22:$AC$31),VLOOKUP($D$4,'Res Bill Impact'!$X$22:$AB$31,2,FALSE))</f>
        <v>401.25</v>
      </c>
      <c r="P10" s="91">
        <f>VLOOKUP($D$4,'Res Bill Impact'!$H$22:$J$31,2,FALSE)</f>
        <v>298.28750000000002</v>
      </c>
      <c r="Q10" s="91">
        <f>VLOOKUP($D$4,'Res Bill Impact'!$L$22:$N$31,2,FALSE)</f>
        <v>258.71875</v>
      </c>
      <c r="R10" s="19" t="s">
        <v>29</v>
      </c>
    </row>
    <row r="11" spans="2:18">
      <c r="B11" s="108" t="s">
        <v>501</v>
      </c>
      <c r="C11" s="40"/>
      <c r="D11" s="40" t="s">
        <v>139</v>
      </c>
      <c r="E11" s="198" t="s">
        <v>691</v>
      </c>
      <c r="F11" s="41"/>
      <c r="J11" s="19" t="s">
        <v>50</v>
      </c>
      <c r="N11" s="91">
        <f>IF($D$4="ALL",SUMPRODUCT('Res Bill Impact'!R$22:R$31,'Res Bill Impact'!$U$22:$U$31),VLOOKUP(D$4,'Res Bill Impact'!$P$22:$T$31,3,FALSE))</f>
        <v>400.625</v>
      </c>
      <c r="O11" s="91">
        <f>IF($D$4="ALL",SUMPRODUCT('Res Bill Impact'!Y$22:Y$31,'Res Bill Impact'!$AC$22:$AC$31),VLOOKUP($D$4,'Res Bill Impact'!$X$22:$AB$31,3,FALSE))</f>
        <v>458</v>
      </c>
      <c r="P11" s="91">
        <f>VLOOKUP($D$4,'Res Bill Impact'!$H$22:$J$31,3,FALSE)</f>
        <v>295.24374999999998</v>
      </c>
      <c r="Q11" s="91">
        <f>VLOOKUP($D$4,'Res Bill Impact'!$L$22:$N$31,3,FALSE)</f>
        <v>444.38749999999999</v>
      </c>
      <c r="R11" s="19" t="s">
        <v>29</v>
      </c>
    </row>
    <row r="12" spans="2:18">
      <c r="B12" s="108" t="s">
        <v>596</v>
      </c>
      <c r="D12" s="40" t="s">
        <v>139</v>
      </c>
      <c r="E12" s="198" t="s">
        <v>691</v>
      </c>
      <c r="F12" s="41"/>
      <c r="J12" s="19" t="s">
        <v>232</v>
      </c>
      <c r="N12" s="91">
        <f>(N10*4)+(N11*8)</f>
        <v>4860</v>
      </c>
      <c r="O12" s="91">
        <f>(O10*4)+(O11*8)</f>
        <v>5269</v>
      </c>
      <c r="P12" s="91">
        <f>(P10*4)+(P11*8)</f>
        <v>3555.1</v>
      </c>
      <c r="Q12" s="91">
        <f>(Q10*4)+(Q11*8)</f>
        <v>4589.9750000000004</v>
      </c>
      <c r="R12" s="19" t="s">
        <v>246</v>
      </c>
    </row>
    <row r="13" spans="2:18">
      <c r="B13" s="108" t="s">
        <v>658</v>
      </c>
      <c r="D13" s="40" t="s">
        <v>139</v>
      </c>
      <c r="E13" s="198">
        <v>2027</v>
      </c>
      <c r="F13" s="41"/>
      <c r="J13" s="19" t="s">
        <v>51</v>
      </c>
      <c r="N13" s="91">
        <f>IF(D$4="ALL",SUMPRODUCT('Res Bill Impact'!S$22:S$31,'Res Bill Impact'!$V$22:$V$31),VLOOKUP(D$4,'Res Bill Impact'!$P$22:$T$31,4,FALSE))</f>
        <v>390.75</v>
      </c>
      <c r="O13" s="91">
        <f>IF($D$4="ALL",SUMPRODUCT('Res Bill Impact'!Y$22:Y$31,'Res Bill Impact'!$AD$22:$AD$31),VLOOKUP($D$4,'Res Bill Impact'!$X$22:$AB$31,4,FALSE))</f>
        <v>376.5</v>
      </c>
      <c r="P13" s="91">
        <f t="shared" ref="P13:Q15" si="0">P10</f>
        <v>298.28750000000002</v>
      </c>
      <c r="Q13" s="91">
        <f t="shared" si="0"/>
        <v>258.71875</v>
      </c>
      <c r="R13" s="19" t="s">
        <v>29</v>
      </c>
    </row>
    <row r="14" spans="2:18">
      <c r="B14" s="108" t="s">
        <v>659</v>
      </c>
      <c r="C14" s="40"/>
      <c r="D14" s="40" t="s">
        <v>139</v>
      </c>
      <c r="E14" s="198">
        <v>2027</v>
      </c>
      <c r="F14" s="41"/>
      <c r="J14" s="19" t="s">
        <v>52</v>
      </c>
      <c r="N14" s="91">
        <f>IF($D$4="ALL",SUMPRODUCT('Res Bill Impact'!T$22:T$31,'Res Bill Impact'!$V$22:$V$31),VLOOKUP(D$4,'Res Bill Impact'!$P$22:$T$31,5,FALSE))</f>
        <v>383</v>
      </c>
      <c r="O14" s="91">
        <f>IF($D$4="ALL",SUMPRODUCT('Res Bill Impact'!Y$22:Y$31,'Res Bill Impact'!$AD$22:$AD$31),VLOOKUP($D$4,'Res Bill Impact'!$X$22:$AB$31,5,FALSE))</f>
        <v>438.5</v>
      </c>
      <c r="P14" s="91">
        <f t="shared" si="0"/>
        <v>295.24374999999998</v>
      </c>
      <c r="Q14" s="91">
        <f t="shared" si="0"/>
        <v>444.38749999999999</v>
      </c>
      <c r="R14" s="19" t="s">
        <v>29</v>
      </c>
    </row>
    <row r="15" spans="2:18">
      <c r="B15" s="108" t="s">
        <v>661</v>
      </c>
      <c r="D15" s="40" t="s">
        <v>139</v>
      </c>
      <c r="E15" s="198" t="s">
        <v>662</v>
      </c>
      <c r="F15" s="41"/>
      <c r="J15" s="19" t="s">
        <v>233</v>
      </c>
      <c r="N15" s="91">
        <f>(N13*4)+(N14*8)</f>
        <v>4627</v>
      </c>
      <c r="O15" s="91">
        <f>(O13*4)+(O14*8)</f>
        <v>5014</v>
      </c>
      <c r="P15" s="91">
        <f t="shared" si="0"/>
        <v>3555.1</v>
      </c>
      <c r="Q15" s="91">
        <f t="shared" si="0"/>
        <v>4589.9750000000004</v>
      </c>
      <c r="R15" s="19" t="s">
        <v>246</v>
      </c>
    </row>
    <row r="16" spans="2:18" ht="24.65" customHeight="1">
      <c r="B16" s="108" t="s">
        <v>660</v>
      </c>
      <c r="D16" s="40" t="s">
        <v>139</v>
      </c>
      <c r="E16" s="198" t="s">
        <v>662</v>
      </c>
      <c r="F16" s="41"/>
      <c r="J16" s="19" t="s">
        <v>31</v>
      </c>
      <c r="N16" s="21"/>
      <c r="P16" s="55" t="str">
        <f>LEFT('Res Bill Impact'!P19,4)</f>
        <v>2025</v>
      </c>
    </row>
    <row r="17" spans="1:20" ht="24.65" customHeight="1">
      <c r="B17" s="283" t="s">
        <v>695</v>
      </c>
      <c r="D17" s="40" t="s">
        <v>139</v>
      </c>
      <c r="E17" s="198" t="s">
        <v>697</v>
      </c>
      <c r="F17" s="41"/>
      <c r="J17" s="19"/>
      <c r="N17" s="21"/>
    </row>
    <row r="18" spans="1:20">
      <c r="A18" s="90"/>
      <c r="B18" s="284" t="s">
        <v>688</v>
      </c>
      <c r="D18" s="40" t="s">
        <v>139</v>
      </c>
      <c r="E18" s="198">
        <v>2027</v>
      </c>
      <c r="F18" s="41"/>
      <c r="J18" s="19"/>
      <c r="M18" s="19"/>
    </row>
    <row r="19" spans="1:20">
      <c r="A19" s="40"/>
      <c r="B19" s="284" t="s">
        <v>698</v>
      </c>
      <c r="C19" s="40"/>
      <c r="D19" s="40" t="s">
        <v>139</v>
      </c>
      <c r="E19" s="198">
        <v>2027</v>
      </c>
      <c r="F19" s="40"/>
      <c r="J19" s="19"/>
      <c r="M19" s="19"/>
    </row>
    <row r="20" spans="1:20">
      <c r="A20" s="40"/>
      <c r="B20" s="284"/>
      <c r="C20" s="40"/>
      <c r="D20" s="40"/>
      <c r="E20" s="198"/>
      <c r="F20" s="40"/>
      <c r="J20" s="19"/>
      <c r="M20" s="19"/>
    </row>
    <row r="21" spans="1:20">
      <c r="B21" s="284"/>
      <c r="D21" s="40"/>
      <c r="E21" s="198"/>
      <c r="F21" s="41"/>
      <c r="J21" s="19"/>
      <c r="M21" s="19"/>
    </row>
    <row r="22" spans="1:20">
      <c r="B22" s="108"/>
      <c r="D22" s="40"/>
      <c r="E22" s="198"/>
      <c r="F22" s="41"/>
      <c r="J22" s="19"/>
      <c r="M22" s="19"/>
    </row>
    <row r="23" spans="1:20" ht="15" thickBot="1">
      <c r="B23" s="263"/>
      <c r="C23" s="264"/>
      <c r="D23" s="264"/>
      <c r="E23" s="265"/>
      <c r="F23" s="102"/>
      <c r="J23" s="19"/>
      <c r="M23" s="19"/>
    </row>
    <row r="24" spans="1:20">
      <c r="B24" s="38"/>
      <c r="C24" s="41"/>
      <c r="D24" s="163"/>
      <c r="F24" s="102"/>
      <c r="J24" s="19"/>
      <c r="M24" s="19"/>
      <c r="P24" s="102"/>
    </row>
    <row r="25" spans="1:20">
      <c r="B25" s="15" t="s">
        <v>140</v>
      </c>
      <c r="F25" s="102"/>
      <c r="P25" s="102"/>
    </row>
    <row r="26" spans="1:20" ht="15" thickBot="1">
      <c r="D26" s="48" t="s">
        <v>153</v>
      </c>
      <c r="E26" s="48" t="s">
        <v>154</v>
      </c>
      <c r="F26" s="48" t="s">
        <v>155</v>
      </c>
      <c r="G26" s="48" t="s">
        <v>158</v>
      </c>
      <c r="H26" s="48" t="s">
        <v>159</v>
      </c>
      <c r="I26" s="48" t="s">
        <v>160</v>
      </c>
      <c r="J26" s="48" t="s">
        <v>161</v>
      </c>
      <c r="N26" s="48" t="s">
        <v>153</v>
      </c>
      <c r="O26" s="48" t="s">
        <v>154</v>
      </c>
      <c r="P26" s="48" t="s">
        <v>155</v>
      </c>
      <c r="Q26" s="48" t="s">
        <v>158</v>
      </c>
      <c r="R26" s="48" t="s">
        <v>159</v>
      </c>
      <c r="S26" s="48" t="s">
        <v>160</v>
      </c>
      <c r="T26" s="48" t="s">
        <v>161</v>
      </c>
    </row>
    <row r="27" spans="1:20">
      <c r="B27" s="517" t="s">
        <v>141</v>
      </c>
      <c r="C27" s="518"/>
      <c r="D27" s="518"/>
      <c r="E27" s="518"/>
      <c r="F27" s="518"/>
      <c r="G27" s="518"/>
      <c r="H27" s="518"/>
      <c r="I27" s="518"/>
      <c r="J27" s="519"/>
      <c r="L27" s="520" t="s">
        <v>142</v>
      </c>
      <c r="M27" s="521"/>
      <c r="N27" s="521"/>
      <c r="O27" s="521"/>
      <c r="P27" s="521"/>
      <c r="Q27" s="521"/>
      <c r="R27" s="521"/>
      <c r="S27" s="521"/>
      <c r="T27" s="522"/>
    </row>
    <row r="28" spans="1:20" ht="29">
      <c r="B28" s="523" t="s">
        <v>17</v>
      </c>
      <c r="C28" s="524"/>
      <c r="D28" s="14">
        <v>46023</v>
      </c>
      <c r="E28" s="14">
        <f>L3</f>
        <v>46082</v>
      </c>
      <c r="F28" s="17" t="str">
        <f>$D$3&amp;" Authorized"</f>
        <v>2029 Authorized</v>
      </c>
      <c r="G28" s="17" t="str">
        <f>$D$3&amp;" w/Pending"</f>
        <v>2029 w/Pending</v>
      </c>
      <c r="H28" s="69" t="str">
        <f>"% Change over "&amp;TEXT(D28,"mm/d/yyy")</f>
        <v>% Change over 01/1/2026</v>
      </c>
      <c r="I28" s="69" t="str">
        <f>"% Change over "&amp;TEXT(L3,"mm/d/yyy")</f>
        <v>% Change over 03/1/2026</v>
      </c>
      <c r="J28" s="65" t="s">
        <v>185</v>
      </c>
      <c r="L28" s="525" t="s">
        <v>17</v>
      </c>
      <c r="M28" s="526"/>
      <c r="N28" s="14">
        <f>$D$28</f>
        <v>46023</v>
      </c>
      <c r="O28" s="14">
        <f>$E$28</f>
        <v>46082</v>
      </c>
      <c r="P28" s="17" t="str">
        <f>$D$3&amp;" Authorized"</f>
        <v>2029 Authorized</v>
      </c>
      <c r="Q28" s="17" t="str">
        <f>$D$3&amp;" w/Pending"</f>
        <v>2029 w/Pending</v>
      </c>
      <c r="R28" s="17" t="str">
        <f>$H$28</f>
        <v>% Change over 01/1/2026</v>
      </c>
      <c r="S28" s="17" t="str">
        <f>$I$28</f>
        <v>% Change over 03/1/2026</v>
      </c>
      <c r="T28" s="65" t="s">
        <v>185</v>
      </c>
    </row>
    <row r="29" spans="1:20">
      <c r="B29" s="527" t="s">
        <v>18</v>
      </c>
      <c r="C29" s="528"/>
      <c r="D29" s="147">
        <f>IF($I$3="Y", 'SAR and RAR'!AB45, 'SAR and RAR'!AC45)</f>
        <v>33.674121802021645</v>
      </c>
      <c r="E29" s="24">
        <f>IF($I$3="Y", 'SAR and RAR'!AB50, 'SAR and RAR'!AC50)</f>
        <v>32.340654762006949</v>
      </c>
      <c r="F29" s="24">
        <f>'SAR and RAR'!$H$28</f>
        <v>31.414762757437831</v>
      </c>
      <c r="G29" s="24">
        <f>'SAR and RAR'!$I$28</f>
        <v>35.700821815532585</v>
      </c>
      <c r="H29" s="25">
        <f t="shared" ref="H29:I31" si="1">$G29/D29-1</f>
        <v>6.0185682804926754E-2</v>
      </c>
      <c r="I29" s="25">
        <f t="shared" si="1"/>
        <v>0.10389916587196257</v>
      </c>
      <c r="J29" s="26">
        <f t="shared" ref="J29:J30" si="2">$G29/F29-1</f>
        <v>0.13643455120729753</v>
      </c>
      <c r="L29" s="527" t="s">
        <v>38</v>
      </c>
      <c r="M29" s="528"/>
      <c r="N29" s="24">
        <f>IF($I$3="Y", 'SAR and RAR'!AE45, 'SAR and RAR'!AF45)</f>
        <v>30.486135087914555</v>
      </c>
      <c r="O29" s="24">
        <f>IF($I$3="Y", 'SAR and RAR'!AE50, 'SAR and RAR'!AF50)</f>
        <v>29.788022651798478</v>
      </c>
      <c r="P29" s="24">
        <f>'SAR and RAR'!$R$28</f>
        <v>26.055130701242607</v>
      </c>
      <c r="Q29" s="24">
        <f>'SAR and RAR'!$S$28</f>
        <v>30.741967740168409</v>
      </c>
      <c r="R29" s="25">
        <f t="shared" ref="R29:T30" si="3">$Q29/N29-1</f>
        <v>8.3917706037874851E-3</v>
      </c>
      <c r="S29" s="25">
        <f t="shared" si="3"/>
        <v>3.2024451556281308E-2</v>
      </c>
      <c r="T29" s="26">
        <f t="shared" si="3"/>
        <v>0.17988154013375501</v>
      </c>
    </row>
    <row r="30" spans="1:20">
      <c r="B30" s="118"/>
      <c r="C30" s="119" t="s">
        <v>376</v>
      </c>
      <c r="D30" s="120">
        <f>IF($I$3="Y", 'SAR and RAR (B-1)'!AB47,'SAR and RAR (B-1)'!AC47)</f>
        <v>41.443190323578825</v>
      </c>
      <c r="E30" s="287">
        <f>IF($I$3="Y", 'SAR and RAR (B-1)'!AB52,'SAR and RAR (B-1)'!AC52)</f>
        <v>40.73713053702604</v>
      </c>
      <c r="F30" s="120">
        <f>'SAR and RAR (B-1)'!H28</f>
        <v>38.560397855568517</v>
      </c>
      <c r="G30" s="120">
        <f>'SAR and RAR (B-1)'!I28</f>
        <v>44.510834997858886</v>
      </c>
      <c r="H30" s="25">
        <f t="shared" si="1"/>
        <v>7.4020475989628354E-2</v>
      </c>
      <c r="I30" s="25">
        <f t="shared" si="1"/>
        <v>9.2635500122005832E-2</v>
      </c>
      <c r="J30" s="26">
        <f t="shared" si="2"/>
        <v>0.15431472373750577</v>
      </c>
      <c r="L30" s="118"/>
      <c r="M30" s="119" t="s">
        <v>376</v>
      </c>
      <c r="N30" s="120">
        <f>IF($I$3="Y",'SAR and RAR (B-1)'!AE47,'SAR and RAR (B-1)'!AF47)</f>
        <v>35.574773392062006</v>
      </c>
      <c r="O30" s="120">
        <f>IF($I$3="Y", 'SAR and RAR (B-1)'!AE52,'SAR and RAR (B-1)'!AF52)</f>
        <v>34.868791397863305</v>
      </c>
      <c r="P30" s="120">
        <f>'SAR and RAR (B-1)'!R28</f>
        <v>29.652894289586051</v>
      </c>
      <c r="Q30" s="120">
        <f>'SAR and RAR (B-1)'!S28</f>
        <v>35.708767422958012</v>
      </c>
      <c r="R30" s="25">
        <f t="shared" si="3"/>
        <v>3.7665462944567185E-3</v>
      </c>
      <c r="S30" s="25">
        <f t="shared" si="3"/>
        <v>2.4089622594323012E-2</v>
      </c>
      <c r="T30" s="26">
        <f t="shared" si="3"/>
        <v>0.20422536411559511</v>
      </c>
    </row>
    <row r="31" spans="1:20" ht="15" thickBot="1">
      <c r="B31" s="515" t="s">
        <v>28</v>
      </c>
      <c r="C31" s="516"/>
      <c r="D31" s="161">
        <f>IF($I$3="Y", 'SAR and RAR'!AB46, 'SAR and RAR'!AC46)</f>
        <v>33.416008222733581</v>
      </c>
      <c r="E31" s="27">
        <f>IF($I$3="Y", 'SAR and RAR'!AB51, 'SAR and RAR'!AC51)</f>
        <v>32.596708001946226</v>
      </c>
      <c r="F31" s="27">
        <f>'SAR and RAR'!$H$29</f>
        <v>31.306003070908904</v>
      </c>
      <c r="G31" s="27">
        <f>'SAR and RAR'!$I$29</f>
        <v>35.449731967456358</v>
      </c>
      <c r="H31" s="28">
        <f t="shared" si="1"/>
        <v>6.0860762637088284E-2</v>
      </c>
      <c r="I31" s="28">
        <f t="shared" si="1"/>
        <v>8.7524910961554347E-2</v>
      </c>
      <c r="J31" s="29">
        <f>$G31/F31-1</f>
        <v>0.13236211876558635</v>
      </c>
      <c r="L31" s="515" t="s">
        <v>37</v>
      </c>
      <c r="M31" s="516"/>
      <c r="N31" s="27">
        <f>IF($I$3="Y", 'SAR and RAR'!AE46, 'SAR and RAR'!AF46)</f>
        <v>27.143640625458705</v>
      </c>
      <c r="O31" s="27">
        <f>IF($I$3="Y", 'SAR and RAR'!AE51, 'SAR and RAR'!AF51)</f>
        <v>26.65073540105055</v>
      </c>
      <c r="P31" s="27">
        <f>'SAR and RAR'!$R$29</f>
        <v>23.079560753157391</v>
      </c>
      <c r="Q31" s="27">
        <f>'SAR and RAR'!$S$29</f>
        <v>27.294813107012299</v>
      </c>
      <c r="R31" s="28">
        <f>$Q31/N31-1</f>
        <v>5.5693517181261143E-3</v>
      </c>
      <c r="S31" s="28">
        <f>$Q31/O31-1</f>
        <v>2.4167352092518968E-2</v>
      </c>
      <c r="T31" s="29">
        <f>$Q31/P31-1</f>
        <v>0.18264005970209984</v>
      </c>
    </row>
    <row r="33" spans="2:20" ht="15" thickBot="1"/>
    <row r="34" spans="2:20">
      <c r="B34" s="510" t="s">
        <v>251</v>
      </c>
      <c r="C34" s="511"/>
      <c r="D34" s="511"/>
      <c r="E34" s="511"/>
      <c r="F34" s="511"/>
      <c r="G34" s="511"/>
      <c r="H34" s="511"/>
      <c r="I34" s="511"/>
      <c r="J34" s="512"/>
      <c r="L34" s="510" t="s">
        <v>260</v>
      </c>
      <c r="M34" s="511"/>
      <c r="N34" s="511"/>
      <c r="O34" s="511"/>
      <c r="P34" s="511"/>
      <c r="Q34" s="511"/>
      <c r="R34" s="511"/>
      <c r="S34" s="511"/>
      <c r="T34" s="512"/>
    </row>
    <row r="35" spans="2:20" ht="29">
      <c r="B35" s="30"/>
      <c r="C35" s="31"/>
      <c r="D35" s="14">
        <f>$D$28</f>
        <v>46023</v>
      </c>
      <c r="E35" s="14">
        <f>$E$28</f>
        <v>46082</v>
      </c>
      <c r="F35" s="17" t="str">
        <f>$D$3&amp;" Authorized"</f>
        <v>2029 Authorized</v>
      </c>
      <c r="G35" s="17" t="str">
        <f>$D$3&amp;" w/Pending"</f>
        <v>2029 w/Pending</v>
      </c>
      <c r="H35" s="17" t="str">
        <f>$H$28</f>
        <v>% Change over 01/1/2026</v>
      </c>
      <c r="I35" s="17" t="str">
        <f>$I$28</f>
        <v>% Change over 03/1/2026</v>
      </c>
      <c r="J35" s="65" t="s">
        <v>185</v>
      </c>
      <c r="L35" s="30"/>
      <c r="M35" s="31"/>
      <c r="N35" s="14">
        <f>$D$28</f>
        <v>46023</v>
      </c>
      <c r="O35" s="14">
        <f>$E$28</f>
        <v>46082</v>
      </c>
      <c r="P35" s="17" t="str">
        <f>$D$3&amp;" Authorized"</f>
        <v>2029 Authorized</v>
      </c>
      <c r="Q35" s="17" t="str">
        <f>$D$3&amp;" w/Pending"</f>
        <v>2029 w/Pending</v>
      </c>
      <c r="R35" s="17" t="str">
        <f>$H$28</f>
        <v>% Change over 01/1/2026</v>
      </c>
      <c r="S35" s="17" t="str">
        <f>$I$28</f>
        <v>% Change over 03/1/2026</v>
      </c>
      <c r="T35" s="65" t="s">
        <v>185</v>
      </c>
    </row>
    <row r="36" spans="2:20">
      <c r="B36" s="513" t="s">
        <v>47</v>
      </c>
      <c r="C36" s="514"/>
      <c r="D36" s="32">
        <f t="shared" ref="D36:G37" si="4">((D43*4)+(D50*8)+($L$8*2))/12</f>
        <v>157.62058684211183</v>
      </c>
      <c r="E36" s="32">
        <f t="shared" si="4"/>
        <v>158.84555228996908</v>
      </c>
      <c r="F36" s="32">
        <f t="shared" si="4"/>
        <v>156.0352367834052</v>
      </c>
      <c r="G36" s="32">
        <f t="shared" si="4"/>
        <v>175.85431333949546</v>
      </c>
      <c r="H36" s="33">
        <f t="shared" ref="H36:I38" si="5">$G36/D36-1</f>
        <v>0.11568112302264377</v>
      </c>
      <c r="I36" s="66">
        <f t="shared" si="5"/>
        <v>0.10707735158034049</v>
      </c>
      <c r="J36" s="34">
        <f t="shared" ref="J36:J38" si="6">$G36/F36-1</f>
        <v>0.12701667241740666</v>
      </c>
      <c r="L36" s="513" t="s">
        <v>47</v>
      </c>
      <c r="M36" s="514"/>
      <c r="N36" s="32">
        <f t="shared" ref="N36:Q37" si="7">((N43*4)+(N50*8)+($L$8*2))/12</f>
        <v>165.52811246711187</v>
      </c>
      <c r="O36" s="32">
        <f t="shared" si="7"/>
        <v>165.69785337644797</v>
      </c>
      <c r="P36" s="32">
        <f t="shared" si="7"/>
        <v>162.75069574238671</v>
      </c>
      <c r="Q36" s="32">
        <f t="shared" si="7"/>
        <v>183.53481860542547</v>
      </c>
      <c r="R36" s="92">
        <f t="shared" ref="R36:T38" si="8">$Q36/N36-1</f>
        <v>0.10878337141608663</v>
      </c>
      <c r="S36" s="92">
        <f t="shared" si="8"/>
        <v>0.10764753354078649</v>
      </c>
      <c r="T36" s="34">
        <f t="shared" si="8"/>
        <v>0.12770527811406307</v>
      </c>
    </row>
    <row r="37" spans="2:20">
      <c r="B37" s="513" t="s">
        <v>48</v>
      </c>
      <c r="C37" s="514"/>
      <c r="D37" s="32">
        <f t="shared" si="4"/>
        <v>88.300450925445162</v>
      </c>
      <c r="E37" s="32">
        <f t="shared" si="4"/>
        <v>82.304140529387197</v>
      </c>
      <c r="F37" s="32">
        <f t="shared" si="4"/>
        <v>80.659915787378665</v>
      </c>
      <c r="G37" s="32">
        <f t="shared" si="4"/>
        <v>92.255416705753859</v>
      </c>
      <c r="H37" s="33">
        <f t="shared" si="5"/>
        <v>4.4789870706866575E-2</v>
      </c>
      <c r="I37" s="33">
        <f t="shared" si="5"/>
        <v>0.12090857291454848</v>
      </c>
      <c r="J37" s="34">
        <f t="shared" si="6"/>
        <v>0.14375791004966065</v>
      </c>
      <c r="L37" s="513" t="s">
        <v>48</v>
      </c>
      <c r="M37" s="514"/>
      <c r="N37" s="32">
        <f t="shared" si="7"/>
        <v>92.613175779611836</v>
      </c>
      <c r="O37" s="32">
        <f t="shared" si="7"/>
        <v>86.146169055757255</v>
      </c>
      <c r="P37" s="32">
        <f t="shared" si="7"/>
        <v>84.425218065030364</v>
      </c>
      <c r="Q37" s="32">
        <f t="shared" si="7"/>
        <v>96.561812463357896</v>
      </c>
      <c r="R37" s="92">
        <f t="shared" si="8"/>
        <v>4.2635798313864992E-2</v>
      </c>
      <c r="S37" s="92">
        <f t="shared" si="8"/>
        <v>0.12090663487147313</v>
      </c>
      <c r="T37" s="34">
        <f t="shared" si="8"/>
        <v>0.14375555878314761</v>
      </c>
    </row>
    <row r="38" spans="2:20" ht="15" thickBot="1">
      <c r="B38" s="515" t="s">
        <v>132</v>
      </c>
      <c r="C38" s="516"/>
      <c r="D38" s="35">
        <f>((D45*4)+(D52*8)+($L$8*2))/12</f>
        <v>138.87287098564079</v>
      </c>
      <c r="E38" s="35">
        <f>((E45*4)+(E52*8)+($L$8*2))/12</f>
        <v>138.14483351663023</v>
      </c>
      <c r="F38" s="35">
        <f>((F45*4)+(F52*8)+($L$8*2))/12</f>
        <v>135.64988868884026</v>
      </c>
      <c r="G38" s="35">
        <f>((G45*4)+(G52*8)+($L$8*2))/12</f>
        <v>153.24488911840044</v>
      </c>
      <c r="H38" s="36">
        <f t="shared" si="5"/>
        <v>0.10349046599782397</v>
      </c>
      <c r="I38" s="36">
        <f t="shared" si="5"/>
        <v>0.10930597415322385</v>
      </c>
      <c r="J38" s="37">
        <f t="shared" si="6"/>
        <v>0.12970891903877901</v>
      </c>
      <c r="L38" s="515" t="s">
        <v>132</v>
      </c>
      <c r="M38" s="516"/>
      <c r="N38" s="35">
        <f>((N45*4)+(N52*8)+($L$8*2))/12</f>
        <v>145.80817832917023</v>
      </c>
      <c r="O38" s="35">
        <f>((O45*4)+(O52*8)+($L$8*2))/12</f>
        <v>144.1830026937993</v>
      </c>
      <c r="P38" s="35">
        <f>((P45*4)+(P52*8)+($L$8*2))/12</f>
        <v>141.56747415172637</v>
      </c>
      <c r="Q38" s="35">
        <f>((Q45*4)+(Q52*8)+($L$8*2))/12</f>
        <v>160.0128623257269</v>
      </c>
      <c r="R38" s="94">
        <f t="shared" si="8"/>
        <v>9.7420351583357601E-2</v>
      </c>
      <c r="S38" s="94">
        <f t="shared" si="8"/>
        <v>0.10979005386332119</v>
      </c>
      <c r="T38" s="53">
        <f t="shared" si="8"/>
        <v>0.13029396960372042</v>
      </c>
    </row>
    <row r="39" spans="2:20">
      <c r="B39" s="38"/>
      <c r="C39" s="38"/>
      <c r="D39" s="87"/>
      <c r="E39" s="87"/>
      <c r="F39" s="87"/>
      <c r="G39" s="87"/>
      <c r="H39" s="88"/>
      <c r="I39" s="88"/>
      <c r="J39" s="88"/>
      <c r="L39" s="38"/>
      <c r="M39" s="38"/>
      <c r="N39" s="87"/>
      <c r="O39" s="87"/>
      <c r="P39" s="87"/>
      <c r="Q39" s="87"/>
      <c r="R39" s="88"/>
      <c r="S39" s="88"/>
      <c r="T39" s="88"/>
    </row>
    <row r="40" spans="2:20" ht="15" thickBot="1">
      <c r="D40" s="20">
        <v>2</v>
      </c>
      <c r="E40" s="20">
        <v>4</v>
      </c>
      <c r="F40" s="20">
        <v>6</v>
      </c>
      <c r="G40" s="20">
        <v>8</v>
      </c>
      <c r="N40" s="20">
        <v>2</v>
      </c>
      <c r="O40" s="20">
        <v>4</v>
      </c>
      <c r="P40" s="20">
        <v>6</v>
      </c>
      <c r="Q40" s="20">
        <v>8</v>
      </c>
    </row>
    <row r="41" spans="2:20">
      <c r="B41" s="510" t="s">
        <v>252</v>
      </c>
      <c r="C41" s="511"/>
      <c r="D41" s="511"/>
      <c r="E41" s="511"/>
      <c r="F41" s="511"/>
      <c r="G41" s="511"/>
      <c r="H41" s="511"/>
      <c r="I41" s="511"/>
      <c r="J41" s="512"/>
      <c r="L41" s="510" t="s">
        <v>261</v>
      </c>
      <c r="M41" s="511"/>
      <c r="N41" s="511"/>
      <c r="O41" s="511"/>
      <c r="P41" s="511"/>
      <c r="Q41" s="511"/>
      <c r="R41" s="511"/>
      <c r="S41" s="511"/>
      <c r="T41" s="512"/>
    </row>
    <row r="42" spans="2:20" ht="29">
      <c r="B42" s="30"/>
      <c r="C42" s="31"/>
      <c r="D42" s="14">
        <f>$D$28</f>
        <v>46023</v>
      </c>
      <c r="E42" s="14">
        <f>$E$28</f>
        <v>46082</v>
      </c>
      <c r="F42" s="17" t="str">
        <f>$D$3&amp;" Authorized"</f>
        <v>2029 Authorized</v>
      </c>
      <c r="G42" s="17" t="str">
        <f>$D$3&amp;" w/Pending"</f>
        <v>2029 w/Pending</v>
      </c>
      <c r="H42" s="17" t="str">
        <f>$H$28</f>
        <v>% Change over 01/1/2026</v>
      </c>
      <c r="I42" s="17" t="str">
        <f>$I$28</f>
        <v>% Change over 03/1/2026</v>
      </c>
      <c r="J42" s="65" t="s">
        <v>185</v>
      </c>
      <c r="L42" s="30"/>
      <c r="M42" s="31"/>
      <c r="N42" s="14">
        <f>$D$28</f>
        <v>46023</v>
      </c>
      <c r="O42" s="14">
        <f>$E$28</f>
        <v>46082</v>
      </c>
      <c r="P42" s="17" t="str">
        <f>$D$3&amp;" Authorized"</f>
        <v>2029 Authorized</v>
      </c>
      <c r="Q42" s="17" t="str">
        <f>$D$3&amp;" w/Pending"</f>
        <v>2029 w/Pending</v>
      </c>
      <c r="R42" s="17" t="str">
        <f>$H$28</f>
        <v>% Change over 01/1/2026</v>
      </c>
      <c r="S42" s="17" t="str">
        <f>$I$28</f>
        <v>% Change over 03/1/2026</v>
      </c>
      <c r="T42" s="65" t="s">
        <v>185</v>
      </c>
    </row>
    <row r="43" spans="2:20">
      <c r="B43" s="513" t="s">
        <v>47</v>
      </c>
      <c r="C43" s="514"/>
      <c r="D43" s="32">
        <f>VLOOKUP($D$4,'Res Bill Impact'!$B$38:$J$48,D40,FALSE)</f>
        <v>167.60400525</v>
      </c>
      <c r="E43" s="32">
        <f>VLOOKUP($D$4,'Res Bill Impact'!$B$38:$J$48,E40,FALSE)</f>
        <v>168.27135249361035</v>
      </c>
      <c r="F43" s="32">
        <f>VLOOKUP($D$4,'Res Bill Impact'!$B$38:$J$48,F40,FALSE)</f>
        <v>165.39321385899234</v>
      </c>
      <c r="G43" s="32">
        <f>VLOOKUP($D$4,'Res Bill Impact'!$B$38:$J$48,G40,FALSE)</f>
        <v>185.69059677037941</v>
      </c>
      <c r="H43" s="33">
        <f t="shared" ref="H43:I45" si="9">$G43/D43-1</f>
        <v>0.10791264500750586</v>
      </c>
      <c r="I43" s="33">
        <f t="shared" si="9"/>
        <v>0.10351877499427897</v>
      </c>
      <c r="J43" s="34">
        <f t="shared" ref="J43:J45" si="10">$G43/F43-1</f>
        <v>0.12272198137882384</v>
      </c>
      <c r="L43" s="513" t="s">
        <v>47</v>
      </c>
      <c r="M43" s="514"/>
      <c r="N43" s="32">
        <f>VLOOKUP($D$4,'Res Bill Impact'!$L$38:$T$48,N40,FALSE)</f>
        <v>165.46352687500001</v>
      </c>
      <c r="O43" s="32">
        <f>VLOOKUP($D$4,'Res Bill Impact'!$L$38:$T$48,O40,FALSE)</f>
        <v>166.40466729141079</v>
      </c>
      <c r="P43" s="95">
        <f>VLOOKUP($D$4,'Res Bill Impact'!$L$38:$T$48,P40,FALSE)</f>
        <v>163.56380681652527</v>
      </c>
      <c r="Q43" s="95">
        <f>VLOOKUP($D$4,'Res Bill Impact'!$L$38:$T$48,Q40,FALSE)</f>
        <v>183.59829444093023</v>
      </c>
      <c r="R43" s="92">
        <f t="shared" ref="R43:T45" si="11">$Q43/N43-1</f>
        <v>0.10959978859649344</v>
      </c>
      <c r="S43" s="92">
        <f t="shared" si="11"/>
        <v>0.10332418813355559</v>
      </c>
      <c r="T43" s="34">
        <f t="shared" si="11"/>
        <v>0.12248729113329015</v>
      </c>
    </row>
    <row r="44" spans="2:20">
      <c r="B44" s="513" t="s">
        <v>48</v>
      </c>
      <c r="C44" s="514"/>
      <c r="D44" s="32">
        <f>VLOOKUP($D$4,'Res Bill Impact'!$B$54:$J$64,D40,FALSE)</f>
        <v>95.714673625000003</v>
      </c>
      <c r="E44" s="32">
        <f>VLOOKUP($D$4,'Res Bill Impact'!$B$54:$J$64,E40,FALSE)</f>
        <v>89.539651320440711</v>
      </c>
      <c r="F44" s="32">
        <f>VLOOKUP($D$4,'Res Bill Impact'!$B$54:$J$64,F40,FALSE)</f>
        <v>87.87134406528547</v>
      </c>
      <c r="G44" s="32">
        <f>VLOOKUP($D$4,'Res Bill Impact'!$B$54:$J$64,G40,FALSE)</f>
        <v>99.636681135723549</v>
      </c>
      <c r="H44" s="33">
        <f t="shared" si="9"/>
        <v>4.0976031805630475E-2</v>
      </c>
      <c r="I44" s="33">
        <f t="shared" si="9"/>
        <v>0.11276601669072872</v>
      </c>
      <c r="J44" s="34">
        <f t="shared" si="10"/>
        <v>0.13389276328465893</v>
      </c>
      <c r="L44" s="513" t="s">
        <v>48</v>
      </c>
      <c r="M44" s="514"/>
      <c r="N44" s="32">
        <f>VLOOKUP($D$4,'Res Bill Impact'!$L$54:$T$64,N40,FALSE)</f>
        <v>94.007820312500002</v>
      </c>
      <c r="O44" s="32">
        <f>VLOOKUP($D$4,'Res Bill Impact'!$L$54:$T$64,O40,FALSE)</f>
        <v>88.011180309942446</v>
      </c>
      <c r="P44" s="95">
        <f>VLOOKUP($D$4,'Res Bill Impact'!$L$54:$T$64,P40,FALSE)</f>
        <v>86.373396994447035</v>
      </c>
      <c r="Q44" s="95">
        <f>VLOOKUP($D$4,'Res Bill Impact'!$L$54:$T$64,Q40,FALSE)</f>
        <v>97.923471296167946</v>
      </c>
      <c r="R44" s="92">
        <f t="shared" si="11"/>
        <v>4.1652396265029479E-2</v>
      </c>
      <c r="S44" s="92">
        <f t="shared" si="11"/>
        <v>0.11262536136111478</v>
      </c>
      <c r="T44" s="34">
        <f t="shared" si="11"/>
        <v>0.13372258940404391</v>
      </c>
    </row>
    <row r="45" spans="2:20" ht="15" thickBot="1">
      <c r="B45" s="515" t="s">
        <v>132</v>
      </c>
      <c r="C45" s="516"/>
      <c r="D45" s="35">
        <f>D43*(1-'SAR and RAR'!$AB$16)+D44*'SAR and RAR'!$AB$16</f>
        <v>148.16144726025036</v>
      </c>
      <c r="E45" s="35">
        <f>E43*(1-'SAR and RAR'!$AB$16)+E44*'SAR and RAR'!$AB$16</f>
        <v>146.97826725982492</v>
      </c>
      <c r="F45" s="35">
        <f>F43*(1-'SAR and RAR'!$AB$16)+F44*'SAR and RAR'!$AB$16</f>
        <v>144.42732900697877</v>
      </c>
      <c r="G45" s="35">
        <f>G43*(1-'SAR and RAR'!$AB$16)+G44*'SAR and RAR'!$AB$16</f>
        <v>162.41720964669128</v>
      </c>
      <c r="H45" s="36">
        <f t="shared" si="9"/>
        <v>9.6217758735848591E-2</v>
      </c>
      <c r="I45" s="36">
        <f t="shared" si="9"/>
        <v>0.10504234860500672</v>
      </c>
      <c r="J45" s="37">
        <f t="shared" si="10"/>
        <v>0.12456008681600172</v>
      </c>
      <c r="L45" s="515" t="s">
        <v>132</v>
      </c>
      <c r="M45" s="516"/>
      <c r="N45" s="35">
        <f>N43*(1-'SAR and RAR'!$AB$16)+N44*'SAR and RAR'!$AB$16</f>
        <v>146.13824331572417</v>
      </c>
      <c r="O45" s="35">
        <f>O43*(1-'SAR and RAR'!$AB$16)+O44*'SAR and RAR'!$AB$16</f>
        <v>145.2030525009647</v>
      </c>
      <c r="P45" s="93">
        <f>P43*(1-'SAR and RAR'!$AB$16)+P44*'SAR and RAR'!$AB$16</f>
        <v>142.68756572074088</v>
      </c>
      <c r="Q45" s="93">
        <f>Q43*(1-'SAR and RAR'!$AB$16)+Q44*'SAR and RAR'!$AB$16</f>
        <v>160.42743334651001</v>
      </c>
      <c r="R45" s="94">
        <f t="shared" si="11"/>
        <v>9.7778580791578085E-2</v>
      </c>
      <c r="S45" s="94">
        <f t="shared" si="11"/>
        <v>0.10484890354108889</v>
      </c>
      <c r="T45" s="53">
        <f t="shared" si="11"/>
        <v>0.12432665408623267</v>
      </c>
    </row>
    <row r="46" spans="2:20">
      <c r="B46" s="38"/>
      <c r="C46" s="38"/>
      <c r="D46" s="87"/>
      <c r="E46" s="87"/>
      <c r="F46" s="87"/>
      <c r="G46" s="87"/>
      <c r="H46" s="88"/>
      <c r="I46" s="88"/>
      <c r="J46" s="88"/>
      <c r="L46" s="38"/>
      <c r="M46" s="38"/>
      <c r="N46" s="87"/>
      <c r="O46" s="87"/>
      <c r="P46" s="87"/>
      <c r="Q46" s="87"/>
      <c r="R46" s="88"/>
      <c r="S46" s="88"/>
      <c r="T46" s="88"/>
    </row>
    <row r="47" spans="2:20" ht="15" thickBot="1">
      <c r="D47" s="20">
        <v>3</v>
      </c>
      <c r="E47" s="20">
        <v>5</v>
      </c>
      <c r="F47" s="20">
        <v>7</v>
      </c>
      <c r="G47" s="20">
        <v>9</v>
      </c>
      <c r="N47" s="20">
        <v>3</v>
      </c>
      <c r="O47" s="20">
        <v>5</v>
      </c>
      <c r="P47" s="20">
        <v>7</v>
      </c>
      <c r="Q47" s="20">
        <v>9</v>
      </c>
    </row>
    <row r="48" spans="2:20">
      <c r="B48" s="510" t="s">
        <v>253</v>
      </c>
      <c r="C48" s="511"/>
      <c r="D48" s="511"/>
      <c r="E48" s="511"/>
      <c r="F48" s="511"/>
      <c r="G48" s="511"/>
      <c r="H48" s="511"/>
      <c r="I48" s="511"/>
      <c r="J48" s="512"/>
      <c r="L48" s="510" t="s">
        <v>262</v>
      </c>
      <c r="M48" s="511"/>
      <c r="N48" s="511"/>
      <c r="O48" s="511"/>
      <c r="P48" s="511"/>
      <c r="Q48" s="511"/>
      <c r="R48" s="511"/>
      <c r="S48" s="511"/>
      <c r="T48" s="512"/>
    </row>
    <row r="49" spans="2:20" ht="29">
      <c r="B49" s="30"/>
      <c r="C49" s="31"/>
      <c r="D49" s="14">
        <f>$D$28</f>
        <v>46023</v>
      </c>
      <c r="E49" s="14">
        <f>$E$28</f>
        <v>46082</v>
      </c>
      <c r="F49" s="17" t="str">
        <f>$D$3&amp;" Authorized"</f>
        <v>2029 Authorized</v>
      </c>
      <c r="G49" s="17" t="str">
        <f>$D$3&amp;" w/Pending"</f>
        <v>2029 w/Pending</v>
      </c>
      <c r="H49" s="17" t="str">
        <f>$H$28</f>
        <v>% Change over 01/1/2026</v>
      </c>
      <c r="I49" s="17" t="str">
        <f>$I$28</f>
        <v>% Change over 03/1/2026</v>
      </c>
      <c r="J49" s="65" t="s">
        <v>185</v>
      </c>
      <c r="L49" s="30"/>
      <c r="M49" s="31"/>
      <c r="N49" s="14">
        <f>$D$28</f>
        <v>46023</v>
      </c>
      <c r="O49" s="14">
        <f>$E$28</f>
        <v>46082</v>
      </c>
      <c r="P49" s="17" t="str">
        <f>$D$3&amp;" Authorized"</f>
        <v>2029 Authorized</v>
      </c>
      <c r="Q49" s="17" t="str">
        <f>$D$3&amp;" w/Pending"</f>
        <v>2029 w/Pending</v>
      </c>
      <c r="R49" s="17" t="str">
        <f>$H$28</f>
        <v>% Change over 01/1/2026</v>
      </c>
      <c r="S49" s="17" t="str">
        <f>$I$28</f>
        <v>% Change over 03/1/2026</v>
      </c>
      <c r="T49" s="65" t="s">
        <v>185</v>
      </c>
    </row>
    <row r="50" spans="2:20">
      <c r="B50" s="513" t="s">
        <v>47</v>
      </c>
      <c r="C50" s="514"/>
      <c r="D50" s="32">
        <f>VLOOKUP($D$4,'Res Bill Impact'!$B$38:$J$48,D47,FALSE)</f>
        <v>161.673264125</v>
      </c>
      <c r="E50" s="32">
        <f>VLOOKUP($D$4,'Res Bill Impact'!$B$38:$J$48,E47,FALSE)</f>
        <v>163.17703867498068</v>
      </c>
      <c r="F50" s="32">
        <f>VLOOKUP($D$4,'Res Bill Impact'!$B$38:$J$48,F47,FALSE)</f>
        <v>160.40063473244388</v>
      </c>
      <c r="G50" s="32">
        <f>VLOOKUP($D$4,'Res Bill Impact'!$B$38:$J$48,G47,FALSE)</f>
        <v>179.98055811088577</v>
      </c>
      <c r="H50" s="33">
        <f t="shared" ref="H50:I52" si="12">$G50/D50-1</f>
        <v>0.11323637266166164</v>
      </c>
      <c r="I50" s="33">
        <f t="shared" si="12"/>
        <v>0.10297722996048897</v>
      </c>
      <c r="J50" s="34">
        <f t="shared" ref="J50:J52" si="13">$G50/F50-1</f>
        <v>0.12206886469683975</v>
      </c>
      <c r="L50" s="513" t="s">
        <v>47</v>
      </c>
      <c r="M50" s="514"/>
      <c r="N50" s="32">
        <f>VLOOKUP($D$4,'Res Bill Impact'!$L$38:$T$48,N47,FALSE)</f>
        <v>174.60479175</v>
      </c>
      <c r="O50" s="32">
        <f>VLOOKUP($D$4,'Res Bill Impact'!$L$38:$T$48,O47,FALSE)</f>
        <v>174.38883290579881</v>
      </c>
      <c r="P50" s="95">
        <f>VLOOKUP($D$4,'Res Bill Impact'!$L$38:$T$48,P47,FALSE)</f>
        <v>171.3885266921497</v>
      </c>
      <c r="Q50" s="95">
        <f>VLOOKUP($D$4,'Res Bill Impact'!$L$38:$T$48,Q47,FALSE)</f>
        <v>192.54746717450533</v>
      </c>
      <c r="R50" s="92">
        <f t="shared" ref="R50:T52" si="14">$Q50/N50-1</f>
        <v>0.102761643851079</v>
      </c>
      <c r="S50" s="92">
        <f t="shared" si="14"/>
        <v>0.10412727676499456</v>
      </c>
      <c r="T50" s="34">
        <f t="shared" si="14"/>
        <v>0.12345599142912045</v>
      </c>
    </row>
    <row r="51" spans="2:20">
      <c r="B51" s="513" t="s">
        <v>48</v>
      </c>
      <c r="C51" s="514"/>
      <c r="D51" s="32">
        <f>VLOOKUP($D$4,'Res Bill Impact'!$B$54:$J$64,D47,FALSE)</f>
        <v>93.637726062499993</v>
      </c>
      <c r="E51" s="32">
        <f>VLOOKUP($D$4,'Res Bill Impact'!$B$54:$J$64,E47,FALSE)</f>
        <v>87.730771620692693</v>
      </c>
      <c r="F51" s="32">
        <f>VLOOKUP($D$4,'Res Bill Impact'!$B$54:$J$64,F47,FALSE)</f>
        <v>86.098588135257501</v>
      </c>
      <c r="G51" s="32">
        <f>VLOOKUP($D$4,'Res Bill Impact'!$B$54:$J$64,G47,FALSE)</f>
        <v>97.609170977601252</v>
      </c>
      <c r="H51" s="33">
        <f t="shared" si="12"/>
        <v>4.241287226956425E-2</v>
      </c>
      <c r="I51" s="33">
        <f t="shared" si="12"/>
        <v>0.11259902511308328</v>
      </c>
      <c r="J51" s="34">
        <f t="shared" si="13"/>
        <v>0.13369072701007689</v>
      </c>
      <c r="L51" s="513" t="s">
        <v>48</v>
      </c>
      <c r="M51" s="514"/>
      <c r="N51" s="32">
        <f>VLOOKUP($D$4,'Res Bill Impact'!$L$54:$T$64,N47,FALSE)</f>
        <v>100.96024</v>
      </c>
      <c r="O51" s="32">
        <f>VLOOKUP($D$4,'Res Bill Impact'!$L$54:$T$64,O47,FALSE)</f>
        <v>94.258049915496912</v>
      </c>
      <c r="P51" s="95">
        <f>VLOOKUP($D$4,'Res Bill Impact'!$L$54:$T$64,P47,FALSE)</f>
        <v>92.495515087154274</v>
      </c>
      <c r="Q51" s="95">
        <f>VLOOKUP($D$4,'Res Bill Impact'!$L$54:$T$64,Q47,FALSE)</f>
        <v>104.92536953378512</v>
      </c>
      <c r="R51" s="92">
        <f t="shared" si="14"/>
        <v>3.9274169056899177E-2</v>
      </c>
      <c r="S51" s="92">
        <f t="shared" si="14"/>
        <v>0.1131714440077165</v>
      </c>
      <c r="T51" s="34">
        <f t="shared" si="14"/>
        <v>0.13438332047687673</v>
      </c>
    </row>
    <row r="52" spans="2:20" ht="15" thickBot="1">
      <c r="B52" s="515" t="s">
        <v>132</v>
      </c>
      <c r="C52" s="516"/>
      <c r="D52" s="35">
        <f>D50*(1-'SAR and RAR'!$AB$16)+D51*'SAR and RAR'!$AB$16</f>
        <v>143.27296933516823</v>
      </c>
      <c r="E52" s="35">
        <f>E50*(1-'SAR and RAR'!$AB$16)+E51*'SAR and RAR'!$AB$16</f>
        <v>142.77250313186514</v>
      </c>
      <c r="F52" s="35">
        <f>F50*(1-'SAR and RAR'!$AB$16)+F51*'SAR and RAR'!$AB$16</f>
        <v>140.30555501660325</v>
      </c>
      <c r="G52" s="35">
        <f>G50*(1-'SAR and RAR'!$AB$16)+G51*'SAR and RAR'!$AB$16</f>
        <v>157.70311534108728</v>
      </c>
      <c r="H52" s="36">
        <f t="shared" si="12"/>
        <v>0.10071785398794675</v>
      </c>
      <c r="I52" s="36">
        <f t="shared" si="12"/>
        <v>0.10457624459684789</v>
      </c>
      <c r="J52" s="37">
        <f t="shared" si="13"/>
        <v>0.12399765869872548</v>
      </c>
      <c r="L52" s="515" t="s">
        <v>132</v>
      </c>
      <c r="M52" s="516"/>
      <c r="N52" s="35">
        <f>N50*(1-'SAR and RAR'!$AB$16)+N51*'SAR and RAR'!$AB$16</f>
        <v>154.6875323227255</v>
      </c>
      <c r="O52" s="35">
        <f>O50*(1-'SAR and RAR'!$AB$16)+O51*'SAR and RAR'!$AB$16</f>
        <v>152.71736427704886</v>
      </c>
      <c r="P52" s="93">
        <f>P50*(1-'SAR and RAR'!$AB$16)+P51*'SAR and RAR'!$AB$16</f>
        <v>150.05181485405134</v>
      </c>
      <c r="Q52" s="93">
        <f>Q50*(1-'SAR and RAR'!$AB$16)+Q51*'SAR and RAR'!$AB$16</f>
        <v>168.84996330216759</v>
      </c>
      <c r="R52" s="94">
        <f t="shared" si="14"/>
        <v>9.15550902311566E-2</v>
      </c>
      <c r="S52" s="94">
        <f t="shared" si="14"/>
        <v>0.10563696604828854</v>
      </c>
      <c r="T52" s="53">
        <f t="shared" si="14"/>
        <v>0.1252777146774291</v>
      </c>
    </row>
    <row r="54" spans="2:20" ht="15" thickBot="1"/>
    <row r="55" spans="2:20">
      <c r="B55" s="510" t="s">
        <v>254</v>
      </c>
      <c r="C55" s="511"/>
      <c r="D55" s="511"/>
      <c r="E55" s="511"/>
      <c r="F55" s="511"/>
      <c r="G55" s="511"/>
      <c r="H55" s="511"/>
      <c r="I55" s="511"/>
      <c r="J55" s="512"/>
      <c r="L55" s="510" t="s">
        <v>263</v>
      </c>
      <c r="M55" s="511"/>
      <c r="N55" s="511"/>
      <c r="O55" s="511"/>
      <c r="P55" s="511"/>
      <c r="Q55" s="511"/>
      <c r="R55" s="511"/>
      <c r="S55" s="511"/>
      <c r="T55" s="512"/>
    </row>
    <row r="56" spans="2:20" ht="29">
      <c r="B56" s="30"/>
      <c r="C56" s="31"/>
      <c r="D56" s="14">
        <f>$D$28</f>
        <v>46023</v>
      </c>
      <c r="E56" s="14">
        <f>$E$28</f>
        <v>46082</v>
      </c>
      <c r="F56" s="17" t="str">
        <f>$D$3&amp;" Authorized"</f>
        <v>2029 Authorized</v>
      </c>
      <c r="G56" s="17" t="str">
        <f>$D$3&amp;" w/Pending"</f>
        <v>2029 w/Pending</v>
      </c>
      <c r="H56" s="17" t="str">
        <f>$H$28</f>
        <v>% Change over 01/1/2026</v>
      </c>
      <c r="I56" s="17" t="str">
        <f>$I$28</f>
        <v>% Change over 03/1/2026</v>
      </c>
      <c r="J56" s="65" t="s">
        <v>185</v>
      </c>
      <c r="L56" s="30"/>
      <c r="M56" s="31"/>
      <c r="N56" s="14">
        <f>$D$28</f>
        <v>46023</v>
      </c>
      <c r="O56" s="14">
        <f>$E$28</f>
        <v>46082</v>
      </c>
      <c r="P56" s="17" t="str">
        <f>$D$3&amp;" Authorized"</f>
        <v>2029 Authorized</v>
      </c>
      <c r="Q56" s="17" t="str">
        <f>$D$3&amp;" w/Pending"</f>
        <v>2029 w/Pending</v>
      </c>
      <c r="R56" s="17" t="str">
        <f>$H$28</f>
        <v>% Change over 01/1/2026</v>
      </c>
      <c r="S56" s="17" t="str">
        <f>$I$28</f>
        <v>% Change over 03/1/2026</v>
      </c>
      <c r="T56" s="65" t="s">
        <v>185</v>
      </c>
    </row>
    <row r="57" spans="2:20">
      <c r="B57" s="513" t="s">
        <v>221</v>
      </c>
      <c r="C57" s="514"/>
      <c r="D57" s="32">
        <f t="shared" ref="D57:G58" si="15">((D64*4)+(D71*8)+($L$8*2))/12</f>
        <v>106.0715997587785</v>
      </c>
      <c r="E57" s="32">
        <f t="shared" si="15"/>
        <v>114.58596135203067</v>
      </c>
      <c r="F57" s="32">
        <f t="shared" si="15"/>
        <v>112.65952069417472</v>
      </c>
      <c r="G57" s="32">
        <f t="shared" si="15"/>
        <v>126.24528171980937</v>
      </c>
      <c r="H57" s="33">
        <f t="shared" ref="H57:I59" si="16">$G57/D57-1</f>
        <v>0.19018928730130025</v>
      </c>
      <c r="I57" s="33">
        <f t="shared" si="16"/>
        <v>0.1017517349438557</v>
      </c>
      <c r="J57" s="34">
        <f t="shared" ref="J57:J59" si="17">$G57/F57-1</f>
        <v>0.12059132634262237</v>
      </c>
      <c r="L57" s="513" t="s">
        <v>223</v>
      </c>
      <c r="M57" s="514"/>
      <c r="N57" s="32">
        <f t="shared" ref="N57:Q58" si="18">((N64*4)+(N71*8)+($L$8*2))/12</f>
        <v>138.70379569627849</v>
      </c>
      <c r="O57" s="32">
        <f t="shared" si="18"/>
        <v>142.66668720537461</v>
      </c>
      <c r="P57" s="32">
        <f t="shared" si="18"/>
        <v>140.17946758889624</v>
      </c>
      <c r="Q57" s="32">
        <f t="shared" si="18"/>
        <v>157.7199878171985</v>
      </c>
      <c r="R57" s="92">
        <f t="shared" ref="R57:T59" si="19">$Q57/N57-1</f>
        <v>0.13709929151874123</v>
      </c>
      <c r="S57" s="92">
        <f t="shared" si="19"/>
        <v>0.10551377414514462</v>
      </c>
      <c r="T57" s="34">
        <f t="shared" si="19"/>
        <v>0.12512902588375696</v>
      </c>
    </row>
    <row r="58" spans="2:20">
      <c r="B58" s="513" t="s">
        <v>222</v>
      </c>
      <c r="C58" s="514"/>
      <c r="D58" s="32">
        <f t="shared" si="15"/>
        <v>62.180927675445162</v>
      </c>
      <c r="E58" s="32">
        <f t="shared" si="15"/>
        <v>59.599104040056169</v>
      </c>
      <c r="F58" s="32">
        <f t="shared" si="15"/>
        <v>58.408304426175334</v>
      </c>
      <c r="G58" s="32">
        <f t="shared" si="15"/>
        <v>66.806133301739237</v>
      </c>
      <c r="H58" s="33">
        <f t="shared" si="16"/>
        <v>7.4383027066361018E-2</v>
      </c>
      <c r="I58" s="33">
        <f t="shared" si="16"/>
        <v>0.12092512761331564</v>
      </c>
      <c r="J58" s="34">
        <f>$G58/F58-1</f>
        <v>0.14377799455175522</v>
      </c>
      <c r="L58" s="513" t="s">
        <v>224</v>
      </c>
      <c r="M58" s="514"/>
      <c r="N58" s="32">
        <f t="shared" si="18"/>
        <v>82.036729342111826</v>
      </c>
      <c r="O58" s="32">
        <f t="shared" si="18"/>
        <v>76.956772114229466</v>
      </c>
      <c r="P58" s="32">
        <f t="shared" si="18"/>
        <v>75.419335626444976</v>
      </c>
      <c r="Q58" s="32">
        <f t="shared" si="18"/>
        <v>86.261737976060019</v>
      </c>
      <c r="R58" s="92">
        <f t="shared" si="19"/>
        <v>5.1501427078217032E-2</v>
      </c>
      <c r="S58" s="92">
        <f t="shared" si="19"/>
        <v>0.12091159239395965</v>
      </c>
      <c r="T58" s="34">
        <f t="shared" si="19"/>
        <v>0.14376157333601958</v>
      </c>
    </row>
    <row r="59" spans="2:20" ht="15" thickBot="1">
      <c r="B59" s="515" t="s">
        <v>132</v>
      </c>
      <c r="C59" s="516"/>
      <c r="D59" s="35">
        <f>((D66*4)+(D73*8)+($L$8*2))/12</f>
        <v>94.201313613392529</v>
      </c>
      <c r="E59" s="35">
        <f>((E66*4)+(E73*8)+($L$8*2))/12</f>
        <v>99.714698289816127</v>
      </c>
      <c r="F59" s="35">
        <f>((F66*4)+(F73*8)+($L$8*2))/12</f>
        <v>97.98721265538056</v>
      </c>
      <c r="G59" s="35">
        <f>((G66*4)+(G73*8)+($L$8*2))/12</f>
        <v>110.16989106229239</v>
      </c>
      <c r="H59" s="36">
        <f t="shared" si="16"/>
        <v>0.16951544343039426</v>
      </c>
      <c r="I59" s="36">
        <f t="shared" si="16"/>
        <v>0.10485106961953328</v>
      </c>
      <c r="J59" s="37">
        <f t="shared" si="17"/>
        <v>0.12432926783781584</v>
      </c>
      <c r="L59" s="515" t="s">
        <v>132</v>
      </c>
      <c r="M59" s="516"/>
      <c r="N59" s="35">
        <f>((N66*4)+(N73*8)+($L$8*2))/12</f>
        <v>123.37811803596854</v>
      </c>
      <c r="O59" s="35">
        <f>((O66*4)+(O73*8)+($L$8*2))/12</f>
        <v>124.89536000309427</v>
      </c>
      <c r="P59" s="35">
        <f>((P66*4)+(P73*8)+($L$8*2))/12</f>
        <v>122.66501039973053</v>
      </c>
      <c r="Q59" s="35">
        <f>((Q66*4)+(Q73*8)+($L$8*2))/12</f>
        <v>138.3940164250927</v>
      </c>
      <c r="R59" s="94">
        <f t="shared" si="19"/>
        <v>0.12170633357161886</v>
      </c>
      <c r="S59" s="94">
        <f t="shared" si="19"/>
        <v>0.10807972707444069</v>
      </c>
      <c r="T59" s="53">
        <f t="shared" si="19"/>
        <v>0.12822732394597125</v>
      </c>
    </row>
    <row r="60" spans="2:20">
      <c r="B60" s="38"/>
      <c r="C60" s="38"/>
      <c r="D60" s="87"/>
      <c r="E60" s="87"/>
      <c r="F60" s="87"/>
      <c r="G60" s="87"/>
      <c r="H60" s="88"/>
      <c r="I60" s="88"/>
      <c r="J60" s="88"/>
      <c r="L60" s="38"/>
      <c r="M60" s="38"/>
      <c r="N60" s="87"/>
      <c r="O60" s="87"/>
      <c r="P60" s="87"/>
      <c r="Q60" s="87"/>
      <c r="R60" s="88"/>
      <c r="S60" s="88"/>
      <c r="T60" s="88"/>
    </row>
    <row r="61" spans="2:20" ht="15" thickBot="1">
      <c r="D61" s="20">
        <v>2</v>
      </c>
      <c r="E61" s="20">
        <v>4</v>
      </c>
      <c r="F61" s="20">
        <v>6</v>
      </c>
      <c r="G61" s="20">
        <v>8</v>
      </c>
      <c r="N61" s="20">
        <v>2</v>
      </c>
      <c r="O61" s="20">
        <v>4</v>
      </c>
      <c r="P61" s="20">
        <v>6</v>
      </c>
      <c r="Q61" s="20">
        <v>8</v>
      </c>
    </row>
    <row r="62" spans="2:20">
      <c r="B62" s="510" t="s">
        <v>255</v>
      </c>
      <c r="C62" s="511"/>
      <c r="D62" s="511"/>
      <c r="E62" s="511"/>
      <c r="F62" s="511"/>
      <c r="G62" s="511"/>
      <c r="H62" s="511"/>
      <c r="I62" s="511"/>
      <c r="J62" s="512"/>
      <c r="L62" s="510" t="s">
        <v>264</v>
      </c>
      <c r="M62" s="511"/>
      <c r="N62" s="511"/>
      <c r="O62" s="511"/>
      <c r="P62" s="511"/>
      <c r="Q62" s="511"/>
      <c r="R62" s="511"/>
      <c r="S62" s="511"/>
      <c r="T62" s="512"/>
    </row>
    <row r="63" spans="2:20" ht="29">
      <c r="B63" s="30"/>
      <c r="C63" s="31"/>
      <c r="D63" s="14">
        <f>$D$28</f>
        <v>46023</v>
      </c>
      <c r="E63" s="14">
        <f>$E$28</f>
        <v>46082</v>
      </c>
      <c r="F63" s="17" t="str">
        <f>$D$3&amp;" Authorized"</f>
        <v>2029 Authorized</v>
      </c>
      <c r="G63" s="17" t="str">
        <f>$D$3&amp;" w/Pending"</f>
        <v>2029 w/Pending</v>
      </c>
      <c r="H63" s="17" t="str">
        <f>$H$28</f>
        <v>% Change over 01/1/2026</v>
      </c>
      <c r="I63" s="17" t="str">
        <f>$I$28</f>
        <v>% Change over 03/1/2026</v>
      </c>
      <c r="J63" s="65" t="s">
        <v>185</v>
      </c>
      <c r="L63" s="30"/>
      <c r="M63" s="31"/>
      <c r="N63" s="14">
        <f>$D$28</f>
        <v>46023</v>
      </c>
      <c r="O63" s="14">
        <f>$E$28</f>
        <v>46082</v>
      </c>
      <c r="P63" s="17" t="str">
        <f>$D$3&amp;" Authorized"</f>
        <v>2029 Authorized</v>
      </c>
      <c r="Q63" s="17" t="str">
        <f>$D$3&amp;" w/Pending"</f>
        <v>2029 w/Pending</v>
      </c>
      <c r="R63" s="17" t="str">
        <f>$H$28</f>
        <v>% Change over 01/1/2026</v>
      </c>
      <c r="S63" s="17" t="str">
        <f>$I$28</f>
        <v>% Change over 03/1/2026</v>
      </c>
      <c r="T63" s="65" t="s">
        <v>185</v>
      </c>
    </row>
    <row r="64" spans="2:20">
      <c r="B64" s="513" t="s">
        <v>221</v>
      </c>
      <c r="C64" s="514"/>
      <c r="D64" s="32">
        <f>VLOOKUP($D$4,'Res Bill Impact'!$B$70:$J$80,D61,FALSE)</f>
        <v>112.86900712500001</v>
      </c>
      <c r="E64" s="32">
        <f>VLOOKUP($D$4,'Res Bill Impact'!$B$70:$J$80,E61,FALSE)</f>
        <v>121.27627530450732</v>
      </c>
      <c r="F64" s="32">
        <f>VLOOKUP($D$4,'Res Bill Impact'!$B$70:$J$80,F61,FALSE)</f>
        <v>119.33663984762498</v>
      </c>
      <c r="G64" s="32">
        <f>VLOOKUP($D$4,'Res Bill Impact'!$B$70:$J$80,G61,FALSE)</f>
        <v>133.01545403096944</v>
      </c>
      <c r="H64" s="33">
        <f t="shared" ref="H64:I66" si="20">$G64/D64-1</f>
        <v>0.17849405624395787</v>
      </c>
      <c r="I64" s="33">
        <f t="shared" si="20"/>
        <v>9.6796992626849043E-2</v>
      </c>
      <c r="J64" s="34">
        <f t="shared" ref="J64:J66" si="21">$G64/F64-1</f>
        <v>0.11462375847694606</v>
      </c>
      <c r="L64" s="513" t="s">
        <v>223</v>
      </c>
      <c r="M64" s="514"/>
      <c r="N64" s="32">
        <f>VLOOKUP($D$4,'Res Bill Impact'!$L$70:$T$80,N61,FALSE)</f>
        <v>97.896587812500002</v>
      </c>
      <c r="O64" s="32">
        <f>VLOOKUP($D$4,'Res Bill Impact'!$L$70:$T$80,O61,FALSE)</f>
        <v>108.39217756003185</v>
      </c>
      <c r="P64" s="95">
        <f>VLOOKUP($D$4,'Res Bill Impact'!$L$70:$T$80,P61,FALSE)</f>
        <v>106.7098406841645</v>
      </c>
      <c r="Q64" s="95">
        <f>VLOOKUP($D$4,'Res Bill Impact'!$L$70:$T$80,Q61,FALSE)</f>
        <v>118.57411829216737</v>
      </c>
      <c r="R64" s="92">
        <f t="shared" ref="R64:T66" si="22">$Q64/N64-1</f>
        <v>0.21121809188355734</v>
      </c>
      <c r="S64" s="92">
        <f t="shared" si="22"/>
        <v>9.3936121234360792E-2</v>
      </c>
      <c r="T64" s="34">
        <f t="shared" si="22"/>
        <v>0.111182600704262</v>
      </c>
    </row>
    <row r="65" spans="2:20">
      <c r="B65" s="513" t="s">
        <v>222</v>
      </c>
      <c r="C65" s="514"/>
      <c r="D65" s="32">
        <f>VLOOKUP($D$4,'Res Bill Impact'!$B$86:$J$96,D61,FALSE)</f>
        <v>68.677714000000009</v>
      </c>
      <c r="E65" s="32">
        <f>VLOOKUP($D$4,'Res Bill Impact'!$B$86:$J$96,E61,FALSE)</f>
        <v>66.037110750669981</v>
      </c>
      <c r="F65" s="32">
        <f>VLOOKUP($D$4,'Res Bill Impact'!$B$86:$J$96,F61,FALSE)</f>
        <v>64.838154975050244</v>
      </c>
      <c r="G65" s="32">
        <f>VLOOKUP($D$4,'Res Bill Impact'!$B$86:$J$96,G61,FALSE)</f>
        <v>73.293503226474186</v>
      </c>
      <c r="H65" s="33">
        <f t="shared" si="20"/>
        <v>6.7209418567341528E-2</v>
      </c>
      <c r="I65" s="33">
        <f t="shared" si="20"/>
        <v>0.10988355476667455</v>
      </c>
      <c r="J65" s="34">
        <f t="shared" si="21"/>
        <v>0.13040698420054619</v>
      </c>
      <c r="L65" s="513" t="s">
        <v>224</v>
      </c>
      <c r="M65" s="514"/>
      <c r="N65" s="32">
        <f>VLOOKUP($D$4,'Res Bill Impact'!$L$86:$T$96,N61,FALSE)</f>
        <v>59.567405000000001</v>
      </c>
      <c r="O65" s="32">
        <f>VLOOKUP($D$4,'Res Bill Impact'!$L$86:$T$96,O61,FALSE)</f>
        <v>58.073004222519877</v>
      </c>
      <c r="P65" s="95">
        <f>VLOOKUP($D$4,'Res Bill Impact'!$L$86:$T$96,P61,FALSE)</f>
        <v>57.033093600808883</v>
      </c>
      <c r="Q65" s="95">
        <f>VLOOKUP($D$4,'Res Bill Impact'!$L$86:$T$96,Q61,FALSE)</f>
        <v>64.366814022962302</v>
      </c>
      <c r="R65" s="92">
        <f t="shared" si="22"/>
        <v>8.0571061018392509E-2</v>
      </c>
      <c r="S65" s="92">
        <f t="shared" si="22"/>
        <v>0.10837754796232457</v>
      </c>
      <c r="T65" s="34">
        <f t="shared" si="22"/>
        <v>0.12858710547045282</v>
      </c>
    </row>
    <row r="66" spans="2:20" ht="15" thickBot="1">
      <c r="B66" s="515" t="s">
        <v>132</v>
      </c>
      <c r="C66" s="516"/>
      <c r="D66" s="35">
        <f>D64*(1-'SAR and RAR'!$AB$16)+D65*'SAR and RAR'!$AB$16</f>
        <v>100.91741764985113</v>
      </c>
      <c r="E66" s="35">
        <f>E64*(1-'SAR and RAR'!$AB$16)+E65*'SAR and RAR'!$AB$16</f>
        <v>106.33677543899712</v>
      </c>
      <c r="F66" s="35">
        <f>F64*(1-'SAR and RAR'!$AB$16)+F65*'SAR and RAR'!$AB$16</f>
        <v>104.597457711175</v>
      </c>
      <c r="G66" s="35">
        <f>G64*(1-'SAR and RAR'!$AB$16)+G65*'SAR and RAR'!$AB$16</f>
        <v>116.86357912087391</v>
      </c>
      <c r="H66" s="36">
        <f t="shared" si="20"/>
        <v>0.15801198487213064</v>
      </c>
      <c r="I66" s="36">
        <f t="shared" si="20"/>
        <v>9.8994949192490411E-2</v>
      </c>
      <c r="J66" s="37">
        <f t="shared" si="21"/>
        <v>0.11726978530940357</v>
      </c>
      <c r="L66" s="515" t="s">
        <v>132</v>
      </c>
      <c r="M66" s="516"/>
      <c r="N66" s="35">
        <f>N64*(1-'SAR and RAR'!$AB$16)+N65*'SAR and RAR'!$AB$16</f>
        <v>87.530413267728008</v>
      </c>
      <c r="O66" s="35">
        <f>O64*(1-'SAR and RAR'!$AB$16)+O65*'SAR and RAR'!$AB$16</f>
        <v>94.783295358787143</v>
      </c>
      <c r="P66" s="93">
        <f>P64*(1-'SAR and RAR'!$AB$16)+P65*'SAR and RAR'!$AB$16</f>
        <v>93.27470345200264</v>
      </c>
      <c r="Q66" s="93">
        <f>Q64*(1-'SAR and RAR'!$AB$16)+Q65*'SAR and RAR'!$AB$16</f>
        <v>103.91368630735374</v>
      </c>
      <c r="R66" s="94">
        <f t="shared" si="22"/>
        <v>0.1871723487642456</v>
      </c>
      <c r="S66" s="94">
        <f t="shared" si="22"/>
        <v>9.6329114893135559E-2</v>
      </c>
      <c r="T66" s="53">
        <f t="shared" si="22"/>
        <v>0.11406075239709246</v>
      </c>
    </row>
    <row r="67" spans="2:20">
      <c r="B67" s="38"/>
      <c r="C67" s="38"/>
      <c r="D67" s="87"/>
      <c r="E67" s="87"/>
      <c r="F67" s="87"/>
      <c r="G67" s="87"/>
      <c r="H67" s="88"/>
      <c r="I67" s="88"/>
      <c r="J67" s="88"/>
      <c r="L67" s="38"/>
      <c r="M67" s="38"/>
      <c r="N67" s="87"/>
      <c r="O67" s="87"/>
      <c r="P67" s="87"/>
      <c r="Q67" s="87"/>
      <c r="R67" s="88"/>
      <c r="S67" s="88"/>
      <c r="T67" s="88"/>
    </row>
    <row r="68" spans="2:20" ht="15" thickBot="1">
      <c r="D68" s="20">
        <v>3</v>
      </c>
      <c r="E68" s="20">
        <v>5</v>
      </c>
      <c r="F68" s="20">
        <v>7</v>
      </c>
      <c r="G68" s="20">
        <v>9</v>
      </c>
      <c r="N68" s="20">
        <v>3</v>
      </c>
      <c r="O68" s="20">
        <v>5</v>
      </c>
      <c r="P68" s="20">
        <v>7</v>
      </c>
      <c r="Q68" s="20">
        <v>9</v>
      </c>
    </row>
    <row r="69" spans="2:20">
      <c r="B69" s="510" t="s">
        <v>256</v>
      </c>
      <c r="C69" s="511"/>
      <c r="D69" s="511"/>
      <c r="E69" s="511"/>
      <c r="F69" s="511"/>
      <c r="G69" s="511"/>
      <c r="H69" s="511"/>
      <c r="I69" s="511"/>
      <c r="J69" s="512"/>
      <c r="L69" s="510" t="s">
        <v>265</v>
      </c>
      <c r="M69" s="511"/>
      <c r="N69" s="511"/>
      <c r="O69" s="511"/>
      <c r="P69" s="511"/>
      <c r="Q69" s="511"/>
      <c r="R69" s="511"/>
      <c r="S69" s="511"/>
      <c r="T69" s="512"/>
    </row>
    <row r="70" spans="2:20" ht="29">
      <c r="B70" s="30"/>
      <c r="C70" s="31"/>
      <c r="D70" s="14">
        <f>$D$28</f>
        <v>46023</v>
      </c>
      <c r="E70" s="14">
        <f>$E$28</f>
        <v>46082</v>
      </c>
      <c r="F70" s="17" t="str">
        <f>$D$3&amp;" Authorized"</f>
        <v>2029 Authorized</v>
      </c>
      <c r="G70" s="17" t="str">
        <f>$D$3&amp;" w/Pending"</f>
        <v>2029 w/Pending</v>
      </c>
      <c r="H70" s="17" t="str">
        <f>$H$28</f>
        <v>% Change over 01/1/2026</v>
      </c>
      <c r="I70" s="17" t="str">
        <f>$I$28</f>
        <v>% Change over 03/1/2026</v>
      </c>
      <c r="J70" s="65" t="s">
        <v>185</v>
      </c>
      <c r="L70" s="30"/>
      <c r="M70" s="31"/>
      <c r="N70" s="14">
        <f>$D$28</f>
        <v>46023</v>
      </c>
      <c r="O70" s="14">
        <f>$E$28</f>
        <v>46082</v>
      </c>
      <c r="P70" s="17" t="str">
        <f>$D$3&amp;" Authorized"</f>
        <v>2029 Authorized</v>
      </c>
      <c r="Q70" s="17" t="str">
        <f>$D$3&amp;" w/Pending"</f>
        <v>2029 w/Pending</v>
      </c>
      <c r="R70" s="17" t="str">
        <f>$H$28</f>
        <v>% Change over 01/1/2026</v>
      </c>
      <c r="S70" s="17" t="str">
        <f>$I$28</f>
        <v>% Change over 03/1/2026</v>
      </c>
      <c r="T70" s="65" t="s">
        <v>185</v>
      </c>
    </row>
    <row r="71" spans="2:20">
      <c r="B71" s="513" t="s">
        <v>221</v>
      </c>
      <c r="C71" s="514"/>
      <c r="D71" s="32">
        <f>VLOOKUP($D$4,'Res Bill Impact'!$B$70:$J$80,D68,FALSE)</f>
        <v>111.71728256249999</v>
      </c>
      <c r="E71" s="32">
        <f>VLOOKUP($D$4,'Res Bill Impact'!$B$70:$J$80,E68,FALSE)</f>
        <v>120.28519086262459</v>
      </c>
      <c r="F71" s="32">
        <f>VLOOKUP($D$4,'Res Bill Impact'!$B$70:$J$80,F68,FALSE)</f>
        <v>118.36534760428185</v>
      </c>
      <c r="G71" s="32">
        <f>VLOOKUP($D$4,'Res Bill Impact'!$B$70:$J$80,G68,FALSE)</f>
        <v>131.90458205106157</v>
      </c>
      <c r="H71" s="33">
        <f t="shared" ref="H71:I73" si="23">$G71/D71-1</f>
        <v>0.18069987942347088</v>
      </c>
      <c r="I71" s="33">
        <f t="shared" si="23"/>
        <v>9.6598684385904576E-2</v>
      </c>
      <c r="J71" s="34">
        <f t="shared" ref="J71:J73" si="24">$G71/F71-1</f>
        <v>0.11438511963859543</v>
      </c>
      <c r="L71" s="513" t="s">
        <v>223</v>
      </c>
      <c r="M71" s="514"/>
      <c r="N71" s="32">
        <f>VLOOKUP($D$4,'Res Bill Impact'!$L$70:$T$80,N68,FALSE)</f>
        <v>168.151786125</v>
      </c>
      <c r="O71" s="32">
        <f>VLOOKUP($D$4,'Res Bill Impact'!$L$70:$T$80,O68,FALSE)</f>
        <v>168.84832851487826</v>
      </c>
      <c r="P71" s="95">
        <f>VLOOKUP($D$4,'Res Bill Impact'!$L$70:$T$80,P68,FALSE)</f>
        <v>165.95866752809437</v>
      </c>
      <c r="Q71" s="95">
        <f>VLOOKUP($D$4,'Res Bill Impact'!$L$70:$T$80,Q68,FALSE)</f>
        <v>186.33730906654631</v>
      </c>
      <c r="R71" s="92">
        <f t="shared" ref="R71:T73" si="25">$Q71/N71-1</f>
        <v>0.10814944854661035</v>
      </c>
      <c r="S71" s="92">
        <f t="shared" si="25"/>
        <v>0.10357804963480577</v>
      </c>
      <c r="T71" s="34">
        <f t="shared" si="25"/>
        <v>0.12279347527903073</v>
      </c>
    </row>
    <row r="72" spans="2:20">
      <c r="B72" s="513" t="s">
        <v>222</v>
      </c>
      <c r="C72" s="514"/>
      <c r="D72" s="32">
        <f>VLOOKUP($D$4,'Res Bill Impact'!$B$86:$J$96,D68,FALSE)</f>
        <v>67.97692099999999</v>
      </c>
      <c r="E72" s="32">
        <f>VLOOKUP($D$4,'Res Bill Impact'!$B$86:$J$96,E68,FALSE)</f>
        <v>65.424487171581504</v>
      </c>
      <c r="F72" s="32">
        <f>VLOOKUP($D$4,'Res Bill Impact'!$B$86:$J$96,F68,FALSE)</f>
        <v>64.237765638570124</v>
      </c>
      <c r="G72" s="32">
        <f>VLOOKUP($D$4,'Res Bill Impact'!$B$86:$J$96,G68,FALSE)</f>
        <v>72.606834826204022</v>
      </c>
      <c r="H72" s="33">
        <f t="shared" si="23"/>
        <v>6.8110084394731985E-2</v>
      </c>
      <c r="I72" s="33">
        <f t="shared" si="23"/>
        <v>0.10978072530834182</v>
      </c>
      <c r="J72" s="34">
        <f t="shared" si="24"/>
        <v>0.13028269436894724</v>
      </c>
      <c r="L72" s="513" t="s">
        <v>224</v>
      </c>
      <c r="M72" s="514"/>
      <c r="N72" s="32">
        <f>VLOOKUP($D$4,'Res Bill Impact'!$L$86:$T$96,N68,FALSE)</f>
        <v>102.31577799999999</v>
      </c>
      <c r="O72" s="32">
        <f>VLOOKUP($D$4,'Res Bill Impact'!$L$86:$T$96,O68,FALSE)</f>
        <v>95.443042546916502</v>
      </c>
      <c r="P72" s="95">
        <f>VLOOKUP($D$4,'Res Bill Impact'!$L$86:$T$96,P68,FALSE)</f>
        <v>93.656843126095254</v>
      </c>
      <c r="Q72" s="95">
        <f>VLOOKUP($D$4,'Res Bill Impact'!$L$86:$T$96,Q68,FALSE)</f>
        <v>106.25358643944112</v>
      </c>
      <c r="R72" s="92">
        <f t="shared" si="25"/>
        <v>3.8486815195219792E-2</v>
      </c>
      <c r="S72" s="92">
        <f t="shared" si="25"/>
        <v>0.11326696639213418</v>
      </c>
      <c r="T72" s="34">
        <f t="shared" si="25"/>
        <v>0.13449890998766834</v>
      </c>
    </row>
    <row r="73" spans="2:20" ht="15" thickBot="1">
      <c r="B73" s="515" t="s">
        <v>132</v>
      </c>
      <c r="C73" s="516"/>
      <c r="D73" s="35">
        <f>D71*(1-'SAR and RAR'!$AB$16)+D72*'SAR and RAR'!$AB$16</f>
        <v>99.887648081995479</v>
      </c>
      <c r="E73" s="35">
        <f>E71*(1-'SAR and RAR'!$AB$16)+E72*'SAR and RAR'!$AB$16</f>
        <v>105.44804620205788</v>
      </c>
      <c r="F73" s="35">
        <f>F71*(1-'SAR and RAR'!$AB$16)+F72*'SAR and RAR'!$AB$16</f>
        <v>103.72647661431557</v>
      </c>
      <c r="G73" s="35">
        <f>G71*(1-'SAR and RAR'!$AB$16)+G72*'SAR and RAR'!$AB$16</f>
        <v>115.86743351983388</v>
      </c>
      <c r="H73" s="36">
        <f t="shared" si="23"/>
        <v>0.15997759227167863</v>
      </c>
      <c r="I73" s="36">
        <f t="shared" si="23"/>
        <v>9.8810624691997972E-2</v>
      </c>
      <c r="J73" s="37">
        <f t="shared" si="24"/>
        <v>0.11704780979558205</v>
      </c>
      <c r="L73" s="515" t="s">
        <v>132</v>
      </c>
      <c r="M73" s="516"/>
      <c r="N73" s="35">
        <f>N71*(1-'SAR and RAR'!$AB$16)+N72*'SAR and RAR'!$AB$16</f>
        <v>150.34635690692105</v>
      </c>
      <c r="O73" s="35">
        <f>O71*(1-'SAR and RAR'!$AB$16)+O72*'SAR and RAR'!$AB$16</f>
        <v>148.99577881208009</v>
      </c>
      <c r="P73" s="93">
        <f>P71*(1-'SAR and RAR'!$AB$16)+P72*'SAR and RAR'!$AB$16</f>
        <v>146.40455036042673</v>
      </c>
      <c r="Q73" s="93">
        <f>Q71*(1-'SAR and RAR'!$AB$16)+Q72*'SAR and RAR'!$AB$16</f>
        <v>164.67856797079446</v>
      </c>
      <c r="R73" s="94">
        <f t="shared" si="25"/>
        <v>9.5327957116689177E-2</v>
      </c>
      <c r="S73" s="94">
        <f t="shared" si="25"/>
        <v>0.10525660044701124</v>
      </c>
      <c r="T73" s="53">
        <f t="shared" si="25"/>
        <v>0.12481864508568741</v>
      </c>
    </row>
    <row r="75" spans="2:20" ht="15" thickBot="1"/>
    <row r="76" spans="2:20">
      <c r="B76" s="510" t="s">
        <v>257</v>
      </c>
      <c r="C76" s="511"/>
      <c r="D76" s="511"/>
      <c r="E76" s="511"/>
      <c r="F76" s="511"/>
      <c r="G76" s="511"/>
      <c r="H76" s="511"/>
      <c r="I76" s="511"/>
      <c r="J76" s="512"/>
      <c r="L76" s="510" t="s">
        <v>266</v>
      </c>
      <c r="M76" s="511"/>
      <c r="N76" s="511"/>
      <c r="O76" s="511"/>
      <c r="P76" s="511"/>
      <c r="Q76" s="511"/>
      <c r="R76" s="511"/>
      <c r="S76" s="511"/>
      <c r="T76" s="512"/>
    </row>
    <row r="77" spans="2:20" ht="29">
      <c r="B77" s="30"/>
      <c r="C77" s="31"/>
      <c r="D77" s="14">
        <f>$D$28</f>
        <v>46023</v>
      </c>
      <c r="E77" s="14">
        <f>$E$28</f>
        <v>46082</v>
      </c>
      <c r="F77" s="17" t="str">
        <f>$D$3&amp;" Authorized"</f>
        <v>2029 Authorized</v>
      </c>
      <c r="G77" s="17" t="str">
        <f>$D$3&amp;" w/Pending"</f>
        <v>2029 w/Pending</v>
      </c>
      <c r="H77" s="17" t="str">
        <f>$H$28</f>
        <v>% Change over 01/1/2026</v>
      </c>
      <c r="I77" s="17" t="str">
        <f>$I$28</f>
        <v>% Change over 03/1/2026</v>
      </c>
      <c r="J77" s="65" t="s">
        <v>185</v>
      </c>
      <c r="L77" s="30"/>
      <c r="M77" s="31"/>
      <c r="N77" s="14">
        <f>$D$28</f>
        <v>46023</v>
      </c>
      <c r="O77" s="14">
        <f>$E$28</f>
        <v>46082</v>
      </c>
      <c r="P77" s="17" t="str">
        <f>$D$3&amp;" Authorized"</f>
        <v>2029 Authorized</v>
      </c>
      <c r="Q77" s="17" t="str">
        <f>$D$3&amp;" w/Pending"</f>
        <v>2029 w/Pending</v>
      </c>
      <c r="R77" s="17" t="str">
        <f>$H$28</f>
        <v>% Change over 01/1/2026</v>
      </c>
      <c r="S77" s="17" t="str">
        <f>$I$28</f>
        <v>% Change over 03/1/2026</v>
      </c>
      <c r="T77" s="65" t="s">
        <v>185</v>
      </c>
    </row>
    <row r="78" spans="2:20">
      <c r="B78" s="513" t="str">
        <f>$I$4&amp;"kWh Monthly Usage - Non-CARE"</f>
        <v>500kWh Monthly Usage - Non-CARE</v>
      </c>
      <c r="C78" s="514"/>
      <c r="D78" s="32">
        <f t="shared" ref="D78:G79" si="26">((D85*4)+(D92*8)+($L$8*2))/12</f>
        <v>202.65533684211184</v>
      </c>
      <c r="E78" s="32">
        <f t="shared" si="26"/>
        <v>197.51206594561299</v>
      </c>
      <c r="F78" s="32">
        <f t="shared" si="26"/>
        <v>193.92957071069677</v>
      </c>
      <c r="G78" s="32">
        <f>((G85*4)+(G92*8)+($L$8*2))/12</f>
        <v>219.19425973112868</v>
      </c>
      <c r="H78" s="33">
        <f>$G78/D78-1</f>
        <v>8.1611089778021784E-2</v>
      </c>
      <c r="I78" s="33">
        <f>$G78/E78-1</f>
        <v>0.1097765530511241</v>
      </c>
      <c r="J78" s="34">
        <f>$G78/F78-1</f>
        <v>0.13027765145791848</v>
      </c>
      <c r="L78" s="513" t="str">
        <f>$I$4&amp;"kWh Monthly Usage - Non-CARE"</f>
        <v>500kWh Monthly Usage - Non-CARE</v>
      </c>
      <c r="M78" s="514"/>
      <c r="N78" s="32">
        <f t="shared" ref="N78:Q79" si="27">((N85*4)+(N92*8)+($L$8*2))/12</f>
        <v>194.11050734211184</v>
      </c>
      <c r="O78" s="32">
        <f t="shared" si="27"/>
        <v>190.24074521280056</v>
      </c>
      <c r="P78" s="32">
        <f t="shared" si="27"/>
        <v>186.80346003013344</v>
      </c>
      <c r="Q78" s="32">
        <f t="shared" si="27"/>
        <v>211.04408995986299</v>
      </c>
      <c r="R78" s="92">
        <f t="shared" ref="R78:T80" si="28">$Q78/N78-1</f>
        <v>8.723681602617428E-2</v>
      </c>
      <c r="S78" s="92">
        <f t="shared" si="28"/>
        <v>0.10935272947859875</v>
      </c>
      <c r="T78" s="34">
        <f t="shared" si="28"/>
        <v>0.12976542257739365</v>
      </c>
    </row>
    <row r="79" spans="2:20">
      <c r="B79" s="513" t="str">
        <f>$I$4&amp;"kWh Monthly Usage - CARE"</f>
        <v>500kWh Monthly Usage - CARE</v>
      </c>
      <c r="C79" s="514"/>
      <c r="D79" s="32">
        <f t="shared" si="26"/>
        <v>121.75702842544517</v>
      </c>
      <c r="E79" s="32">
        <f t="shared" si="26"/>
        <v>111.38709145750688</v>
      </c>
      <c r="F79" s="32">
        <f t="shared" si="26"/>
        <v>109.1620730771745</v>
      </c>
      <c r="G79" s="32">
        <f t="shared" si="26"/>
        <v>124.85348192985316</v>
      </c>
      <c r="H79" s="33">
        <f>$G79/D79-1</f>
        <v>2.5431414879708791E-2</v>
      </c>
      <c r="I79" s="33">
        <f>$G79/E79-1</f>
        <v>0.12089722692403337</v>
      </c>
      <c r="J79" s="34">
        <f t="shared" ref="J79:J80" si="29">$G79/F79-1</f>
        <v>0.14374414492463217</v>
      </c>
      <c r="L79" s="513" t="str">
        <f>$I$4&amp;"kWh Monthly Usage - CARE"</f>
        <v>500kWh Monthly Usage - CARE</v>
      </c>
      <c r="M79" s="514"/>
      <c r="N79" s="32">
        <f t="shared" si="27"/>
        <v>116.20369317544517</v>
      </c>
      <c r="O79" s="32">
        <f t="shared" si="27"/>
        <v>106.66073298117874</v>
      </c>
      <c r="P79" s="32">
        <f t="shared" si="27"/>
        <v>104.53010113480825</v>
      </c>
      <c r="Q79" s="32">
        <f t="shared" si="27"/>
        <v>119.55587157853036</v>
      </c>
      <c r="R79" s="92">
        <f t="shared" si="28"/>
        <v>2.8847434289580143E-2</v>
      </c>
      <c r="S79" s="92">
        <f t="shared" si="28"/>
        <v>0.12089864973670372</v>
      </c>
      <c r="T79" s="34">
        <f t="shared" si="28"/>
        <v>0.14374587109931114</v>
      </c>
    </row>
    <row r="80" spans="2:20" ht="15" thickBot="1">
      <c r="B80" s="515" t="s">
        <v>132</v>
      </c>
      <c r="C80" s="516"/>
      <c r="D80" s="35">
        <f>((D87*4)+(D94*8)+($L$8*2))/12</f>
        <v>180.77629001958277</v>
      </c>
      <c r="E80" s="35">
        <f>((E87*4)+(E94*8)+($L$8*2))/12</f>
        <v>174.219460867777</v>
      </c>
      <c r="F80" s="35">
        <f>((F87*4)+(F94*8)+($L$8*2))/12</f>
        <v>171.00409691462957</v>
      </c>
      <c r="G80" s="35">
        <f>((G87*4)+(G94*8)+($L$8*2))/12</f>
        <v>193.67968056147728</v>
      </c>
      <c r="H80" s="36">
        <f>$G80/D80-1</f>
        <v>7.1377670935147242E-2</v>
      </c>
      <c r="I80" s="36">
        <f>$G80/E80-1</f>
        <v>0.11169945996141917</v>
      </c>
      <c r="J80" s="37">
        <f t="shared" si="29"/>
        <v>0.13260257535331488</v>
      </c>
      <c r="L80" s="515" t="s">
        <v>132</v>
      </c>
      <c r="M80" s="516"/>
      <c r="N80" s="35">
        <f>((N87*4)+(N94*8)+($L$8*2))/12</f>
        <v>173.04051381187131</v>
      </c>
      <c r="O80" s="35">
        <f>((O87*4)+(O94*8)+($L$8*2))/12</f>
        <v>167.63642830144144</v>
      </c>
      <c r="P80" s="35">
        <f>((P87*4)+(P94*8)+($L$8*2))/12</f>
        <v>164.55252911763108</v>
      </c>
      <c r="Q80" s="35">
        <f>((Q87*4)+(Q94*8)+($L$8*2))/12</f>
        <v>186.30098898715394</v>
      </c>
      <c r="R80" s="94">
        <f t="shared" si="28"/>
        <v>7.6632199495774378E-2</v>
      </c>
      <c r="S80" s="94">
        <f t="shared" si="28"/>
        <v>0.11133952730220509</v>
      </c>
      <c r="T80" s="53">
        <f t="shared" si="28"/>
        <v>0.13216727804879791</v>
      </c>
    </row>
    <row r="81" spans="2:20">
      <c r="B81" s="38"/>
      <c r="C81" s="38"/>
      <c r="D81" s="87"/>
      <c r="E81" s="87"/>
      <c r="F81" s="87"/>
      <c r="G81" s="87"/>
      <c r="H81" s="88"/>
      <c r="I81" s="88"/>
      <c r="J81" s="88"/>
      <c r="L81" s="38"/>
      <c r="M81" s="38"/>
      <c r="N81" s="87"/>
      <c r="O81" s="87"/>
      <c r="P81" s="87"/>
      <c r="Q81" s="87"/>
      <c r="R81" s="88"/>
      <c r="S81" s="88"/>
      <c r="T81" s="88"/>
    </row>
    <row r="82" spans="2:20">
      <c r="D82" s="20">
        <v>2</v>
      </c>
      <c r="E82" s="20">
        <v>4</v>
      </c>
      <c r="F82" s="20">
        <v>6</v>
      </c>
      <c r="G82" s="20">
        <v>8</v>
      </c>
      <c r="N82" s="20">
        <v>2</v>
      </c>
      <c r="O82" s="20">
        <v>4</v>
      </c>
      <c r="P82" s="20">
        <v>6</v>
      </c>
      <c r="Q82" s="20">
        <v>8</v>
      </c>
    </row>
    <row r="83" spans="2:20" hidden="1">
      <c r="B83" s="510" t="s">
        <v>258</v>
      </c>
      <c r="C83" s="511"/>
      <c r="D83" s="511"/>
      <c r="E83" s="511"/>
      <c r="F83" s="511"/>
      <c r="G83" s="511"/>
      <c r="H83" s="511"/>
      <c r="I83" s="511"/>
      <c r="J83" s="512"/>
      <c r="L83" s="510" t="s">
        <v>267</v>
      </c>
      <c r="M83" s="511"/>
      <c r="N83" s="511"/>
      <c r="O83" s="511"/>
      <c r="P83" s="511"/>
      <c r="Q83" s="511"/>
      <c r="R83" s="511"/>
      <c r="S83" s="511"/>
      <c r="T83" s="512"/>
    </row>
    <row r="84" spans="2:20" ht="29" hidden="1">
      <c r="B84" s="30"/>
      <c r="C84" s="31"/>
      <c r="D84" s="14">
        <f>$D$28</f>
        <v>46023</v>
      </c>
      <c r="E84" s="14">
        <f>$E$28</f>
        <v>46082</v>
      </c>
      <c r="F84" s="17" t="str">
        <f>$D$3&amp;" Authorized"</f>
        <v>2029 Authorized</v>
      </c>
      <c r="G84" s="17" t="str">
        <f>$D$3&amp;" w/Pending"</f>
        <v>2029 w/Pending</v>
      </c>
      <c r="H84" s="17" t="str">
        <f>$H$28</f>
        <v>% Change over 01/1/2026</v>
      </c>
      <c r="I84" s="17" t="str">
        <f>$I$28</f>
        <v>% Change over 03/1/2026</v>
      </c>
      <c r="J84" s="65" t="s">
        <v>185</v>
      </c>
      <c r="L84" s="30"/>
      <c r="M84" s="31"/>
      <c r="N84" s="14">
        <f>$D$28</f>
        <v>46023</v>
      </c>
      <c r="O84" s="14">
        <f>$E$28</f>
        <v>46082</v>
      </c>
      <c r="P84" s="17" t="str">
        <f>$D$3&amp;" Authorized"</f>
        <v>2029 Authorized</v>
      </c>
      <c r="Q84" s="17" t="str">
        <f>$D$3&amp;" w/Pending"</f>
        <v>2029 w/Pending</v>
      </c>
      <c r="R84" s="17" t="str">
        <f>$H$28</f>
        <v>% Change over 01/1/2026</v>
      </c>
      <c r="S84" s="17" t="str">
        <f>$I$28</f>
        <v>% Change over 03/1/2026</v>
      </c>
      <c r="T84" s="65" t="s">
        <v>185</v>
      </c>
    </row>
    <row r="85" spans="2:20" hidden="1">
      <c r="B85" s="513" t="str">
        <f>$I$4&amp;"kWh Monthly Usage - Non-CARE"</f>
        <v>500kWh Monthly Usage - Non-CARE</v>
      </c>
      <c r="C85" s="514"/>
      <c r="D85" s="32">
        <f>VLOOKUP($D$4,'Res Bill Impact'!$B$102:$J$112,D82,FALSE)</f>
        <v>208.49081775000002</v>
      </c>
      <c r="E85" s="32">
        <f>VLOOKUP($D$4,'Res Bill Impact'!$B$102:$J$112,E82,FALSE)</f>
        <v>203.37647673360286</v>
      </c>
      <c r="F85" s="32">
        <f>VLOOKUP($D$4,'Res Bill Impact'!$B$102:$J$112,F82,FALSE)</f>
        <v>199.79728018771758</v>
      </c>
      <c r="G85" s="32">
        <f>VLOOKUP($D$4,'Res Bill Impact'!$B$102:$J$112,G82,FALSE)</f>
        <v>225.03870599436218</v>
      </c>
      <c r="H85" s="33">
        <f t="shared" ref="H85:I87" si="30">$G85/D85-1</f>
        <v>7.936986589119055E-2</v>
      </c>
      <c r="I85" s="33">
        <f t="shared" si="30"/>
        <v>0.10651295375292613</v>
      </c>
      <c r="J85" s="34">
        <f t="shared" ref="J85:J87" si="31">$G85/F85-1</f>
        <v>0.12633518225538043</v>
      </c>
      <c r="L85" s="513" t="str">
        <f>$I$4&amp;"kWh Monthly Usage - Non-CARE"</f>
        <v>500kWh Monthly Usage - Non-CARE</v>
      </c>
      <c r="M85" s="514"/>
      <c r="N85" s="32">
        <f>VLOOKUP($D$4,'Res Bill Impact'!$L$102:$T$112,N82,FALSE)</f>
        <v>199.64585500000001</v>
      </c>
      <c r="O85" s="32">
        <f>VLOOKUP($D$4,'Res Bill Impact'!$L$102:$T$112,O82,FALSE)</f>
        <v>195.84975416704626</v>
      </c>
      <c r="P85" s="95">
        <f>VLOOKUP($D$4,'Res Bill Impact'!$L$102:$T$112,P82,FALSE)</f>
        <v>192.42086811045377</v>
      </c>
      <c r="Q85" s="95">
        <f>VLOOKUP($D$4,'Res Bill Impact'!$L$102:$T$112,Q82,FALSE)</f>
        <v>216.60226521657708</v>
      </c>
      <c r="R85" s="92">
        <f t="shared" ref="R85:T87" si="32">$Q85/N85-1</f>
        <v>8.4932443083163722E-2</v>
      </c>
      <c r="S85" s="92">
        <f t="shared" si="32"/>
        <v>0.10596138421409695</v>
      </c>
      <c r="T85" s="34">
        <f t="shared" si="32"/>
        <v>0.12566930678351729</v>
      </c>
    </row>
    <row r="86" spans="2:20" hidden="1">
      <c r="B86" s="513" t="str">
        <f>$I$4&amp;"kWh Monthly Usage - CARE"</f>
        <v>500kWh Monthly Usage - CARE</v>
      </c>
      <c r="C86" s="514"/>
      <c r="D86" s="32">
        <f>VLOOKUP($D$4,'Res Bill Impact'!$B$117:$J$127,D82,FALSE)</f>
        <v>127.660466125</v>
      </c>
      <c r="E86" s="32">
        <f>VLOOKUP($D$4,'Res Bill Impact'!$B$117:$J$127,E82,FALSE)</f>
        <v>117.30931531662785</v>
      </c>
      <c r="F86" s="32">
        <f>VLOOKUP($D$4,'Res Bill Impact'!$B$117:$J$127,F82,FALSE)</f>
        <v>115.08644108416554</v>
      </c>
      <c r="G86" s="32">
        <f>VLOOKUP($D$4,'Res Bill Impact'!$B$117:$J$127,G82,FALSE)</f>
        <v>130.76272884788247</v>
      </c>
      <c r="H86" s="33">
        <f t="shared" si="30"/>
        <v>2.4300888262814846E-2</v>
      </c>
      <c r="I86" s="33">
        <f t="shared" si="30"/>
        <v>0.11468324996137524</v>
      </c>
      <c r="J86" s="34">
        <f t="shared" si="31"/>
        <v>0.13621315956979219</v>
      </c>
      <c r="L86" s="513" t="str">
        <f>$I$4&amp;"kWh Monthly Usage - CARE"</f>
        <v>500kWh Monthly Usage - CARE</v>
      </c>
      <c r="M86" s="514"/>
      <c r="N86" s="32">
        <f>VLOOKUP($D$4,'Res Bill Impact'!$L$117:$T$127,N82,FALSE)</f>
        <v>121.91207249999999</v>
      </c>
      <c r="O86" s="32">
        <f>VLOOKUP($D$4,'Res Bill Impact'!$L$117:$T$127,O82,FALSE)</f>
        <v>112.41694564836597</v>
      </c>
      <c r="P86" s="95">
        <f>VLOOKUP($D$4,'Res Bill Impact'!$L$117:$T$127,P82,FALSE)</f>
        <v>110.291773233944</v>
      </c>
      <c r="Q86" s="95">
        <f>VLOOKUP($D$4,'Res Bill Impact'!$L$117:$T$127,Q82,FALSE)</f>
        <v>125.27904234232204</v>
      </c>
      <c r="R86" s="92">
        <f t="shared" si="32"/>
        <v>2.7618018242795861E-2</v>
      </c>
      <c r="S86" s="92">
        <f t="shared" si="32"/>
        <v>0.11441421593313894</v>
      </c>
      <c r="T86" s="34">
        <f t="shared" si="32"/>
        <v>0.13588746167484311</v>
      </c>
    </row>
    <row r="87" spans="2:20" ht="15" hidden="1" thickBot="1">
      <c r="B87" s="515" t="s">
        <v>132</v>
      </c>
      <c r="C87" s="516"/>
      <c r="D87" s="35">
        <f>D85*(1-'SAR and RAR'!$AB$16)+D86*'SAR and RAR'!$AB$16</f>
        <v>186.63014992520135</v>
      </c>
      <c r="E87" s="35">
        <f>E85*(1-'SAR and RAR'!$AB$16)+E86*'SAR and RAR'!$AB$16</f>
        <v>180.09950727182593</v>
      </c>
      <c r="F87" s="35">
        <f>F85*(1-'SAR and RAR'!$AB$16)+F86*'SAR and RAR'!$AB$16</f>
        <v>176.88712976063519</v>
      </c>
      <c r="G87" s="35">
        <f>G85*(1-'SAR and RAR'!$AB$16)+G86*'SAR and RAR'!$AB$16</f>
        <v>199.54165224134996</v>
      </c>
      <c r="H87" s="36">
        <f t="shared" si="30"/>
        <v>6.9182296222359385E-2</v>
      </c>
      <c r="I87" s="36">
        <f t="shared" si="30"/>
        <v>0.10795223853766478</v>
      </c>
      <c r="J87" s="37">
        <f t="shared" si="31"/>
        <v>0.12807332286623119</v>
      </c>
      <c r="L87" s="515" t="s">
        <v>132</v>
      </c>
      <c r="M87" s="516"/>
      <c r="N87" s="35">
        <f>N85*(1-'SAR and RAR'!$AB$16)+N86*'SAR and RAR'!$AB$16</f>
        <v>178.62265809642417</v>
      </c>
      <c r="O87" s="35">
        <f>O85*(1-'SAR and RAR'!$AB$16)+O86*'SAR and RAR'!$AB$16</f>
        <v>173.28524868056033</v>
      </c>
      <c r="P87" s="93">
        <f>P85*(1-'SAR and RAR'!$AB$16)+P86*'SAR and RAR'!$AB$16</f>
        <v>170.20895357893943</v>
      </c>
      <c r="Q87" s="93">
        <f>Q85*(1-'SAR and RAR'!$AB$16)+Q86*'SAR and RAR'!$AB$16</f>
        <v>191.90378748130667</v>
      </c>
      <c r="R87" s="94">
        <f t="shared" si="32"/>
        <v>7.4352993771445552E-2</v>
      </c>
      <c r="S87" s="94">
        <f t="shared" si="32"/>
        <v>0.10744445324984553</v>
      </c>
      <c r="T87" s="53">
        <f t="shared" si="32"/>
        <v>0.12746000399036372</v>
      </c>
    </row>
    <row r="88" spans="2:20" hidden="1">
      <c r="B88" s="38"/>
      <c r="C88" s="38"/>
      <c r="D88" s="87"/>
      <c r="E88" s="87"/>
      <c r="F88" s="87"/>
      <c r="G88" s="87"/>
      <c r="H88" s="88"/>
      <c r="I88" s="88"/>
      <c r="J88" s="88"/>
      <c r="L88" s="38"/>
      <c r="M88" s="38"/>
      <c r="N88" s="87"/>
      <c r="O88" s="87"/>
      <c r="P88" s="87"/>
      <c r="Q88" s="87"/>
      <c r="R88" s="88"/>
      <c r="S88" s="88"/>
      <c r="T88" s="88"/>
    </row>
    <row r="89" spans="2:20" ht="15" hidden="1" thickBot="1">
      <c r="D89" s="20">
        <v>3</v>
      </c>
      <c r="E89" s="20">
        <v>5</v>
      </c>
      <c r="F89" s="20">
        <v>7</v>
      </c>
      <c r="G89" s="20">
        <v>9</v>
      </c>
      <c r="N89" s="20">
        <v>3</v>
      </c>
      <c r="O89" s="20">
        <v>5</v>
      </c>
      <c r="P89" s="20">
        <v>7</v>
      </c>
      <c r="Q89" s="20">
        <v>9</v>
      </c>
    </row>
    <row r="90" spans="2:20" hidden="1">
      <c r="B90" s="510" t="s">
        <v>259</v>
      </c>
      <c r="C90" s="511"/>
      <c r="D90" s="511"/>
      <c r="E90" s="511"/>
      <c r="F90" s="511"/>
      <c r="G90" s="511"/>
      <c r="H90" s="511"/>
      <c r="I90" s="511"/>
      <c r="J90" s="512"/>
      <c r="L90" s="510" t="s">
        <v>268</v>
      </c>
      <c r="M90" s="511"/>
      <c r="N90" s="511"/>
      <c r="O90" s="511"/>
      <c r="P90" s="511"/>
      <c r="Q90" s="511"/>
      <c r="R90" s="511"/>
      <c r="S90" s="511"/>
      <c r="T90" s="512"/>
    </row>
    <row r="91" spans="2:20" ht="29" hidden="1">
      <c r="B91" s="30"/>
      <c r="C91" s="31"/>
      <c r="D91" s="14">
        <f>$D$28</f>
        <v>46023</v>
      </c>
      <c r="E91" s="14">
        <f>$E$28</f>
        <v>46082</v>
      </c>
      <c r="F91" s="17" t="str">
        <f>$D$3&amp;" Authorized"</f>
        <v>2029 Authorized</v>
      </c>
      <c r="G91" s="17" t="str">
        <f>$D$3&amp;" w/Pending"</f>
        <v>2029 w/Pending</v>
      </c>
      <c r="H91" s="17" t="str">
        <f>$H$28</f>
        <v>% Change over 01/1/2026</v>
      </c>
      <c r="I91" s="17" t="str">
        <f>$I$28</f>
        <v>% Change over 03/1/2026</v>
      </c>
      <c r="J91" s="65" t="s">
        <v>185</v>
      </c>
      <c r="L91" s="30"/>
      <c r="M91" s="31"/>
      <c r="N91" s="14">
        <f>$D$28</f>
        <v>46023</v>
      </c>
      <c r="O91" s="14">
        <f>$E$28</f>
        <v>46082</v>
      </c>
      <c r="P91" s="17" t="str">
        <f>$D$3&amp;" Authorized"</f>
        <v>2029 Authorized</v>
      </c>
      <c r="Q91" s="17" t="str">
        <f>$D$3&amp;" w/Pending"</f>
        <v>2029 w/Pending</v>
      </c>
      <c r="R91" s="17" t="str">
        <f>$H$28</f>
        <v>% Change over 01/1/2026</v>
      </c>
      <c r="S91" s="17" t="str">
        <f>$I$28</f>
        <v>% Change over 03/1/2026</v>
      </c>
      <c r="T91" s="65" t="s">
        <v>185</v>
      </c>
    </row>
    <row r="92" spans="2:20" hidden="1">
      <c r="B92" s="513" t="str">
        <f>$I$4&amp;"kWh Monthly Usage - Non-CARE"</f>
        <v>500kWh Monthly Usage - Non-CARE</v>
      </c>
      <c r="C92" s="514"/>
      <c r="D92" s="32">
        <f>VLOOKUP($D$4,'Res Bill Impact'!$B$102:$J$112,D89,FALSE)</f>
        <v>208.78198287500001</v>
      </c>
      <c r="E92" s="32">
        <f>VLOOKUP($D$4,'Res Bill Impact'!$B$102:$J$112,E89,FALSE)</f>
        <v>203.62424703845031</v>
      </c>
      <c r="F92" s="32">
        <f>VLOOKUP($D$4,'Res Bill Impact'!$B$102:$J$112,F89,FALSE)</f>
        <v>200.04010245901858</v>
      </c>
      <c r="G92" s="32">
        <f>VLOOKUP($D$4,'Res Bill Impact'!$B$102:$J$112,G89,FALSE)</f>
        <v>225.31642308634417</v>
      </c>
      <c r="H92" s="33">
        <f t="shared" ref="H92:I94" si="33">$G92/D92-1</f>
        <v>7.919476567689987E-2</v>
      </c>
      <c r="I92" s="33">
        <f t="shared" si="33"/>
        <v>0.10653041748902203</v>
      </c>
      <c r="J92" s="34">
        <f t="shared" ref="J92:J94" si="34">$G92/F92-1</f>
        <v>0.12635626715150194</v>
      </c>
      <c r="L92" s="513" t="str">
        <f>$I$4&amp;"kWh Monthly Usage - Non-CARE"</f>
        <v>500kWh Monthly Usage - Non-CARE</v>
      </c>
      <c r="M92" s="514"/>
      <c r="N92" s="32">
        <f>VLOOKUP($D$4,'Res Bill Impact'!$L$102:$T$112,N89,FALSE)</f>
        <v>200.38722000000001</v>
      </c>
      <c r="O92" s="32">
        <f>VLOOKUP($D$4,'Res Bill Impact'!$L$102:$T$112,O89,FALSE)</f>
        <v>196.48062722250998</v>
      </c>
      <c r="P92" s="95">
        <f>VLOOKUP($D$4,'Res Bill Impact'!$L$102:$T$112,P89,FALSE)</f>
        <v>193.03914247680549</v>
      </c>
      <c r="Q92" s="95">
        <f>VLOOKUP($D$4,'Res Bill Impact'!$L$102:$T$112,Q89,FALSE)</f>
        <v>217.30938881833819</v>
      </c>
      <c r="R92" s="92">
        <f t="shared" ref="R92:T94" si="35">$Q92/N92-1</f>
        <v>8.4447345585902056E-2</v>
      </c>
      <c r="S92" s="92">
        <f t="shared" si="35"/>
        <v>0.1060092381130282</v>
      </c>
      <c r="T92" s="34">
        <f t="shared" si="35"/>
        <v>0.12572707291449392</v>
      </c>
    </row>
    <row r="93" spans="2:20" hidden="1">
      <c r="B93" s="513" t="str">
        <f>$I$4&amp;"kWh Monthly Usage - CARE"</f>
        <v>500kWh Monthly Usage - CARE</v>
      </c>
      <c r="C93" s="514"/>
      <c r="D93" s="32">
        <f>VLOOKUP($D$4,'Res Bill Impact'!$B$117:$J$127,D89,FALSE)</f>
        <v>127.84969606249999</v>
      </c>
      <c r="E93" s="32">
        <f>VLOOKUP($D$4,'Res Bill Impact'!$B$117:$J$127,E89,FALSE)</f>
        <v>117.47036601477868</v>
      </c>
      <c r="F93" s="32">
        <f>VLOOKUP($D$4,'Res Bill Impact'!$B$117:$J$127,F89,FALSE)</f>
        <v>115.24427556051123</v>
      </c>
      <c r="G93" s="32">
        <f>VLOOKUP($D$4,'Res Bill Impact'!$B$117:$J$127,G89,FALSE)</f>
        <v>130.94324495767074</v>
      </c>
      <c r="H93" s="33">
        <f t="shared" si="33"/>
        <v>2.4196763781577202E-2</v>
      </c>
      <c r="I93" s="33">
        <f t="shared" si="33"/>
        <v>0.11469172524070514</v>
      </c>
      <c r="J93" s="34">
        <f t="shared" si="34"/>
        <v>0.13622342038947055</v>
      </c>
      <c r="L93" s="513" t="str">
        <f>$I$4&amp;"kWh Monthly Usage - CARE"</f>
        <v>500kWh Monthly Usage - CARE</v>
      </c>
      <c r="M93" s="514"/>
      <c r="N93" s="32">
        <f>VLOOKUP($D$4,'Res Bill Impact'!$L$117:$T$127,N89,FALSE)</f>
        <v>122.39389</v>
      </c>
      <c r="O93" s="32">
        <f>VLOOKUP($D$4,'Res Bill Impact'!$L$117:$T$127,O89,FALSE)</f>
        <v>112.82701313441738</v>
      </c>
      <c r="P93" s="95">
        <f>VLOOKUP($D$4,'Res Bill Impact'!$L$117:$T$127,P89,FALSE)</f>
        <v>110.69365157207261</v>
      </c>
      <c r="Q93" s="95">
        <f>VLOOKUP($D$4,'Res Bill Impact'!$L$117:$T$127,Q89,FALSE)</f>
        <v>125.73867268346676</v>
      </c>
      <c r="R93" s="92">
        <f t="shared" si="35"/>
        <v>2.7328020078998705E-2</v>
      </c>
      <c r="S93" s="92">
        <f t="shared" si="35"/>
        <v>0.11443766160562063</v>
      </c>
      <c r="T93" s="34">
        <f t="shared" si="35"/>
        <v>0.13591584429391013</v>
      </c>
    </row>
    <row r="94" spans="2:20" ht="15" hidden="1" thickBot="1">
      <c r="B94" s="515" t="s">
        <v>132</v>
      </c>
      <c r="C94" s="516"/>
      <c r="D94" s="35">
        <f>D92*(1-'SAR and RAR'!$AB$16)+D93*'SAR and RAR'!$AB$16</f>
        <v>186.89374655360575</v>
      </c>
      <c r="E94" s="35">
        <f>E92*(1-'SAR and RAR'!$AB$16)+E93*'SAR and RAR'!$AB$16</f>
        <v>180.32382415258476</v>
      </c>
      <c r="F94" s="35">
        <f>F92*(1-'SAR and RAR'!$AB$16)+F93*'SAR and RAR'!$AB$16</f>
        <v>177.10696697845898</v>
      </c>
      <c r="G94" s="35">
        <f>G92*(1-'SAR and RAR'!$AB$16)+G93*'SAR and RAR'!$AB$16</f>
        <v>199.7930812083732</v>
      </c>
      <c r="H94" s="36">
        <f t="shared" si="33"/>
        <v>6.9019616186396071E-2</v>
      </c>
      <c r="I94" s="36">
        <f t="shared" si="33"/>
        <v>0.10796830173318694</v>
      </c>
      <c r="J94" s="37">
        <f t="shared" si="34"/>
        <v>0.12809272620355738</v>
      </c>
      <c r="L94" s="515" t="s">
        <v>132</v>
      </c>
      <c r="M94" s="516"/>
      <c r="N94" s="35">
        <f>N92*(1-'SAR and RAR'!$AB$16)+N93*'SAR and RAR'!$AB$16</f>
        <v>179.29382815642714</v>
      </c>
      <c r="O94" s="35">
        <f>O92*(1-'SAR and RAR'!$AB$16)+O93*'SAR and RAR'!$AB$16</f>
        <v>173.85640459871425</v>
      </c>
      <c r="P94" s="93">
        <f>P92*(1-'SAR and RAR'!$AB$16)+P93*'SAR and RAR'!$AB$16</f>
        <v>170.76870337380916</v>
      </c>
      <c r="Q94" s="93">
        <f>Q92*(1-'SAR and RAR'!$AB$16)+Q93*'SAR and RAR'!$AB$16</f>
        <v>192.54397622690988</v>
      </c>
      <c r="R94" s="94">
        <f t="shared" si="35"/>
        <v>7.390186381051822E-2</v>
      </c>
      <c r="S94" s="94">
        <f t="shared" si="35"/>
        <v>0.10748854303831523</v>
      </c>
      <c r="T94" s="53">
        <f t="shared" si="35"/>
        <v>0.12751325285544324</v>
      </c>
    </row>
    <row r="95" spans="2:20" ht="15" thickBot="1"/>
    <row r="96" spans="2:20">
      <c r="B96" s="507" t="s">
        <v>377</v>
      </c>
      <c r="C96" s="508"/>
      <c r="D96" s="508"/>
      <c r="E96" s="508"/>
      <c r="F96" s="508"/>
      <c r="G96" s="508"/>
      <c r="H96" s="508"/>
      <c r="I96" s="508"/>
      <c r="J96" s="509"/>
    </row>
    <row r="97" spans="2:10" ht="29">
      <c r="B97" s="30"/>
      <c r="C97" s="31"/>
      <c r="D97" s="14">
        <f>$D$28</f>
        <v>46023</v>
      </c>
      <c r="E97" s="14">
        <f>$E$28</f>
        <v>46082</v>
      </c>
      <c r="F97" s="17" t="str">
        <f>$D$3&amp;" Authorized"</f>
        <v>2029 Authorized</v>
      </c>
      <c r="G97" s="17" t="str">
        <f>$D$3&amp;" w/Pending"</f>
        <v>2029 w/Pending</v>
      </c>
      <c r="H97" s="69" t="str">
        <f>H28</f>
        <v>% Change over 01/1/2026</v>
      </c>
      <c r="I97" s="69" t="str">
        <f>I28</f>
        <v>% Change over 03/1/2026</v>
      </c>
      <c r="J97" s="65" t="s">
        <v>185</v>
      </c>
    </row>
    <row r="98" spans="2:10">
      <c r="B98" s="513" t="s">
        <v>345</v>
      </c>
      <c r="C98" s="514"/>
      <c r="D98" s="121">
        <f>('Bill Impact (B-1)'!C33*4+'Bill Impact (B-1)'!D33*8)/12</f>
        <v>340.70264291666666</v>
      </c>
      <c r="E98" s="121">
        <f>('Bill Impact (B-1)'!E33*4+'Bill Impact (B-1)'!F33*8)/12</f>
        <v>334.91938291666673</v>
      </c>
      <c r="F98" s="121">
        <f>('Bill Impact (B-1)'!G33*4+'Bill Impact (B-1)'!H33*8)/12</f>
        <v>321.59755848235619</v>
      </c>
      <c r="G98" s="121">
        <f>('Bill Impact (B-1)'!I33*4+'Bill Impact (B-1)'!J33*8)/12</f>
        <v>370.38058430857694</v>
      </c>
      <c r="H98" s="33">
        <f t="shared" ref="H98:I100" si="36">$G98/D98-1</f>
        <v>8.7108045707673831E-2</v>
      </c>
      <c r="I98" s="33">
        <f t="shared" si="36"/>
        <v>0.10587981227928367</v>
      </c>
      <c r="J98" s="34">
        <f t="shared" ref="J98:J100" si="37">$G98/F98-1</f>
        <v>0.15168966473636059</v>
      </c>
    </row>
    <row r="99" spans="2:10">
      <c r="B99" s="513" t="s">
        <v>344</v>
      </c>
      <c r="C99" s="514"/>
      <c r="D99" s="32">
        <f>('Bill Impact (B-1)'!C34*4+'Bill Impact (B-1)'!D34*8)/12</f>
        <v>549.26858625</v>
      </c>
      <c r="E99" s="32">
        <f>('Bill Impact (B-1)'!E34*4+'Bill Impact (B-1)'!F34*8)/12</f>
        <v>539.86548625000012</v>
      </c>
      <c r="F99" s="32">
        <f>('Bill Impact (B-1)'!G34*4+'Bill Impact (B-1)'!H34*8)/12</f>
        <v>518.20530715753921</v>
      </c>
      <c r="G99" s="32">
        <f>('Bill Impact (B-1)'!I34*4+'Bill Impact (B-1)'!J34*8)/12</f>
        <v>597.52245183831371</v>
      </c>
      <c r="H99" s="33">
        <f t="shared" si="36"/>
        <v>8.7851129294969299E-2</v>
      </c>
      <c r="I99" s="33">
        <f t="shared" si="36"/>
        <v>0.10679876201905203</v>
      </c>
      <c r="J99" s="34">
        <f t="shared" si="37"/>
        <v>0.15306123574041552</v>
      </c>
    </row>
    <row r="100" spans="2:10" ht="15" thickBot="1">
      <c r="B100" s="515" t="s">
        <v>342</v>
      </c>
      <c r="C100" s="516"/>
      <c r="D100" s="35">
        <f>('Bill Impact (B-1)'!C35*4+'Bill Impact (B-1)'!D35*8)/12</f>
        <v>1226.6826829166666</v>
      </c>
      <c r="E100" s="35">
        <f>('Bill Impact (B-1)'!E35*4+'Bill Impact (B-1)'!F35*8)/12</f>
        <v>1205.5716629166666</v>
      </c>
      <c r="F100" s="35">
        <f>('Bill Impact (B-1)'!G35*4+'Bill Impact (B-1)'!H35*8)/12</f>
        <v>1156.9421179767508</v>
      </c>
      <c r="G100" s="35">
        <f>('Bill Impact (B-1)'!I35*4+'Bill Impact (B-1)'!J35*8)/12</f>
        <v>1335.0180533277228</v>
      </c>
      <c r="H100" s="36">
        <f t="shared" si="36"/>
        <v>8.8315724938309748E-2</v>
      </c>
      <c r="I100" s="36">
        <f t="shared" si="36"/>
        <v>0.10737345144450705</v>
      </c>
      <c r="J100" s="37">
        <f t="shared" si="37"/>
        <v>0.15391948532601574</v>
      </c>
    </row>
    <row r="101" spans="2:10" ht="15" thickBot="1"/>
    <row r="102" spans="2:10">
      <c r="B102" s="507" t="s">
        <v>378</v>
      </c>
      <c r="C102" s="508"/>
      <c r="D102" s="508"/>
      <c r="E102" s="508"/>
      <c r="F102" s="508"/>
      <c r="G102" s="508"/>
      <c r="H102" s="508"/>
      <c r="I102" s="508"/>
      <c r="J102" s="509"/>
    </row>
    <row r="103" spans="2:10" ht="29">
      <c r="B103" s="30"/>
      <c r="C103" s="31"/>
      <c r="D103" s="14">
        <f>$D$28</f>
        <v>46023</v>
      </c>
      <c r="E103" s="14">
        <f>$E$28</f>
        <v>46082</v>
      </c>
      <c r="F103" s="17" t="str">
        <f>$D$3&amp;" Authorized"</f>
        <v>2029 Authorized</v>
      </c>
      <c r="G103" s="17" t="str">
        <f>$D$3&amp;" w/Pending"</f>
        <v>2029 w/Pending</v>
      </c>
      <c r="H103" s="69" t="str">
        <f>H28</f>
        <v>% Change over 01/1/2026</v>
      </c>
      <c r="I103" s="69" t="str">
        <f>I28</f>
        <v>% Change over 03/1/2026</v>
      </c>
      <c r="J103" s="65" t="s">
        <v>185</v>
      </c>
    </row>
    <row r="104" spans="2:10">
      <c r="B104" s="513" t="s">
        <v>345</v>
      </c>
      <c r="C104" s="514"/>
      <c r="D104" s="32">
        <f>'Bill Impact (B-1)'!C33</f>
        <v>412.32505624999999</v>
      </c>
      <c r="E104" s="32">
        <f>'Bill Impact (B-1)'!E33</f>
        <v>405.69339625000009</v>
      </c>
      <c r="F104" s="32">
        <f>'Bill Impact (B-1)'!G33</f>
        <v>390.41726994268549</v>
      </c>
      <c r="G104" s="32">
        <f>'Bill Impact (B-1)'!I33</f>
        <v>446.35672987544234</v>
      </c>
      <c r="H104" s="33">
        <f t="shared" ref="H104:I106" si="38">$G104/D104-1</f>
        <v>8.2536031001735566E-2</v>
      </c>
      <c r="I104" s="33">
        <f t="shared" si="38"/>
        <v>0.10023168728234433</v>
      </c>
      <c r="J104" s="34">
        <f t="shared" ref="J104:J106" si="39">$G104/F104-1</f>
        <v>0.14328121279309425</v>
      </c>
    </row>
    <row r="105" spans="2:10">
      <c r="B105" s="513" t="s">
        <v>344</v>
      </c>
      <c r="C105" s="514"/>
      <c r="D105" s="32">
        <f>'Bill Impact (B-1)'!C34</f>
        <v>742.40728624999997</v>
      </c>
      <c r="E105" s="32">
        <f>'Bill Impact (B-1)'!E34</f>
        <v>730.33172625000009</v>
      </c>
      <c r="F105" s="32">
        <f>'Bill Impact (B-1)'!G34</f>
        <v>702.51549625757661</v>
      </c>
      <c r="G105" s="32">
        <f>'Bill Impact (B-1)'!I34</f>
        <v>804.37540837393976</v>
      </c>
      <c r="H105" s="33">
        <f t="shared" si="38"/>
        <v>8.3469172880763498E-2</v>
      </c>
      <c r="I105" s="33">
        <f t="shared" si="38"/>
        <v>0.10138363083872615</v>
      </c>
      <c r="J105" s="34">
        <f t="shared" si="39"/>
        <v>0.14499311781588986</v>
      </c>
    </row>
    <row r="106" spans="2:10" ht="15" thickBot="1">
      <c r="B106" s="515" t="s">
        <v>342</v>
      </c>
      <c r="C106" s="516"/>
      <c r="D106" s="35">
        <f>'Bill Impact (B-1)'!C35</f>
        <v>1640.8302962499999</v>
      </c>
      <c r="E106" s="35">
        <f>'Bill Impact (B-1)'!E35</f>
        <v>1614.1763962500002</v>
      </c>
      <c r="F106" s="35">
        <f>'Bill Impact (B-1)'!G35</f>
        <v>1552.7787457397915</v>
      </c>
      <c r="G106" s="35">
        <f>'Bill Impact (B-1)'!I35</f>
        <v>1777.6100505867992</v>
      </c>
      <c r="H106" s="36">
        <f t="shared" si="38"/>
        <v>8.3360085835445297E-2</v>
      </c>
      <c r="I106" s="36">
        <f t="shared" si="38"/>
        <v>0.10124894324838518</v>
      </c>
      <c r="J106" s="37">
        <f t="shared" si="39"/>
        <v>0.14479287887205805</v>
      </c>
    </row>
    <row r="107" spans="2:10" ht="15" thickBot="1"/>
    <row r="108" spans="2:10">
      <c r="B108" s="507" t="s">
        <v>379</v>
      </c>
      <c r="C108" s="508"/>
      <c r="D108" s="508"/>
      <c r="E108" s="508"/>
      <c r="F108" s="508"/>
      <c r="G108" s="508"/>
      <c r="H108" s="508"/>
      <c r="I108" s="508"/>
      <c r="J108" s="509"/>
    </row>
    <row r="109" spans="2:10" ht="29">
      <c r="B109" s="30"/>
      <c r="C109" s="31"/>
      <c r="D109" s="14">
        <f>$D$28</f>
        <v>46023</v>
      </c>
      <c r="E109" s="14">
        <f>$E$28</f>
        <v>46082</v>
      </c>
      <c r="F109" s="17" t="str">
        <f>$D$3&amp;" Authorized"</f>
        <v>2029 Authorized</v>
      </c>
      <c r="G109" s="17" t="str">
        <f>$D$3&amp;" w/Pending"</f>
        <v>2029 w/Pending</v>
      </c>
      <c r="H109" s="69" t="str">
        <f>H28</f>
        <v>% Change over 01/1/2026</v>
      </c>
      <c r="I109" s="69" t="str">
        <f>I28</f>
        <v>% Change over 03/1/2026</v>
      </c>
      <c r="J109" s="65" t="s">
        <v>185</v>
      </c>
    </row>
    <row r="110" spans="2:10">
      <c r="B110" s="513" t="s">
        <v>345</v>
      </c>
      <c r="C110" s="514"/>
      <c r="D110" s="32">
        <f>'Bill Impact (B-1)'!D33</f>
        <v>304.89143624999997</v>
      </c>
      <c r="E110" s="32">
        <f>'Bill Impact (B-1)'!F33</f>
        <v>299.53237625000008</v>
      </c>
      <c r="F110" s="32">
        <f>'Bill Impact (B-1)'!H33</f>
        <v>287.18770275219151</v>
      </c>
      <c r="G110" s="32">
        <f>'Bill Impact (B-1)'!J33</f>
        <v>332.39251152514424</v>
      </c>
      <c r="H110" s="33">
        <f t="shared" ref="H110:I112" si="40">$G110/D110-1</f>
        <v>9.019956615834368E-2</v>
      </c>
      <c r="I110" s="33">
        <f t="shared" si="40"/>
        <v>0.10970478612875545</v>
      </c>
      <c r="J110" s="34">
        <f t="shared" ref="J110:J112" si="41">$G110/F110-1</f>
        <v>0.15740509896400079</v>
      </c>
    </row>
    <row r="111" spans="2:10">
      <c r="B111" s="513" t="s">
        <v>344</v>
      </c>
      <c r="C111" s="514"/>
      <c r="D111" s="32">
        <f>'Bill Impact (B-1)'!D34</f>
        <v>452.69923625000001</v>
      </c>
      <c r="E111" s="32">
        <f>'Bill Impact (B-1)'!F34</f>
        <v>444.63236625000002</v>
      </c>
      <c r="F111" s="32">
        <f>'Bill Impact (B-1)'!H34</f>
        <v>426.05021260752051</v>
      </c>
      <c r="G111" s="32">
        <f>'Bill Impact (B-1)'!J34</f>
        <v>494.09597357050075</v>
      </c>
      <c r="H111" s="33">
        <f t="shared" si="40"/>
        <v>9.1444239366111235E-2</v>
      </c>
      <c r="I111" s="33">
        <f t="shared" si="40"/>
        <v>0.11124607895208682</v>
      </c>
      <c r="J111" s="34">
        <f t="shared" si="41"/>
        <v>0.15971300787887244</v>
      </c>
    </row>
    <row r="112" spans="2:10" ht="15" thickBot="1">
      <c r="B112" s="515" t="s">
        <v>342</v>
      </c>
      <c r="C112" s="516"/>
      <c r="D112" s="35">
        <f>'Bill Impact (B-1)'!D35</f>
        <v>1019.60887625</v>
      </c>
      <c r="E112" s="35">
        <f>'Bill Impact (B-1)'!F35</f>
        <v>1001.26929625</v>
      </c>
      <c r="F112" s="35">
        <f>'Bill Impact (B-1)'!H35</f>
        <v>959.02380409523062</v>
      </c>
      <c r="G112" s="35">
        <f>'Bill Impact (B-1)'!J35</f>
        <v>1113.7220546981848</v>
      </c>
      <c r="H112" s="36">
        <f t="shared" si="40"/>
        <v>9.2303216106083719E-2</v>
      </c>
      <c r="I112" s="36">
        <f t="shared" si="40"/>
        <v>0.11231020352800991</v>
      </c>
      <c r="J112" s="37">
        <f t="shared" si="41"/>
        <v>0.16130804047027891</v>
      </c>
    </row>
    <row r="113" spans="2:10" ht="15" thickBot="1"/>
    <row r="114" spans="2:10">
      <c r="B114" s="517" t="s">
        <v>141</v>
      </c>
      <c r="C114" s="518"/>
      <c r="D114" s="518"/>
      <c r="E114" s="518"/>
      <c r="F114" s="518"/>
      <c r="G114" s="518"/>
      <c r="H114" s="518"/>
      <c r="I114" s="518"/>
      <c r="J114" s="519"/>
    </row>
    <row r="115" spans="2:10" ht="31.5" customHeight="1">
      <c r="B115" s="523" t="s">
        <v>17</v>
      </c>
      <c r="C115" s="524"/>
      <c r="D115" s="14">
        <f>D28</f>
        <v>46023</v>
      </c>
      <c r="E115" s="14">
        <f t="shared" ref="E115:J115" si="42">E28</f>
        <v>46082</v>
      </c>
      <c r="F115" s="14" t="str">
        <f t="shared" si="42"/>
        <v>2029 Authorized</v>
      </c>
      <c r="G115" s="14" t="str">
        <f t="shared" si="42"/>
        <v>2029 w/Pending</v>
      </c>
      <c r="H115" s="14" t="str">
        <f t="shared" si="42"/>
        <v>% Change over 01/1/2026</v>
      </c>
      <c r="I115" s="14" t="str">
        <f t="shared" si="42"/>
        <v>% Change over 03/1/2026</v>
      </c>
      <c r="J115" s="14" t="str">
        <f t="shared" si="42"/>
        <v>% Change over Authorized</v>
      </c>
    </row>
    <row r="116" spans="2:10">
      <c r="B116" s="524" t="s">
        <v>683</v>
      </c>
      <c r="C116" s="524"/>
      <c r="D116" s="285">
        <f>IF($I$3="Y", 'SAR and RAR (Medium)'!AB45, 'SAR and RAR (Medium)'!AC45)</f>
        <v>35.942956259159708</v>
      </c>
      <c r="E116" s="285">
        <f>IF(Summary!I3 = "Y", 'SAR and RAR (Medium)'!AB50,'SAR and RAR (Medium)'!AC50)</f>
        <v>35.462275720449355</v>
      </c>
      <c r="F116" s="285">
        <f>'SAR and RAR (Medium)'!H28</f>
        <v>34.12967502999085</v>
      </c>
      <c r="G116" s="285">
        <f>'SAR and RAR (Medium)'!I28</f>
        <v>38.284269416670554</v>
      </c>
      <c r="H116" s="286">
        <f>$G116/D116-1</f>
        <v>6.5139693591959036E-2</v>
      </c>
      <c r="I116" s="286">
        <f t="shared" ref="I116:J117" si="43">$G116/E116-1</f>
        <v>7.957734349783685E-2</v>
      </c>
      <c r="J116" s="286">
        <f t="shared" si="43"/>
        <v>0.12172967902650478</v>
      </c>
    </row>
    <row r="117" spans="2:10">
      <c r="B117" s="529" t="s">
        <v>684</v>
      </c>
      <c r="C117" s="530"/>
      <c r="D117" s="285">
        <f>IF($I$3="Y", 'SAR and RAR (Large)'!AB45, 'SAR and RAR (Large)'!AC45)</f>
        <v>31.560546335954072</v>
      </c>
      <c r="E117" s="285">
        <f>IF($I$3="Y", 'SAR and RAR (Large)'!AB50, 'SAR and RAR (Large)'!AC50)</f>
        <v>31.167326702554444</v>
      </c>
      <c r="F117" s="285">
        <f>'SAR and RAR (Large)'!H28</f>
        <v>29.887248672721707</v>
      </c>
      <c r="G117" s="285">
        <f>'SAR and RAR (Large)'!I28</f>
        <v>33.380568366621063</v>
      </c>
      <c r="H117" s="286">
        <f>$G117/D117-1</f>
        <v>5.766763386455076E-2</v>
      </c>
      <c r="I117" s="286">
        <f t="shared" si="43"/>
        <v>7.1011597664076387E-2</v>
      </c>
      <c r="J117" s="286">
        <f t="shared" si="43"/>
        <v>0.11688328130008596</v>
      </c>
    </row>
  </sheetData>
  <mergeCells count="96">
    <mergeCell ref="B114:J114"/>
    <mergeCell ref="B115:C115"/>
    <mergeCell ref="B116:C116"/>
    <mergeCell ref="B117:C117"/>
    <mergeCell ref="B98:C98"/>
    <mergeCell ref="B99:C99"/>
    <mergeCell ref="B100:C100"/>
    <mergeCell ref="B104:C104"/>
    <mergeCell ref="B105:C105"/>
    <mergeCell ref="B102:J102"/>
    <mergeCell ref="B106:C106"/>
    <mergeCell ref="B110:C110"/>
    <mergeCell ref="B111:C111"/>
    <mergeCell ref="B112:C112"/>
    <mergeCell ref="B108:J108"/>
    <mergeCell ref="B94:C94"/>
    <mergeCell ref="L59:M59"/>
    <mergeCell ref="L80:M80"/>
    <mergeCell ref="L66:M66"/>
    <mergeCell ref="L73:M73"/>
    <mergeCell ref="L87:M87"/>
    <mergeCell ref="L94:M94"/>
    <mergeCell ref="B59:C59"/>
    <mergeCell ref="B66:C66"/>
    <mergeCell ref="B73:C73"/>
    <mergeCell ref="B80:C80"/>
    <mergeCell ref="B87:C87"/>
    <mergeCell ref="B62:J62"/>
    <mergeCell ref="B64:C64"/>
    <mergeCell ref="B65:C65"/>
    <mergeCell ref="L64:M64"/>
    <mergeCell ref="B51:C51"/>
    <mergeCell ref="B52:C52"/>
    <mergeCell ref="B43:C43"/>
    <mergeCell ref="B44:C44"/>
    <mergeCell ref="B45:C45"/>
    <mergeCell ref="B48:J48"/>
    <mergeCell ref="B50:C50"/>
    <mergeCell ref="B38:C38"/>
    <mergeCell ref="B27:J27"/>
    <mergeCell ref="L27:T27"/>
    <mergeCell ref="B28:C28"/>
    <mergeCell ref="L28:M28"/>
    <mergeCell ref="B29:C29"/>
    <mergeCell ref="L29:M29"/>
    <mergeCell ref="B31:C31"/>
    <mergeCell ref="L31:M31"/>
    <mergeCell ref="B34:J34"/>
    <mergeCell ref="B36:C36"/>
    <mergeCell ref="B37:C37"/>
    <mergeCell ref="L38:M38"/>
    <mergeCell ref="L34:T34"/>
    <mergeCell ref="L36:M36"/>
    <mergeCell ref="L37:M37"/>
    <mergeCell ref="B55:J55"/>
    <mergeCell ref="B57:C57"/>
    <mergeCell ref="B58:C58"/>
    <mergeCell ref="L57:M57"/>
    <mergeCell ref="L58:M58"/>
    <mergeCell ref="L65:M65"/>
    <mergeCell ref="B69:J69"/>
    <mergeCell ref="B71:C71"/>
    <mergeCell ref="B72:C72"/>
    <mergeCell ref="L71:M71"/>
    <mergeCell ref="L72:M72"/>
    <mergeCell ref="B86:C86"/>
    <mergeCell ref="B90:J90"/>
    <mergeCell ref="B92:C92"/>
    <mergeCell ref="B93:C93"/>
    <mergeCell ref="B78:C78"/>
    <mergeCell ref="B79:C79"/>
    <mergeCell ref="B83:J83"/>
    <mergeCell ref="B85:C85"/>
    <mergeCell ref="L52:M52"/>
    <mergeCell ref="L55:T55"/>
    <mergeCell ref="L41:T41"/>
    <mergeCell ref="L43:M43"/>
    <mergeCell ref="L44:M44"/>
    <mergeCell ref="L45:M45"/>
    <mergeCell ref="L48:T48"/>
    <mergeCell ref="B96:J96"/>
    <mergeCell ref="B76:J76"/>
    <mergeCell ref="B41:J41"/>
    <mergeCell ref="L86:M86"/>
    <mergeCell ref="L90:T90"/>
    <mergeCell ref="L92:M92"/>
    <mergeCell ref="L93:M93"/>
    <mergeCell ref="L69:T69"/>
    <mergeCell ref="L76:T76"/>
    <mergeCell ref="L78:M78"/>
    <mergeCell ref="L79:M79"/>
    <mergeCell ref="L83:T83"/>
    <mergeCell ref="L85:M85"/>
    <mergeCell ref="L62:T62"/>
    <mergeCell ref="L50:M50"/>
    <mergeCell ref="L51:M51"/>
  </mergeCells>
  <dataValidations count="1">
    <dataValidation type="list" allowBlank="1" showInputMessage="1" showErrorMessage="1" sqref="I3 D8:D22" xr:uid="{354941C3-A61C-4949-AD7A-6FDCCAD6EF31}">
      <formula1>"Y, N"</formula1>
    </dataValidation>
  </dataValidations>
  <pageMargins left="0.7" right="0.7" top="0.75" bottom="0.75" header="0.3" footer="0.3"/>
  <pageSetup orientation="portrait" horizontalDpi="1200" verticalDpi="1200" r:id="rId1"/>
  <headerFooter>
    <oddHeader>&amp;R&amp;F</oddHeader>
    <oddFooter xml:space="preserve">&amp;C_x000D_&amp;1#&amp;"Aptos"&amp;12&amp;K000000 Public </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979BB42E-AD85-4A2B-9997-07E27F992333}">
          <x14:formula1>
            <xm:f>'Res Bill Impact'!$B$38:$B$48</xm:f>
          </x14:formula1>
          <xm:sqref>D4</xm:sqref>
        </x14:dataValidation>
        <x14:dataValidation type="list" allowBlank="1" showInputMessage="1" showErrorMessage="1" xr:uid="{6CEA4254-2AB3-4A10-98BB-1E095F347CB6}">
          <x14:formula1>
            <xm:f>'Incremental Rev Req'!$S$9:$V$9</xm:f>
          </x14:formula1>
          <xm:sqref>D3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69D28-87E3-445F-89CF-C3F304F54B9A}">
  <sheetPr codeName="Sheet1"/>
  <dimension ref="A1:T170"/>
  <sheetViews>
    <sheetView tabSelected="1" topLeftCell="L33" workbookViewId="0"/>
  </sheetViews>
  <sheetFormatPr defaultColWidth="9.1796875" defaultRowHeight="14.5"/>
  <cols>
    <col min="1" max="1" width="60.1796875" customWidth="1"/>
    <col min="2" max="4" width="46.453125" customWidth="1"/>
    <col min="5" max="5" width="33.26953125" customWidth="1"/>
    <col min="6" max="6" width="34" customWidth="1"/>
    <col min="7" max="11" width="19.7265625" style="303" customWidth="1"/>
    <col min="12" max="12" width="45.81640625" customWidth="1"/>
    <col min="13" max="13" width="19.81640625" customWidth="1"/>
    <col min="14" max="14" width="20.453125" customWidth="1"/>
    <col min="15" max="15" width="25.7265625" bestFit="1" customWidth="1"/>
    <col min="16" max="16" width="19.54296875" bestFit="1" customWidth="1"/>
    <col min="17" max="17" width="20.1796875" bestFit="1" customWidth="1"/>
    <col min="18" max="18" width="19.81640625" customWidth="1"/>
    <col min="20" max="20" width="11.26953125" bestFit="1" customWidth="1"/>
  </cols>
  <sheetData>
    <row r="1" spans="1:20">
      <c r="G1"/>
      <c r="H1" s="103"/>
      <c r="I1" s="103"/>
      <c r="J1" s="103"/>
      <c r="K1" s="103"/>
    </row>
    <row r="2" spans="1:20">
      <c r="A2" t="s">
        <v>602</v>
      </c>
      <c r="G2"/>
      <c r="H2"/>
      <c r="I2"/>
      <c r="J2"/>
      <c r="K2"/>
    </row>
    <row r="3" spans="1:20">
      <c r="A3" t="s">
        <v>706</v>
      </c>
      <c r="G3"/>
      <c r="H3"/>
      <c r="I3"/>
      <c r="J3"/>
      <c r="K3"/>
    </row>
    <row r="4" spans="1:20">
      <c r="G4"/>
      <c r="H4"/>
      <c r="I4"/>
      <c r="J4"/>
      <c r="K4"/>
    </row>
    <row r="5" spans="1:20">
      <c r="A5" s="12"/>
      <c r="B5" s="295" t="s">
        <v>453</v>
      </c>
      <c r="C5" s="295" t="s">
        <v>457</v>
      </c>
      <c r="D5" s="295" t="s">
        <v>542</v>
      </c>
      <c r="E5" s="295" t="s">
        <v>603</v>
      </c>
      <c r="F5" s="295" t="s">
        <v>604</v>
      </c>
      <c r="G5" s="295" t="s">
        <v>453</v>
      </c>
      <c r="H5" s="295" t="s">
        <v>457</v>
      </c>
      <c r="I5" s="295" t="s">
        <v>542</v>
      </c>
      <c r="J5" s="295" t="s">
        <v>603</v>
      </c>
      <c r="K5" s="295" t="s">
        <v>604</v>
      </c>
    </row>
    <row r="6" spans="1:20">
      <c r="B6" s="13" t="s">
        <v>456</v>
      </c>
      <c r="C6" s="296" t="s">
        <v>498</v>
      </c>
      <c r="D6" t="s">
        <v>555</v>
      </c>
      <c r="E6" t="s">
        <v>630</v>
      </c>
      <c r="F6" t="s">
        <v>642</v>
      </c>
      <c r="G6" s="13" t="s">
        <v>456</v>
      </c>
      <c r="H6" s="296" t="s">
        <v>498</v>
      </c>
      <c r="I6" t="s">
        <v>555</v>
      </c>
      <c r="J6" t="s">
        <v>630</v>
      </c>
      <c r="K6" t="s">
        <v>642</v>
      </c>
      <c r="O6" s="306"/>
    </row>
    <row r="7" spans="1:20" ht="28.5" customHeight="1">
      <c r="A7" s="294" t="s">
        <v>0</v>
      </c>
      <c r="B7" s="305"/>
      <c r="C7" s="305"/>
      <c r="D7" s="305"/>
      <c r="E7" s="305"/>
      <c r="F7" s="305"/>
      <c r="G7" s="297"/>
      <c r="H7" s="297"/>
      <c r="I7" s="297"/>
      <c r="J7" s="297"/>
      <c r="K7" s="297"/>
      <c r="L7" s="298" t="s">
        <v>1</v>
      </c>
      <c r="M7" s="298" t="s">
        <v>124</v>
      </c>
      <c r="N7" s="298" t="s">
        <v>670</v>
      </c>
    </row>
    <row r="8" spans="1:20">
      <c r="A8" s="12" t="s">
        <v>2</v>
      </c>
      <c r="B8" s="299"/>
      <c r="C8" s="299"/>
      <c r="D8" s="299"/>
      <c r="E8" s="299"/>
      <c r="F8" s="299"/>
      <c r="O8" s="306"/>
    </row>
    <row r="9" spans="1:20">
      <c r="A9" t="s">
        <v>146</v>
      </c>
      <c r="B9" s="299" t="s">
        <v>370</v>
      </c>
      <c r="C9" s="299" t="str">
        <f>B9</f>
        <v>D.23-11-069</v>
      </c>
      <c r="D9" s="299" t="str">
        <f t="shared" ref="D9:E74" si="0">C9</f>
        <v>D.23-11-069</v>
      </c>
      <c r="E9" s="299" t="str">
        <f>D9</f>
        <v>D.23-11-069</v>
      </c>
      <c r="F9" s="299" t="str">
        <f>E9</f>
        <v>D.23-11-069</v>
      </c>
      <c r="G9" s="103">
        <v>6884278.1674621208</v>
      </c>
      <c r="H9" s="103">
        <f t="shared" ref="H9:H31" si="1">G9</f>
        <v>6884278.1674621208</v>
      </c>
      <c r="I9" s="103">
        <f>H9</f>
        <v>6884278.1674621208</v>
      </c>
      <c r="J9" s="103">
        <v>7264014.529740354</v>
      </c>
      <c r="K9" s="103">
        <f>J9</f>
        <v>7264014.529740354</v>
      </c>
      <c r="L9" t="s">
        <v>5</v>
      </c>
      <c r="M9" t="str">
        <f t="shared" ref="M9:M40" si="2">IF(RIGHT(A9,1)="*","Y","N")</f>
        <v>N</v>
      </c>
      <c r="N9" t="s">
        <v>657</v>
      </c>
      <c r="O9" s="76"/>
      <c r="R9" s="315"/>
    </row>
    <row r="10" spans="1:20">
      <c r="A10" t="s">
        <v>298</v>
      </c>
      <c r="B10" s="299" t="s">
        <v>370</v>
      </c>
      <c r="C10" s="299" t="str">
        <f>B10</f>
        <v>D.23-11-069</v>
      </c>
      <c r="D10" s="299" t="str">
        <f t="shared" si="0"/>
        <v>D.23-11-069</v>
      </c>
      <c r="E10" s="299" t="str">
        <f t="shared" ref="E10:F73" si="3">D10</f>
        <v>D.23-11-069</v>
      </c>
      <c r="F10" s="299" t="str">
        <f t="shared" si="3"/>
        <v>D.23-11-069</v>
      </c>
      <c r="G10" s="103">
        <v>978572.41428428795</v>
      </c>
      <c r="H10" s="103">
        <f t="shared" si="1"/>
        <v>978572.41428428795</v>
      </c>
      <c r="I10" s="103">
        <f t="shared" ref="I10:J77" si="4">H10</f>
        <v>978572.41428428795</v>
      </c>
      <c r="J10" s="103">
        <v>1182071.4236695445</v>
      </c>
      <c r="K10" s="103">
        <f t="shared" ref="K10:K73" si="5">J10</f>
        <v>1182071.4236695445</v>
      </c>
      <c r="L10" t="s">
        <v>292</v>
      </c>
      <c r="M10" t="str">
        <f t="shared" si="2"/>
        <v>N</v>
      </c>
      <c r="N10" t="s">
        <v>657</v>
      </c>
      <c r="O10" s="76"/>
      <c r="R10" s="315"/>
    </row>
    <row r="11" spans="1:20">
      <c r="A11" t="s">
        <v>147</v>
      </c>
      <c r="B11" s="299" t="s">
        <v>114</v>
      </c>
      <c r="C11" s="316" t="s">
        <v>370</v>
      </c>
      <c r="D11" s="299" t="str">
        <f t="shared" si="0"/>
        <v>D.23-11-069</v>
      </c>
      <c r="E11" s="299" t="str">
        <f t="shared" si="3"/>
        <v>D.23-11-069</v>
      </c>
      <c r="F11" s="299" t="str">
        <f t="shared" si="3"/>
        <v>D.23-11-069</v>
      </c>
      <c r="G11" s="103">
        <v>1523645.7921620212</v>
      </c>
      <c r="H11" s="103">
        <f t="shared" si="1"/>
        <v>1523645.7921620212</v>
      </c>
      <c r="I11" s="103">
        <f t="shared" si="4"/>
        <v>1523645.7921620212</v>
      </c>
      <c r="J11" s="103">
        <v>1299232.8186116298</v>
      </c>
      <c r="K11" s="103">
        <f t="shared" si="5"/>
        <v>1299232.8186116298</v>
      </c>
      <c r="L11" t="s">
        <v>5</v>
      </c>
      <c r="M11" t="str">
        <f t="shared" si="2"/>
        <v>Y</v>
      </c>
      <c r="N11" t="s">
        <v>657</v>
      </c>
      <c r="O11" s="306"/>
      <c r="R11" s="315"/>
    </row>
    <row r="12" spans="1:20">
      <c r="A12" t="s">
        <v>385</v>
      </c>
      <c r="B12" s="299" t="s">
        <v>370</v>
      </c>
      <c r="C12" s="299" t="str">
        <f t="shared" ref="C12:C31" si="6">B12</f>
        <v>D.23-11-069</v>
      </c>
      <c r="D12" s="299" t="str">
        <f t="shared" si="0"/>
        <v>D.23-11-069</v>
      </c>
      <c r="E12" s="299" t="str">
        <f t="shared" si="3"/>
        <v>D.23-11-069</v>
      </c>
      <c r="F12" s="299" t="str">
        <f t="shared" si="3"/>
        <v>D.23-11-069</v>
      </c>
      <c r="G12" s="103">
        <v>872096.71037771134</v>
      </c>
      <c r="H12" s="103">
        <f t="shared" si="1"/>
        <v>872096.71037771134</v>
      </c>
      <c r="I12" s="103">
        <f t="shared" si="4"/>
        <v>872096.71037771134</v>
      </c>
      <c r="J12" s="103">
        <v>0</v>
      </c>
      <c r="K12" s="103">
        <f t="shared" si="5"/>
        <v>0</v>
      </c>
      <c r="L12" t="s">
        <v>5</v>
      </c>
      <c r="M12" t="str">
        <f t="shared" si="2"/>
        <v>N</v>
      </c>
      <c r="N12" t="s">
        <v>657</v>
      </c>
      <c r="O12" s="317"/>
      <c r="R12" s="315"/>
    </row>
    <row r="13" spans="1:20">
      <c r="A13" t="s">
        <v>393</v>
      </c>
      <c r="B13" s="299" t="s">
        <v>316</v>
      </c>
      <c r="C13" s="299" t="str">
        <f t="shared" si="6"/>
        <v>D.23-01-005</v>
      </c>
      <c r="D13" s="299" t="str">
        <f t="shared" si="0"/>
        <v>D.23-01-005</v>
      </c>
      <c r="E13" s="299" t="str">
        <f t="shared" si="3"/>
        <v>D.23-01-005</v>
      </c>
      <c r="F13" s="299" t="str">
        <f t="shared" si="3"/>
        <v>D.23-01-005</v>
      </c>
      <c r="G13" s="103">
        <v>8940.0690988847255</v>
      </c>
      <c r="H13" s="103">
        <f t="shared" si="1"/>
        <v>8940.0690988847255</v>
      </c>
      <c r="I13" s="103">
        <f t="shared" si="4"/>
        <v>8940.0690988847255</v>
      </c>
      <c r="J13" s="103">
        <v>0</v>
      </c>
      <c r="K13" s="103">
        <f t="shared" si="5"/>
        <v>0</v>
      </c>
      <c r="L13" t="s">
        <v>5</v>
      </c>
      <c r="M13" t="str">
        <f t="shared" si="2"/>
        <v>N</v>
      </c>
      <c r="N13" t="s">
        <v>657</v>
      </c>
      <c r="P13" s="76"/>
      <c r="Q13" s="76"/>
      <c r="R13" s="315"/>
      <c r="T13" s="76"/>
    </row>
    <row r="14" spans="1:20">
      <c r="A14" t="s">
        <v>309</v>
      </c>
      <c r="B14" s="299" t="s">
        <v>404</v>
      </c>
      <c r="C14" s="299" t="str">
        <f t="shared" si="6"/>
        <v>n/a</v>
      </c>
      <c r="D14" s="299" t="str">
        <f t="shared" si="0"/>
        <v>n/a</v>
      </c>
      <c r="E14" s="299" t="str">
        <f t="shared" si="3"/>
        <v>n/a</v>
      </c>
      <c r="F14" s="299" t="str">
        <f t="shared" si="3"/>
        <v>n/a</v>
      </c>
      <c r="G14" s="103">
        <v>0</v>
      </c>
      <c r="H14" s="103">
        <f t="shared" si="1"/>
        <v>0</v>
      </c>
      <c r="I14" s="103">
        <f t="shared" si="4"/>
        <v>0</v>
      </c>
      <c r="J14" s="103">
        <f>I14</f>
        <v>0</v>
      </c>
      <c r="K14" s="103">
        <f t="shared" si="5"/>
        <v>0</v>
      </c>
      <c r="L14" t="s">
        <v>5</v>
      </c>
      <c r="M14" t="str">
        <f t="shared" si="2"/>
        <v>N</v>
      </c>
      <c r="N14" t="s">
        <v>657</v>
      </c>
      <c r="O14" s="306"/>
      <c r="P14" s="76"/>
      <c r="Q14" s="76"/>
      <c r="R14" s="315"/>
      <c r="T14" s="76"/>
    </row>
    <row r="15" spans="1:20">
      <c r="A15" t="s">
        <v>146</v>
      </c>
      <c r="B15" s="299" t="s">
        <v>370</v>
      </c>
      <c r="C15" s="299" t="str">
        <f t="shared" si="6"/>
        <v>D.23-11-069</v>
      </c>
      <c r="D15" s="299" t="str">
        <f t="shared" si="0"/>
        <v>D.23-11-069</v>
      </c>
      <c r="E15" s="299" t="str">
        <f t="shared" si="3"/>
        <v>D.23-11-069</v>
      </c>
      <c r="F15" s="299" t="str">
        <f t="shared" si="3"/>
        <v>D.23-11-069</v>
      </c>
      <c r="G15" s="103">
        <v>1850084.3723644684</v>
      </c>
      <c r="H15" s="103">
        <f t="shared" si="1"/>
        <v>1850084.3723644684</v>
      </c>
      <c r="I15" s="103">
        <f t="shared" si="4"/>
        <v>1850084.3723644684</v>
      </c>
      <c r="J15" s="103">
        <v>1203523.6645707237</v>
      </c>
      <c r="K15" s="103">
        <f t="shared" si="5"/>
        <v>1203523.6645707237</v>
      </c>
      <c r="L15" t="s">
        <v>207</v>
      </c>
      <c r="M15" t="str">
        <f t="shared" si="2"/>
        <v>N</v>
      </c>
      <c r="N15" t="s">
        <v>657</v>
      </c>
      <c r="O15" s="306"/>
      <c r="P15" s="76"/>
      <c r="Q15" s="76"/>
      <c r="R15" s="315"/>
      <c r="T15" s="76"/>
    </row>
    <row r="16" spans="1:20">
      <c r="A16" t="s">
        <v>385</v>
      </c>
      <c r="B16" s="299" t="s">
        <v>370</v>
      </c>
      <c r="C16" s="299" t="str">
        <f t="shared" si="6"/>
        <v>D.23-11-069</v>
      </c>
      <c r="D16" s="299" t="str">
        <f t="shared" si="0"/>
        <v>D.23-11-069</v>
      </c>
      <c r="E16" s="299" t="str">
        <f t="shared" si="3"/>
        <v>D.23-11-069</v>
      </c>
      <c r="F16" s="299" t="str">
        <f t="shared" si="3"/>
        <v>D.23-11-069</v>
      </c>
      <c r="G16" s="103">
        <v>-993.7272371893788</v>
      </c>
      <c r="H16" s="103">
        <f t="shared" si="1"/>
        <v>-993.7272371893788</v>
      </c>
      <c r="I16" s="103">
        <f t="shared" si="4"/>
        <v>-993.7272371893788</v>
      </c>
      <c r="J16" s="103">
        <v>0</v>
      </c>
      <c r="K16" s="103">
        <f t="shared" si="5"/>
        <v>0</v>
      </c>
      <c r="L16" t="s">
        <v>207</v>
      </c>
      <c r="M16" t="str">
        <f t="shared" si="2"/>
        <v>N</v>
      </c>
      <c r="N16" t="s">
        <v>657</v>
      </c>
      <c r="P16" s="76"/>
      <c r="Q16" s="76"/>
      <c r="R16" s="315"/>
      <c r="T16" s="76"/>
    </row>
    <row r="17" spans="1:20">
      <c r="A17" t="s">
        <v>65</v>
      </c>
      <c r="B17" s="318" t="s">
        <v>479</v>
      </c>
      <c r="C17" s="318" t="str">
        <f t="shared" si="6"/>
        <v>AL 4880-G/7216-E</v>
      </c>
      <c r="D17" s="299" t="str">
        <f t="shared" si="0"/>
        <v>AL 4880-G/7216-E</v>
      </c>
      <c r="E17" s="299" t="str">
        <f t="shared" si="3"/>
        <v>AL 4880-G/7216-E</v>
      </c>
      <c r="F17" s="299" t="str">
        <f t="shared" si="3"/>
        <v>AL 4880-G/7216-E</v>
      </c>
      <c r="G17" s="103">
        <v>71556.30161158042</v>
      </c>
      <c r="H17" s="103">
        <f t="shared" si="1"/>
        <v>71556.30161158042</v>
      </c>
      <c r="I17" s="103">
        <v>81329.474154799595</v>
      </c>
      <c r="J17" s="103">
        <v>81329.474154799551</v>
      </c>
      <c r="K17" s="103">
        <f t="shared" si="5"/>
        <v>81329.474154799551</v>
      </c>
      <c r="L17" t="s">
        <v>5</v>
      </c>
      <c r="M17" t="str">
        <f t="shared" si="2"/>
        <v>N</v>
      </c>
      <c r="N17" t="s">
        <v>657</v>
      </c>
      <c r="O17" s="306"/>
      <c r="P17" s="76"/>
      <c r="Q17" s="76"/>
      <c r="R17" s="315"/>
      <c r="T17" s="76"/>
    </row>
    <row r="18" spans="1:20">
      <c r="A18" t="s">
        <v>302</v>
      </c>
      <c r="B18" s="299" t="s">
        <v>397</v>
      </c>
      <c r="C18" s="299" t="str">
        <f t="shared" si="6"/>
        <v>AL 4568-G-B/6492-E-B</v>
      </c>
      <c r="D18" s="299" t="str">
        <f t="shared" si="0"/>
        <v>AL 4568-G-B/6492-E-B</v>
      </c>
      <c r="E18" s="299" t="str">
        <f t="shared" si="3"/>
        <v>AL 4568-G-B/6492-E-B</v>
      </c>
      <c r="F18" s="299" t="str">
        <f t="shared" si="3"/>
        <v>AL 4568-G-B/6492-E-B</v>
      </c>
      <c r="G18" s="103">
        <v>-1.3162760000000001E-4</v>
      </c>
      <c r="H18" s="103">
        <f t="shared" si="1"/>
        <v>-1.3162760000000001E-4</v>
      </c>
      <c r="I18" s="103">
        <f t="shared" si="4"/>
        <v>-1.3162760000000001E-4</v>
      </c>
      <c r="J18" s="103">
        <v>0</v>
      </c>
      <c r="K18" s="103">
        <f t="shared" si="5"/>
        <v>0</v>
      </c>
      <c r="L18" t="s">
        <v>5</v>
      </c>
      <c r="M18" t="str">
        <f t="shared" si="2"/>
        <v>Y</v>
      </c>
      <c r="N18" t="s">
        <v>657</v>
      </c>
      <c r="P18" s="76"/>
      <c r="Q18" s="76"/>
      <c r="R18" s="315"/>
      <c r="S18" s="306"/>
      <c r="T18" s="76"/>
    </row>
    <row r="19" spans="1:20">
      <c r="A19" t="s">
        <v>65</v>
      </c>
      <c r="B19" s="299" t="s">
        <v>397</v>
      </c>
      <c r="C19" s="299" t="str">
        <f t="shared" si="6"/>
        <v>AL 4568-G-B/6492-E-B</v>
      </c>
      <c r="D19" s="299" t="str">
        <f t="shared" si="0"/>
        <v>AL 4568-G-B/6492-E-B</v>
      </c>
      <c r="E19" s="299" t="str">
        <f t="shared" si="3"/>
        <v>AL 4568-G-B/6492-E-B</v>
      </c>
      <c r="F19" s="299" t="str">
        <f t="shared" si="3"/>
        <v>AL 4568-G-B/6492-E-B</v>
      </c>
      <c r="G19" s="103">
        <v>39491.613222698499</v>
      </c>
      <c r="H19" s="103">
        <f t="shared" si="1"/>
        <v>39491.613222698499</v>
      </c>
      <c r="I19" s="103">
        <f t="shared" si="4"/>
        <v>39491.613222698499</v>
      </c>
      <c r="J19" s="103">
        <v>30252.385753378665</v>
      </c>
      <c r="K19" s="103">
        <f t="shared" si="5"/>
        <v>30252.385753378665</v>
      </c>
      <c r="L19" t="s">
        <v>207</v>
      </c>
      <c r="M19" t="str">
        <f t="shared" si="2"/>
        <v>N</v>
      </c>
      <c r="N19" t="s">
        <v>657</v>
      </c>
      <c r="O19" s="306"/>
      <c r="P19" s="76"/>
      <c r="Q19" s="76"/>
      <c r="R19" s="315"/>
      <c r="T19" s="76"/>
    </row>
    <row r="20" spans="1:20">
      <c r="A20" s="299" t="s">
        <v>70</v>
      </c>
      <c r="B20" s="299" t="s">
        <v>370</v>
      </c>
      <c r="C20" s="299" t="str">
        <f t="shared" si="6"/>
        <v>D.23-11-069</v>
      </c>
      <c r="D20" s="299" t="str">
        <f t="shared" si="0"/>
        <v>D.23-11-069</v>
      </c>
      <c r="E20" s="299" t="str">
        <f t="shared" si="3"/>
        <v>D.23-11-069</v>
      </c>
      <c r="F20" s="299" t="str">
        <f t="shared" si="3"/>
        <v>D.23-11-069</v>
      </c>
      <c r="G20" s="103">
        <v>-1939</v>
      </c>
      <c r="H20" s="103">
        <f t="shared" si="1"/>
        <v>-1939</v>
      </c>
      <c r="I20" s="103">
        <f t="shared" si="4"/>
        <v>-1939</v>
      </c>
      <c r="J20" s="103">
        <v>0</v>
      </c>
      <c r="K20" s="103">
        <f t="shared" si="5"/>
        <v>0</v>
      </c>
      <c r="L20" t="s">
        <v>207</v>
      </c>
      <c r="M20" t="str">
        <f t="shared" si="2"/>
        <v>N</v>
      </c>
      <c r="N20" t="s">
        <v>657</v>
      </c>
      <c r="O20" s="306"/>
      <c r="P20" s="76"/>
      <c r="Q20" s="76"/>
      <c r="R20" s="315"/>
      <c r="T20" s="76"/>
    </row>
    <row r="21" spans="1:20">
      <c r="A21" t="s">
        <v>91</v>
      </c>
      <c r="B21" s="299" t="s">
        <v>396</v>
      </c>
      <c r="C21" s="299" t="str">
        <f t="shared" si="6"/>
        <v>D.23-12-022</v>
      </c>
      <c r="D21" s="299" t="str">
        <f t="shared" si="0"/>
        <v>D.23-12-022</v>
      </c>
      <c r="E21" s="299" t="str">
        <f t="shared" si="3"/>
        <v>D.23-12-022</v>
      </c>
      <c r="F21" s="299" t="str">
        <f t="shared" si="3"/>
        <v>D.23-12-022</v>
      </c>
      <c r="G21" s="103">
        <v>4499559.0665874425</v>
      </c>
      <c r="H21" s="103">
        <f t="shared" si="1"/>
        <v>4499559.0665874425</v>
      </c>
      <c r="I21" s="103">
        <f t="shared" si="4"/>
        <v>4499559.0665874425</v>
      </c>
      <c r="J21" s="103">
        <v>3072849.9094557511</v>
      </c>
      <c r="K21" s="103">
        <f t="shared" si="5"/>
        <v>3072849.9094557511</v>
      </c>
      <c r="L21" t="s">
        <v>3</v>
      </c>
      <c r="M21" t="str">
        <f t="shared" si="2"/>
        <v>N</v>
      </c>
      <c r="N21" t="s">
        <v>657</v>
      </c>
      <c r="O21" s="306"/>
      <c r="P21" s="76"/>
      <c r="Q21" s="76"/>
      <c r="R21" s="315"/>
      <c r="T21" s="76"/>
    </row>
    <row r="22" spans="1:20">
      <c r="A22" t="s">
        <v>666</v>
      </c>
      <c r="B22" s="299" t="s">
        <v>396</v>
      </c>
      <c r="C22" s="299" t="str">
        <f t="shared" si="6"/>
        <v>D.23-12-022</v>
      </c>
      <c r="D22" s="299" t="str">
        <f t="shared" si="0"/>
        <v>D.23-12-022</v>
      </c>
      <c r="E22" s="299" t="str">
        <f t="shared" si="3"/>
        <v>D.23-12-022</v>
      </c>
      <c r="F22" s="299" t="str">
        <f t="shared" si="3"/>
        <v>D.23-12-022</v>
      </c>
      <c r="G22" s="103">
        <v>-2331331.0225770986</v>
      </c>
      <c r="H22" s="103">
        <f t="shared" si="1"/>
        <v>-2331331.0225770986</v>
      </c>
      <c r="I22" s="103">
        <f t="shared" si="4"/>
        <v>-2331331.0225770986</v>
      </c>
      <c r="J22" s="103">
        <v>-685483.59337892663</v>
      </c>
      <c r="K22" s="103">
        <f t="shared" si="5"/>
        <v>-685483.59337892663</v>
      </c>
      <c r="L22" t="s">
        <v>207</v>
      </c>
      <c r="M22" t="str">
        <f t="shared" si="2"/>
        <v>N</v>
      </c>
      <c r="N22" t="s">
        <v>657</v>
      </c>
      <c r="P22" s="76"/>
      <c r="Q22" s="76"/>
      <c r="R22" s="315"/>
      <c r="T22" s="76"/>
    </row>
    <row r="23" spans="1:20">
      <c r="A23" t="s">
        <v>667</v>
      </c>
      <c r="B23" s="299" t="s">
        <v>404</v>
      </c>
      <c r="C23" s="299" t="str">
        <f t="shared" si="6"/>
        <v>n/a</v>
      </c>
      <c r="D23" s="299" t="str">
        <f t="shared" si="0"/>
        <v>n/a</v>
      </c>
      <c r="E23" s="299" t="str">
        <f t="shared" si="3"/>
        <v>n/a</v>
      </c>
      <c r="F23" s="299" t="str">
        <f t="shared" si="3"/>
        <v>n/a</v>
      </c>
      <c r="G23" s="103">
        <v>0</v>
      </c>
      <c r="H23" s="103">
        <f t="shared" si="1"/>
        <v>0</v>
      </c>
      <c r="I23" s="103">
        <f t="shared" si="4"/>
        <v>0</v>
      </c>
      <c r="J23" s="103">
        <v>628558.31638215226</v>
      </c>
      <c r="K23" s="103">
        <f t="shared" si="5"/>
        <v>628558.31638215226</v>
      </c>
      <c r="L23" t="s">
        <v>207</v>
      </c>
      <c r="M23" t="str">
        <f t="shared" si="2"/>
        <v>Y</v>
      </c>
      <c r="N23" t="s">
        <v>657</v>
      </c>
      <c r="P23" s="76"/>
      <c r="Q23" s="76"/>
      <c r="R23" s="315"/>
      <c r="T23" s="76"/>
    </row>
    <row r="24" spans="1:20">
      <c r="A24" t="s">
        <v>390</v>
      </c>
      <c r="B24" s="299" t="s">
        <v>404</v>
      </c>
      <c r="C24" s="299" t="str">
        <f t="shared" si="6"/>
        <v>n/a</v>
      </c>
      <c r="D24" s="299" t="str">
        <f t="shared" si="0"/>
        <v>n/a</v>
      </c>
      <c r="E24" s="299" t="str">
        <f t="shared" si="3"/>
        <v>n/a</v>
      </c>
      <c r="F24" s="299" t="str">
        <f t="shared" si="3"/>
        <v>n/a</v>
      </c>
      <c r="G24" s="103">
        <v>0</v>
      </c>
      <c r="H24" s="103">
        <f t="shared" si="1"/>
        <v>0</v>
      </c>
      <c r="I24" s="103">
        <f t="shared" si="4"/>
        <v>0</v>
      </c>
      <c r="J24" s="103">
        <f t="shared" si="4"/>
        <v>0</v>
      </c>
      <c r="K24" s="103">
        <f t="shared" si="5"/>
        <v>0</v>
      </c>
      <c r="L24" t="s">
        <v>3</v>
      </c>
      <c r="M24" t="str">
        <f t="shared" si="2"/>
        <v>N</v>
      </c>
      <c r="N24" t="s">
        <v>657</v>
      </c>
      <c r="O24" s="306"/>
      <c r="P24" s="76"/>
      <c r="Q24" s="76"/>
      <c r="R24" s="315"/>
      <c r="T24" s="76"/>
    </row>
    <row r="25" spans="1:20">
      <c r="A25" t="s">
        <v>310</v>
      </c>
      <c r="B25" s="299" t="s">
        <v>404</v>
      </c>
      <c r="C25" s="299" t="str">
        <f t="shared" si="6"/>
        <v>n/a</v>
      </c>
      <c r="D25" s="299" t="str">
        <f t="shared" si="0"/>
        <v>n/a</v>
      </c>
      <c r="E25" s="299" t="str">
        <f t="shared" si="3"/>
        <v>n/a</v>
      </c>
      <c r="F25" s="299" t="str">
        <f t="shared" si="3"/>
        <v>n/a</v>
      </c>
      <c r="G25" s="103">
        <v>0</v>
      </c>
      <c r="H25" s="103">
        <f t="shared" si="1"/>
        <v>0</v>
      </c>
      <c r="I25" s="103">
        <f t="shared" si="4"/>
        <v>0</v>
      </c>
      <c r="J25" s="103">
        <v>0</v>
      </c>
      <c r="K25" s="103">
        <f t="shared" si="5"/>
        <v>0</v>
      </c>
      <c r="L25" t="s">
        <v>207</v>
      </c>
      <c r="M25" t="str">
        <f t="shared" si="2"/>
        <v>Y</v>
      </c>
      <c r="N25" t="s">
        <v>657</v>
      </c>
      <c r="P25" s="76"/>
      <c r="Q25" s="76"/>
      <c r="R25" s="315"/>
      <c r="T25" s="76"/>
    </row>
    <row r="26" spans="1:20">
      <c r="A26" t="s">
        <v>311</v>
      </c>
      <c r="B26" t="s">
        <v>493</v>
      </c>
      <c r="C26" s="299" t="str">
        <f t="shared" si="6"/>
        <v>Electric Preliminary HS</v>
      </c>
      <c r="D26" s="299" t="str">
        <f t="shared" si="0"/>
        <v>Electric Preliminary HS</v>
      </c>
      <c r="E26" s="299" t="str">
        <f t="shared" si="3"/>
        <v>Electric Preliminary HS</v>
      </c>
      <c r="F26" s="299" t="str">
        <f t="shared" si="3"/>
        <v>Electric Preliminary HS</v>
      </c>
      <c r="G26" s="103">
        <v>636.0636591284989</v>
      </c>
      <c r="H26" s="103">
        <f t="shared" si="1"/>
        <v>636.0636591284989</v>
      </c>
      <c r="I26" s="103">
        <f t="shared" si="4"/>
        <v>636.0636591284989</v>
      </c>
      <c r="J26" s="103">
        <v>654.55504240994981</v>
      </c>
      <c r="K26" s="103">
        <f t="shared" si="5"/>
        <v>654.55504240994981</v>
      </c>
      <c r="L26" t="s">
        <v>207</v>
      </c>
      <c r="M26" t="str">
        <f t="shared" si="2"/>
        <v>Y</v>
      </c>
      <c r="N26" t="s">
        <v>139</v>
      </c>
    </row>
    <row r="27" spans="1:20">
      <c r="A27" t="s">
        <v>108</v>
      </c>
      <c r="B27" s="299" t="s">
        <v>115</v>
      </c>
      <c r="C27" s="299" t="str">
        <f t="shared" si="6"/>
        <v>Preliminary Statement  DT</v>
      </c>
      <c r="D27" s="299" t="str">
        <f t="shared" si="0"/>
        <v>Preliminary Statement  DT</v>
      </c>
      <c r="E27" s="299" t="str">
        <f t="shared" si="3"/>
        <v>Preliminary Statement  DT</v>
      </c>
      <c r="F27" s="299" t="str">
        <f t="shared" si="3"/>
        <v>Preliminary Statement  DT</v>
      </c>
      <c r="G27" s="103">
        <v>699.27697046948424</v>
      </c>
      <c r="H27" s="103">
        <f t="shared" si="1"/>
        <v>699.27697046948424</v>
      </c>
      <c r="I27" s="103">
        <f t="shared" si="4"/>
        <v>699.27697046948424</v>
      </c>
      <c r="J27" s="103">
        <v>1685.3200572805854</v>
      </c>
      <c r="K27" s="103">
        <f t="shared" si="5"/>
        <v>1685.3200572805854</v>
      </c>
      <c r="L27" t="s">
        <v>127</v>
      </c>
      <c r="M27" t="str">
        <f t="shared" si="2"/>
        <v>Y</v>
      </c>
      <c r="N27" t="s">
        <v>657</v>
      </c>
      <c r="P27" s="306"/>
      <c r="Q27" s="300"/>
      <c r="R27" s="315"/>
    </row>
    <row r="28" spans="1:20">
      <c r="A28" t="s">
        <v>66</v>
      </c>
      <c r="B28" s="299" t="s">
        <v>494</v>
      </c>
      <c r="C28" s="299" t="str">
        <f t="shared" si="6"/>
        <v>D.24-12-038</v>
      </c>
      <c r="D28" s="299" t="str">
        <f t="shared" si="0"/>
        <v>D.24-12-038</v>
      </c>
      <c r="E28" s="299" t="str">
        <f t="shared" si="3"/>
        <v>D.24-12-038</v>
      </c>
      <c r="F28" s="299" t="str">
        <f t="shared" si="3"/>
        <v>D.24-12-038</v>
      </c>
      <c r="G28" s="103">
        <v>-28147.512925982206</v>
      </c>
      <c r="H28" s="103">
        <f t="shared" si="1"/>
        <v>-28147.512925982206</v>
      </c>
      <c r="I28" s="103">
        <f t="shared" si="4"/>
        <v>-28147.512925982206</v>
      </c>
      <c r="J28" s="103">
        <v>-3377.8111523794842</v>
      </c>
      <c r="K28" s="103">
        <f t="shared" si="5"/>
        <v>-3377.8111523794842</v>
      </c>
      <c r="L28" t="s">
        <v>66</v>
      </c>
      <c r="M28" t="str">
        <f t="shared" si="2"/>
        <v>N</v>
      </c>
      <c r="N28" t="s">
        <v>657</v>
      </c>
      <c r="O28" s="306"/>
      <c r="P28" s="306"/>
    </row>
    <row r="29" spans="1:20">
      <c r="A29" t="s">
        <v>105</v>
      </c>
      <c r="B29" s="299" t="s">
        <v>480</v>
      </c>
      <c r="C29" s="299" t="str">
        <f t="shared" si="6"/>
        <v>Electric Preliminary Statement Part CQ</v>
      </c>
      <c r="D29" s="299" t="str">
        <f t="shared" si="0"/>
        <v>Electric Preliminary Statement Part CQ</v>
      </c>
      <c r="E29" s="299" t="str">
        <f t="shared" si="3"/>
        <v>Electric Preliminary Statement Part CQ</v>
      </c>
      <c r="F29" s="299" t="str">
        <f t="shared" si="3"/>
        <v>Electric Preliminary Statement Part CQ</v>
      </c>
      <c r="G29" s="103">
        <v>-23567.041614043021</v>
      </c>
      <c r="H29" s="103">
        <f t="shared" si="1"/>
        <v>-23567.041614043021</v>
      </c>
      <c r="I29" s="103">
        <f t="shared" si="4"/>
        <v>-23567.041614043021</v>
      </c>
      <c r="J29" s="103">
        <v>23369.877054782319</v>
      </c>
      <c r="K29" s="103">
        <f t="shared" si="5"/>
        <v>23369.877054782319</v>
      </c>
      <c r="L29" t="s">
        <v>66</v>
      </c>
      <c r="M29" t="str">
        <f t="shared" si="2"/>
        <v>Y</v>
      </c>
      <c r="N29" t="s">
        <v>657</v>
      </c>
      <c r="P29" s="309"/>
    </row>
    <row r="30" spans="1:20">
      <c r="A30" t="s">
        <v>106</v>
      </c>
      <c r="B30" s="299" t="s">
        <v>494</v>
      </c>
      <c r="C30" s="299" t="str">
        <f t="shared" si="6"/>
        <v>D.24-12-038</v>
      </c>
      <c r="D30" s="299" t="str">
        <f t="shared" si="0"/>
        <v>D.24-12-038</v>
      </c>
      <c r="E30" s="299" t="str">
        <f t="shared" si="3"/>
        <v>D.24-12-038</v>
      </c>
      <c r="F30" s="299" t="str">
        <f t="shared" si="3"/>
        <v>D.24-12-038</v>
      </c>
      <c r="G30" s="103">
        <v>373939.22244951449</v>
      </c>
      <c r="H30" s="103">
        <f t="shared" si="1"/>
        <v>373939.22244951449</v>
      </c>
      <c r="I30" s="103">
        <f t="shared" si="4"/>
        <v>373939.22244951449</v>
      </c>
      <c r="J30" s="103">
        <v>244371.67766520652</v>
      </c>
      <c r="K30" s="103">
        <f t="shared" si="5"/>
        <v>244371.67766520652</v>
      </c>
      <c r="L30" t="s">
        <v>14</v>
      </c>
      <c r="M30" t="str">
        <f t="shared" si="2"/>
        <v>N</v>
      </c>
      <c r="N30" t="s">
        <v>657</v>
      </c>
    </row>
    <row r="31" spans="1:20">
      <c r="A31" t="s">
        <v>107</v>
      </c>
      <c r="B31" s="299" t="s">
        <v>481</v>
      </c>
      <c r="C31" s="299" t="str">
        <f t="shared" si="6"/>
        <v>Electric Preliminary Statement Part FS</v>
      </c>
      <c r="D31" s="299" t="str">
        <f t="shared" si="0"/>
        <v>Electric Preliminary Statement Part FS</v>
      </c>
      <c r="E31" s="299" t="str">
        <f t="shared" si="3"/>
        <v>Electric Preliminary Statement Part FS</v>
      </c>
      <c r="F31" s="299" t="str">
        <f t="shared" si="3"/>
        <v>Electric Preliminary Statement Part FS</v>
      </c>
      <c r="G31" s="103">
        <v>-48400.206227758164</v>
      </c>
      <c r="H31" s="103">
        <f t="shared" si="1"/>
        <v>-48400.206227758164</v>
      </c>
      <c r="I31" s="103">
        <f t="shared" si="4"/>
        <v>-48400.206227758164</v>
      </c>
      <c r="J31" s="103">
        <v>186758.54768650109</v>
      </c>
      <c r="K31" s="103">
        <f t="shared" si="5"/>
        <v>186758.54768650109</v>
      </c>
      <c r="L31" t="s">
        <v>14</v>
      </c>
      <c r="M31" t="str">
        <f t="shared" si="2"/>
        <v>Y</v>
      </c>
      <c r="N31" t="s">
        <v>657</v>
      </c>
    </row>
    <row r="32" spans="1:20">
      <c r="A32" t="s">
        <v>303</v>
      </c>
      <c r="B32" s="299" t="s">
        <v>315</v>
      </c>
      <c r="C32" s="299" t="s">
        <v>404</v>
      </c>
      <c r="D32" s="299" t="str">
        <f t="shared" si="0"/>
        <v>n/a</v>
      </c>
      <c r="E32" s="299" t="str">
        <f t="shared" si="3"/>
        <v>n/a</v>
      </c>
      <c r="F32" s="299" t="str">
        <f t="shared" si="3"/>
        <v>n/a</v>
      </c>
      <c r="G32" s="103">
        <v>320389.17230000003</v>
      </c>
      <c r="H32" s="103">
        <v>0</v>
      </c>
      <c r="I32" s="103">
        <f t="shared" si="4"/>
        <v>0</v>
      </c>
      <c r="J32" s="103">
        <v>0</v>
      </c>
      <c r="K32" s="103">
        <f t="shared" si="5"/>
        <v>0</v>
      </c>
      <c r="L32" t="s">
        <v>292</v>
      </c>
      <c r="M32" t="str">
        <f t="shared" si="2"/>
        <v>N</v>
      </c>
      <c r="N32" t="s">
        <v>657</v>
      </c>
      <c r="O32" s="301"/>
      <c r="P32" s="76"/>
    </row>
    <row r="33" spans="1:16">
      <c r="A33" t="s">
        <v>67</v>
      </c>
      <c r="B33" s="299" t="s">
        <v>458</v>
      </c>
      <c r="C33" s="299" t="str">
        <f>B33</f>
        <v>D.24-10-008/ AL 7423-E</v>
      </c>
      <c r="D33" s="299" t="str">
        <f t="shared" si="0"/>
        <v>D.24-10-008/ AL 7423-E</v>
      </c>
      <c r="E33" s="299" t="str">
        <f t="shared" si="3"/>
        <v>D.24-10-008/ AL 7423-E</v>
      </c>
      <c r="F33" s="299" t="str">
        <f t="shared" si="3"/>
        <v>D.24-10-008/ AL 7423-E</v>
      </c>
      <c r="G33" s="103">
        <v>127793.28740318524</v>
      </c>
      <c r="H33" s="103">
        <f>G33</f>
        <v>127793.28740318524</v>
      </c>
      <c r="I33" s="103">
        <f t="shared" si="4"/>
        <v>127793.28740318524</v>
      </c>
      <c r="J33" s="103">
        <v>112764.45348588808</v>
      </c>
      <c r="K33" s="103">
        <f t="shared" si="5"/>
        <v>112764.45348588808</v>
      </c>
      <c r="L33" t="s">
        <v>5</v>
      </c>
      <c r="M33" t="str">
        <f t="shared" si="2"/>
        <v>N</v>
      </c>
      <c r="N33" t="s">
        <v>657</v>
      </c>
      <c r="O33" s="301"/>
      <c r="P33" s="76"/>
    </row>
    <row r="34" spans="1:16">
      <c r="A34" t="s">
        <v>67</v>
      </c>
      <c r="B34" s="299" t="s">
        <v>485</v>
      </c>
      <c r="C34" s="299" t="str">
        <f>B34</f>
        <v>AL 4813-G/7046-E/ D.24-10-008/ AL 7423-E</v>
      </c>
      <c r="D34" s="299" t="str">
        <f t="shared" si="0"/>
        <v>AL 4813-G/7046-E/ D.24-10-008/ AL 7423-E</v>
      </c>
      <c r="E34" s="299" t="str">
        <f t="shared" si="3"/>
        <v>AL 4813-G/7046-E/ D.24-10-008/ AL 7423-E</v>
      </c>
      <c r="F34" s="299" t="str">
        <f t="shared" si="3"/>
        <v>AL 4813-G/7046-E/ D.24-10-008/ AL 7423-E</v>
      </c>
      <c r="G34" s="103">
        <v>16480.830059694865</v>
      </c>
      <c r="H34" s="103">
        <f>G34</f>
        <v>16480.830059694865</v>
      </c>
      <c r="I34" s="103">
        <f t="shared" si="4"/>
        <v>16480.830059694865</v>
      </c>
      <c r="J34" s="103">
        <v>13265.78796677478</v>
      </c>
      <c r="K34" s="103">
        <f t="shared" si="5"/>
        <v>13265.78796677478</v>
      </c>
      <c r="L34" t="s">
        <v>207</v>
      </c>
      <c r="M34" t="str">
        <f t="shared" si="2"/>
        <v>N</v>
      </c>
      <c r="N34" t="s">
        <v>657</v>
      </c>
      <c r="O34" s="301"/>
      <c r="P34" s="76"/>
    </row>
    <row r="35" spans="1:16">
      <c r="A35" t="s">
        <v>67</v>
      </c>
      <c r="B35" s="299" t="s">
        <v>404</v>
      </c>
      <c r="C35" s="299" t="s">
        <v>404</v>
      </c>
      <c r="D35" s="299" t="str">
        <f t="shared" si="0"/>
        <v>n/a</v>
      </c>
      <c r="E35" s="299" t="str">
        <f t="shared" si="3"/>
        <v>n/a</v>
      </c>
      <c r="F35" s="299" t="str">
        <f t="shared" si="3"/>
        <v>n/a</v>
      </c>
      <c r="G35" s="103">
        <v>0.14518709895141907</v>
      </c>
      <c r="H35" s="103">
        <f>G35</f>
        <v>0.14518709895141907</v>
      </c>
      <c r="I35" s="103">
        <f t="shared" si="4"/>
        <v>0.14518709895141907</v>
      </c>
      <c r="J35" s="103">
        <v>0</v>
      </c>
      <c r="K35" s="103">
        <f t="shared" si="5"/>
        <v>0</v>
      </c>
      <c r="L35" t="s">
        <v>3</v>
      </c>
      <c r="M35" t="str">
        <f t="shared" si="2"/>
        <v>N</v>
      </c>
      <c r="N35" t="s">
        <v>657</v>
      </c>
      <c r="O35" s="301"/>
      <c r="P35" s="76"/>
    </row>
    <row r="36" spans="1:16">
      <c r="A36" t="s">
        <v>67</v>
      </c>
      <c r="B36" s="299" t="s">
        <v>404</v>
      </c>
      <c r="C36" s="299" t="str">
        <f t="shared" ref="C36:C56" si="7">B36</f>
        <v>n/a</v>
      </c>
      <c r="D36" s="299" t="str">
        <f t="shared" si="0"/>
        <v>n/a</v>
      </c>
      <c r="E36" s="299" t="str">
        <f t="shared" si="3"/>
        <v>n/a</v>
      </c>
      <c r="F36" s="299" t="str">
        <f t="shared" si="3"/>
        <v>n/a</v>
      </c>
      <c r="G36" s="103">
        <v>0</v>
      </c>
      <c r="H36" s="103">
        <f>G36</f>
        <v>0</v>
      </c>
      <c r="I36" s="103">
        <f t="shared" si="4"/>
        <v>0</v>
      </c>
      <c r="J36" s="103">
        <v>0</v>
      </c>
      <c r="K36" s="103">
        <f t="shared" si="5"/>
        <v>0</v>
      </c>
      <c r="L36" t="s">
        <v>14</v>
      </c>
      <c r="M36" t="str">
        <f t="shared" si="2"/>
        <v>N</v>
      </c>
      <c r="N36" t="s">
        <v>657</v>
      </c>
      <c r="O36" s="301"/>
      <c r="P36" s="76"/>
    </row>
    <row r="37" spans="1:16" ht="17.25" customHeight="1">
      <c r="A37" s="299" t="s">
        <v>214</v>
      </c>
      <c r="B37" s="299" t="s">
        <v>404</v>
      </c>
      <c r="C37" s="299" t="str">
        <f t="shared" si="7"/>
        <v>n/a</v>
      </c>
      <c r="D37" s="299" t="str">
        <f t="shared" si="0"/>
        <v>n/a</v>
      </c>
      <c r="E37" s="299" t="str">
        <f t="shared" si="3"/>
        <v>n/a</v>
      </c>
      <c r="F37" s="299" t="str">
        <f t="shared" si="3"/>
        <v>n/a</v>
      </c>
      <c r="G37" s="103">
        <v>0</v>
      </c>
      <c r="H37" s="103">
        <f>G37</f>
        <v>0</v>
      </c>
      <c r="I37" s="103">
        <f t="shared" si="4"/>
        <v>0</v>
      </c>
      <c r="J37" s="103">
        <v>0</v>
      </c>
      <c r="K37" s="103">
        <f t="shared" si="5"/>
        <v>0</v>
      </c>
      <c r="L37" t="s">
        <v>5</v>
      </c>
      <c r="M37" t="str">
        <f t="shared" si="2"/>
        <v>Y</v>
      </c>
      <c r="N37" t="s">
        <v>657</v>
      </c>
      <c r="O37" s="301"/>
      <c r="P37" s="76"/>
    </row>
    <row r="38" spans="1:16">
      <c r="A38" t="s">
        <v>68</v>
      </c>
      <c r="B38" s="299" t="s">
        <v>277</v>
      </c>
      <c r="C38" s="299" t="str">
        <f t="shared" si="7"/>
        <v>D.18-01-022</v>
      </c>
      <c r="D38" s="299" t="str">
        <f t="shared" si="0"/>
        <v>D.18-01-022</v>
      </c>
      <c r="E38" s="299" t="str">
        <f t="shared" si="3"/>
        <v>D.18-01-022</v>
      </c>
      <c r="F38" s="299" t="str">
        <f t="shared" si="3"/>
        <v>D.18-01-022</v>
      </c>
      <c r="G38" s="103">
        <v>11760.785984999997</v>
      </c>
      <c r="H38" s="103">
        <v>3003.6242956951987</v>
      </c>
      <c r="I38" s="103">
        <f t="shared" si="4"/>
        <v>3003.6242956951987</v>
      </c>
      <c r="J38" s="103">
        <v>0</v>
      </c>
      <c r="K38" s="103">
        <f t="shared" si="5"/>
        <v>0</v>
      </c>
      <c r="L38" t="s">
        <v>16</v>
      </c>
      <c r="M38" t="str">
        <f t="shared" si="2"/>
        <v>N</v>
      </c>
      <c r="N38" t="s">
        <v>657</v>
      </c>
      <c r="O38" s="122"/>
      <c r="P38" s="76"/>
    </row>
    <row r="39" spans="1:16">
      <c r="A39" t="s">
        <v>68</v>
      </c>
      <c r="B39" s="299" t="s">
        <v>277</v>
      </c>
      <c r="C39" s="299" t="str">
        <f t="shared" si="7"/>
        <v>D.18-01-022</v>
      </c>
      <c r="D39" s="299" t="str">
        <f t="shared" si="0"/>
        <v>D.18-01-022</v>
      </c>
      <c r="E39" s="299" t="str">
        <f t="shared" si="3"/>
        <v>D.18-01-022</v>
      </c>
      <c r="F39" s="299" t="str">
        <f t="shared" si="3"/>
        <v>D.18-01-022</v>
      </c>
      <c r="G39" s="103">
        <v>2359.1716000000001</v>
      </c>
      <c r="H39" s="103">
        <f t="shared" ref="H39:H51" si="8">G39</f>
        <v>2359.1716000000001</v>
      </c>
      <c r="I39" s="103">
        <f t="shared" si="4"/>
        <v>2359.1716000000001</v>
      </c>
      <c r="J39" s="103"/>
      <c r="K39" s="103">
        <f t="shared" si="5"/>
        <v>0</v>
      </c>
      <c r="L39" t="s">
        <v>207</v>
      </c>
      <c r="M39" t="str">
        <f t="shared" si="2"/>
        <v>N</v>
      </c>
      <c r="N39" t="s">
        <v>657</v>
      </c>
      <c r="O39" s="122"/>
      <c r="P39" s="76"/>
    </row>
    <row r="40" spans="1:16">
      <c r="A40" t="s">
        <v>69</v>
      </c>
      <c r="B40" s="299" t="s">
        <v>404</v>
      </c>
      <c r="C40" s="299" t="str">
        <f t="shared" si="7"/>
        <v>n/a</v>
      </c>
      <c r="D40" s="299" t="str">
        <f t="shared" si="0"/>
        <v>n/a</v>
      </c>
      <c r="E40" s="299" t="str">
        <f t="shared" si="3"/>
        <v>n/a</v>
      </c>
      <c r="F40" s="299" t="str">
        <f t="shared" si="3"/>
        <v>n/a</v>
      </c>
      <c r="G40" s="103">
        <v>0</v>
      </c>
      <c r="H40" s="103">
        <f t="shared" si="8"/>
        <v>0</v>
      </c>
      <c r="I40" s="103">
        <f t="shared" si="4"/>
        <v>0</v>
      </c>
      <c r="J40" s="103">
        <f t="shared" si="4"/>
        <v>0</v>
      </c>
      <c r="K40" s="103">
        <f t="shared" si="5"/>
        <v>0</v>
      </c>
      <c r="L40" t="s">
        <v>16</v>
      </c>
      <c r="M40" t="str">
        <f t="shared" si="2"/>
        <v>N</v>
      </c>
      <c r="N40" t="s">
        <v>657</v>
      </c>
      <c r="O40" s="319"/>
      <c r="P40" s="76"/>
    </row>
    <row r="41" spans="1:16">
      <c r="A41" t="s">
        <v>109</v>
      </c>
      <c r="B41" s="299" t="s">
        <v>116</v>
      </c>
      <c r="C41" s="299" t="str">
        <f t="shared" si="7"/>
        <v>Preliminary Statement  DB</v>
      </c>
      <c r="D41" s="299" t="str">
        <f t="shared" si="0"/>
        <v>Preliminary Statement  DB</v>
      </c>
      <c r="E41" s="299" t="str">
        <f t="shared" si="3"/>
        <v>Preliminary Statement  DB</v>
      </c>
      <c r="F41" s="299" t="str">
        <f t="shared" si="3"/>
        <v>Preliminary Statement  DB</v>
      </c>
      <c r="G41" s="103">
        <v>-22022.575667378391</v>
      </c>
      <c r="H41" s="103">
        <f t="shared" si="8"/>
        <v>-22022.575667378391</v>
      </c>
      <c r="I41" s="103">
        <f t="shared" si="4"/>
        <v>-22022.575667378391</v>
      </c>
      <c r="J41" s="103">
        <v>-1604.9394941091518</v>
      </c>
      <c r="K41" s="103">
        <f t="shared" si="5"/>
        <v>-1604.9394941091518</v>
      </c>
      <c r="L41" t="s">
        <v>16</v>
      </c>
      <c r="M41" t="str">
        <f t="shared" ref="M41:M72" si="9">IF(RIGHT(A41,1)="*","Y","N")</f>
        <v>Y</v>
      </c>
      <c r="N41" t="s">
        <v>657</v>
      </c>
      <c r="O41" s="122"/>
      <c r="P41" s="103"/>
    </row>
    <row r="42" spans="1:16">
      <c r="A42" t="s">
        <v>112</v>
      </c>
      <c r="B42" s="299" t="s">
        <v>90</v>
      </c>
      <c r="C42" s="299" t="str">
        <f t="shared" si="7"/>
        <v>Preliminary Statement S</v>
      </c>
      <c r="D42" s="299" t="str">
        <f t="shared" si="0"/>
        <v>Preliminary Statement S</v>
      </c>
      <c r="E42" s="299" t="str">
        <f t="shared" si="3"/>
        <v>Preliminary Statement S</v>
      </c>
      <c r="F42" s="299" t="str">
        <f t="shared" si="3"/>
        <v>Preliminary Statement S</v>
      </c>
      <c r="G42" s="103">
        <v>41390.127807307355</v>
      </c>
      <c r="H42" s="103">
        <f t="shared" si="8"/>
        <v>41390.127807307355</v>
      </c>
      <c r="I42" s="103">
        <f t="shared" si="4"/>
        <v>41390.127807307355</v>
      </c>
      <c r="J42" s="103">
        <v>44384.403290136892</v>
      </c>
      <c r="K42" s="103">
        <f t="shared" si="5"/>
        <v>44384.403290136892</v>
      </c>
      <c r="L42" t="s">
        <v>292</v>
      </c>
      <c r="M42" t="str">
        <f t="shared" si="9"/>
        <v>Y</v>
      </c>
      <c r="N42" t="s">
        <v>139</v>
      </c>
    </row>
    <row r="43" spans="1:16" ht="14.25" customHeight="1">
      <c r="A43" t="s">
        <v>113</v>
      </c>
      <c r="B43" s="299" t="s">
        <v>89</v>
      </c>
      <c r="C43" s="299" t="str">
        <f t="shared" si="7"/>
        <v>Preliminary Statement ET</v>
      </c>
      <c r="D43" s="299" t="str">
        <f t="shared" si="0"/>
        <v>Preliminary Statement ET</v>
      </c>
      <c r="E43" s="299" t="str">
        <f t="shared" si="3"/>
        <v>Preliminary Statement ET</v>
      </c>
      <c r="F43" s="299" t="str">
        <f t="shared" si="3"/>
        <v>Preliminary Statement ET</v>
      </c>
      <c r="G43" s="103">
        <v>-221.01964491517228</v>
      </c>
      <c r="H43" s="103">
        <f t="shared" si="8"/>
        <v>-221.01964491517228</v>
      </c>
      <c r="I43" s="103">
        <f t="shared" si="4"/>
        <v>-221.01964491517228</v>
      </c>
      <c r="J43" s="103">
        <v>0</v>
      </c>
      <c r="K43" s="103">
        <f t="shared" si="5"/>
        <v>0</v>
      </c>
      <c r="L43" t="s">
        <v>5</v>
      </c>
      <c r="M43" t="str">
        <f t="shared" si="9"/>
        <v>Y</v>
      </c>
      <c r="N43" t="s">
        <v>139</v>
      </c>
    </row>
    <row r="44" spans="1:16">
      <c r="A44" t="s">
        <v>651</v>
      </c>
      <c r="B44" s="299" t="s">
        <v>462</v>
      </c>
      <c r="C44" s="299" t="str">
        <f t="shared" si="7"/>
        <v>D.24-12-001</v>
      </c>
      <c r="D44" s="299" t="str">
        <f t="shared" si="0"/>
        <v>D.24-12-001</v>
      </c>
      <c r="E44" s="299" t="str">
        <f t="shared" si="3"/>
        <v>D.24-12-001</v>
      </c>
      <c r="F44" s="299" t="str">
        <f t="shared" si="3"/>
        <v>D.24-12-001</v>
      </c>
      <c r="G44" s="103">
        <v>412561.55548204755</v>
      </c>
      <c r="H44" s="103">
        <f t="shared" si="8"/>
        <v>412561.55548204755</v>
      </c>
      <c r="I44" s="103">
        <f t="shared" si="4"/>
        <v>412561.55548204755</v>
      </c>
      <c r="J44" s="103">
        <v>401830.0859770244</v>
      </c>
      <c r="K44" s="103">
        <f t="shared" si="5"/>
        <v>401830.0859770244</v>
      </c>
      <c r="L44" t="s">
        <v>650</v>
      </c>
      <c r="M44" t="str">
        <f t="shared" si="9"/>
        <v>N</v>
      </c>
      <c r="N44" t="s">
        <v>657</v>
      </c>
    </row>
    <row r="45" spans="1:16">
      <c r="A45" t="s">
        <v>84</v>
      </c>
      <c r="B45" s="299" t="s">
        <v>152</v>
      </c>
      <c r="C45" s="299" t="str">
        <f t="shared" si="7"/>
        <v>CPUC Code 6350-6354</v>
      </c>
      <c r="D45" s="299" t="str">
        <f t="shared" si="0"/>
        <v>CPUC Code 6350-6354</v>
      </c>
      <c r="E45" s="299" t="str">
        <f t="shared" si="3"/>
        <v>CPUC Code 6350-6354</v>
      </c>
      <c r="F45" s="299" t="str">
        <f t="shared" si="3"/>
        <v>CPUC Code 6350-6354</v>
      </c>
      <c r="G45" s="103">
        <v>2958.066352806281</v>
      </c>
      <c r="H45" s="103">
        <f t="shared" si="8"/>
        <v>2958.066352806281</v>
      </c>
      <c r="I45" s="103">
        <f t="shared" si="4"/>
        <v>2958.066352806281</v>
      </c>
      <c r="J45" s="103">
        <v>2877.9122958559456</v>
      </c>
      <c r="K45" s="103">
        <f t="shared" si="5"/>
        <v>2877.9122958559456</v>
      </c>
      <c r="L45" t="s">
        <v>3</v>
      </c>
      <c r="M45" t="str">
        <f t="shared" si="9"/>
        <v>N</v>
      </c>
      <c r="N45" t="s">
        <v>657</v>
      </c>
    </row>
    <row r="46" spans="1:16">
      <c r="A46" t="s">
        <v>272</v>
      </c>
      <c r="B46" s="299" t="s">
        <v>278</v>
      </c>
      <c r="C46" s="299" t="str">
        <f t="shared" si="7"/>
        <v>Electric Preliminary Statement Part HJ</v>
      </c>
      <c r="D46" s="299" t="str">
        <f t="shared" si="0"/>
        <v>Electric Preliminary Statement Part HJ</v>
      </c>
      <c r="E46" s="299" t="str">
        <f t="shared" si="3"/>
        <v>Electric Preliminary Statement Part HJ</v>
      </c>
      <c r="F46" s="299" t="str">
        <f t="shared" si="3"/>
        <v>Electric Preliminary Statement Part HJ</v>
      </c>
      <c r="G46" s="103">
        <v>1360.3943314559999</v>
      </c>
      <c r="H46" s="103">
        <f t="shared" si="8"/>
        <v>1360.3943314559999</v>
      </c>
      <c r="I46" s="103">
        <f t="shared" si="4"/>
        <v>1360.3943314559999</v>
      </c>
      <c r="J46" s="103">
        <v>1130.6262643826399</v>
      </c>
      <c r="K46" s="103">
        <f t="shared" si="5"/>
        <v>1130.6262643826399</v>
      </c>
      <c r="L46" t="s">
        <v>5</v>
      </c>
      <c r="M46" t="str">
        <f t="shared" si="9"/>
        <v>Y</v>
      </c>
      <c r="N46" t="s">
        <v>139</v>
      </c>
    </row>
    <row r="47" spans="1:16">
      <c r="A47" t="s">
        <v>424</v>
      </c>
      <c r="B47" s="299" t="s">
        <v>425</v>
      </c>
      <c r="C47" s="299" t="str">
        <f t="shared" si="7"/>
        <v>D.24-03-006</v>
      </c>
      <c r="D47" s="299" t="str">
        <f t="shared" si="0"/>
        <v>D.24-03-006</v>
      </c>
      <c r="E47" s="299" t="str">
        <f t="shared" si="3"/>
        <v>D.24-03-006</v>
      </c>
      <c r="F47" s="299" t="str">
        <f t="shared" si="3"/>
        <v>D.24-03-006</v>
      </c>
      <c r="G47" s="103">
        <v>153156.25613358527</v>
      </c>
      <c r="H47" s="103">
        <f t="shared" si="8"/>
        <v>153156.25613358527</v>
      </c>
      <c r="I47" s="103">
        <v>0</v>
      </c>
      <c r="J47" s="103">
        <v>0</v>
      </c>
      <c r="K47" s="103">
        <f t="shared" si="5"/>
        <v>0</v>
      </c>
      <c r="L47" t="s">
        <v>292</v>
      </c>
      <c r="M47" t="str">
        <f t="shared" si="9"/>
        <v>N</v>
      </c>
      <c r="N47" t="s">
        <v>657</v>
      </c>
    </row>
    <row r="48" spans="1:16">
      <c r="A48" t="s">
        <v>424</v>
      </c>
      <c r="B48" s="299" t="s">
        <v>425</v>
      </c>
      <c r="C48" s="299" t="str">
        <f t="shared" si="7"/>
        <v>D.24-03-006</v>
      </c>
      <c r="D48" s="299" t="str">
        <f t="shared" si="0"/>
        <v>D.24-03-006</v>
      </c>
      <c r="E48" s="299" t="str">
        <f t="shared" si="3"/>
        <v>D.24-03-006</v>
      </c>
      <c r="F48" s="299" t="str">
        <f t="shared" si="3"/>
        <v>D.24-03-006</v>
      </c>
      <c r="G48" s="103">
        <v>2304.1192653263806</v>
      </c>
      <c r="H48" s="103">
        <f t="shared" si="8"/>
        <v>2304.1192653263806</v>
      </c>
      <c r="I48" s="103">
        <v>0</v>
      </c>
      <c r="J48" s="103">
        <v>0</v>
      </c>
      <c r="K48" s="103">
        <f t="shared" si="5"/>
        <v>0</v>
      </c>
      <c r="L48" t="s">
        <v>5</v>
      </c>
      <c r="M48" t="str">
        <f t="shared" si="9"/>
        <v>N</v>
      </c>
      <c r="N48" t="s">
        <v>657</v>
      </c>
    </row>
    <row r="49" spans="1:14">
      <c r="A49" t="s">
        <v>273</v>
      </c>
      <c r="B49" s="299" t="s">
        <v>404</v>
      </c>
      <c r="C49" s="299" t="str">
        <f t="shared" si="7"/>
        <v>n/a</v>
      </c>
      <c r="D49" s="299" t="str">
        <f t="shared" si="0"/>
        <v>n/a</v>
      </c>
      <c r="E49" s="299" t="str">
        <f t="shared" si="3"/>
        <v>n/a</v>
      </c>
      <c r="F49" s="299" t="str">
        <f t="shared" si="3"/>
        <v>n/a</v>
      </c>
      <c r="G49" s="103">
        <v>0</v>
      </c>
      <c r="H49" s="103">
        <f t="shared" si="8"/>
        <v>0</v>
      </c>
      <c r="I49" s="103">
        <f t="shared" si="4"/>
        <v>0</v>
      </c>
      <c r="J49" s="103">
        <f t="shared" si="4"/>
        <v>0</v>
      </c>
      <c r="K49" s="103">
        <f t="shared" si="5"/>
        <v>0</v>
      </c>
      <c r="L49" t="s">
        <v>5</v>
      </c>
      <c r="M49" t="str">
        <f t="shared" si="9"/>
        <v>N</v>
      </c>
      <c r="N49" t="s">
        <v>657</v>
      </c>
    </row>
    <row r="50" spans="1:14">
      <c r="A50" s="109" t="s">
        <v>297</v>
      </c>
      <c r="B50" s="299" t="s">
        <v>404</v>
      </c>
      <c r="C50" s="299" t="str">
        <f t="shared" si="7"/>
        <v>n/a</v>
      </c>
      <c r="D50" s="299" t="str">
        <f t="shared" si="0"/>
        <v>n/a</v>
      </c>
      <c r="E50" s="299" t="str">
        <f t="shared" si="3"/>
        <v>n/a</v>
      </c>
      <c r="F50" s="299" t="str">
        <f t="shared" si="3"/>
        <v>n/a</v>
      </c>
      <c r="G50" s="103">
        <v>0</v>
      </c>
      <c r="H50" s="103">
        <f t="shared" si="8"/>
        <v>0</v>
      </c>
      <c r="I50" s="103">
        <f t="shared" ref="I50" si="10">H50</f>
        <v>0</v>
      </c>
      <c r="J50" s="103">
        <f t="shared" ref="J50" si="11">I50</f>
        <v>0</v>
      </c>
      <c r="K50" s="103">
        <f t="shared" si="5"/>
        <v>0</v>
      </c>
      <c r="L50" t="s">
        <v>292</v>
      </c>
      <c r="M50" t="str">
        <f t="shared" si="9"/>
        <v>N</v>
      </c>
      <c r="N50" t="s">
        <v>657</v>
      </c>
    </row>
    <row r="51" spans="1:14">
      <c r="A51" t="s">
        <v>274</v>
      </c>
      <c r="B51" s="299" t="s">
        <v>460</v>
      </c>
      <c r="C51" s="299" t="str">
        <f t="shared" si="7"/>
        <v>AL 7413-E</v>
      </c>
      <c r="D51" s="299" t="str">
        <f t="shared" si="0"/>
        <v>AL 7413-E</v>
      </c>
      <c r="E51" s="299" t="str">
        <f t="shared" si="3"/>
        <v>AL 7413-E</v>
      </c>
      <c r="F51" s="299" t="str">
        <f t="shared" si="3"/>
        <v>AL 7413-E</v>
      </c>
      <c r="G51" s="103">
        <v>-200072.08603701723</v>
      </c>
      <c r="H51" s="103">
        <f t="shared" si="8"/>
        <v>-200072.08603701723</v>
      </c>
      <c r="I51" s="103">
        <f t="shared" si="4"/>
        <v>-200072.08603701723</v>
      </c>
      <c r="J51" s="103">
        <v>0</v>
      </c>
      <c r="K51" s="103">
        <f t="shared" si="5"/>
        <v>0</v>
      </c>
      <c r="L51" t="s">
        <v>292</v>
      </c>
      <c r="M51" t="str">
        <f t="shared" si="9"/>
        <v>N</v>
      </c>
      <c r="N51" t="s">
        <v>657</v>
      </c>
    </row>
    <row r="52" spans="1:14">
      <c r="A52" t="s">
        <v>299</v>
      </c>
      <c r="B52" s="299" t="s">
        <v>411</v>
      </c>
      <c r="C52" s="299" t="str">
        <f t="shared" si="7"/>
        <v>D.21-06-030, AL 7106-E</v>
      </c>
      <c r="D52" s="299" t="str">
        <f t="shared" si="0"/>
        <v>D.21-06-030, AL 7106-E</v>
      </c>
      <c r="E52" s="299" t="str">
        <f t="shared" si="3"/>
        <v>D.21-06-030, AL 7106-E</v>
      </c>
      <c r="F52" s="299" t="str">
        <f t="shared" si="3"/>
        <v>D.21-06-030, AL 7106-E</v>
      </c>
      <c r="G52" s="103">
        <v>65206.364080501691</v>
      </c>
      <c r="H52" s="103">
        <v>39502.880411345875</v>
      </c>
      <c r="I52" s="103">
        <f t="shared" si="4"/>
        <v>39502.880411345875</v>
      </c>
      <c r="J52" s="103">
        <v>38674.101103739587</v>
      </c>
      <c r="K52" s="103">
        <v>46451.843589221164</v>
      </c>
      <c r="L52" t="s">
        <v>275</v>
      </c>
      <c r="M52" t="str">
        <f t="shared" si="9"/>
        <v>N</v>
      </c>
      <c r="N52" t="s">
        <v>657</v>
      </c>
    </row>
    <row r="53" spans="1:14">
      <c r="A53" t="s">
        <v>299</v>
      </c>
      <c r="B53" s="299" t="s">
        <v>398</v>
      </c>
      <c r="C53" s="299" t="str">
        <f t="shared" si="7"/>
        <v>D.21-06-030, AL 6390-E</v>
      </c>
      <c r="D53" s="299" t="str">
        <f t="shared" si="0"/>
        <v>D.21-06-030, AL 6390-E</v>
      </c>
      <c r="E53" s="299" t="str">
        <f t="shared" si="3"/>
        <v>D.21-06-030, AL 6390-E</v>
      </c>
      <c r="F53" s="299" t="str">
        <f t="shared" si="3"/>
        <v>D.21-06-030, AL 6390-E</v>
      </c>
      <c r="G53" s="103">
        <v>694.73049344599997</v>
      </c>
      <c r="H53" s="103">
        <f>G53</f>
        <v>694.73049344599997</v>
      </c>
      <c r="I53" s="103">
        <f t="shared" si="4"/>
        <v>694.73049344599997</v>
      </c>
      <c r="J53" s="103">
        <v>632.17442000000005</v>
      </c>
      <c r="K53" s="103">
        <f t="shared" si="5"/>
        <v>632.17442000000005</v>
      </c>
      <c r="L53" t="s">
        <v>292</v>
      </c>
      <c r="M53" t="str">
        <f t="shared" si="9"/>
        <v>N</v>
      </c>
      <c r="N53" t="s">
        <v>657</v>
      </c>
    </row>
    <row r="54" spans="1:14">
      <c r="A54" t="s">
        <v>300</v>
      </c>
      <c r="B54" s="299" t="s">
        <v>412</v>
      </c>
      <c r="C54" s="299" t="str">
        <f t="shared" si="7"/>
        <v>D.22-08-004, AL 7126-E</v>
      </c>
      <c r="D54" s="299" t="str">
        <f t="shared" si="0"/>
        <v>D.22-08-004, AL 7126-E</v>
      </c>
      <c r="E54" s="299" t="str">
        <f t="shared" si="3"/>
        <v>D.22-08-004, AL 7126-E</v>
      </c>
      <c r="F54" s="299" t="str">
        <f t="shared" si="3"/>
        <v>D.22-08-004, AL 7126-E</v>
      </c>
      <c r="G54" s="103">
        <v>54553.097813054708</v>
      </c>
      <c r="H54" s="103">
        <v>66437.360080157887</v>
      </c>
      <c r="I54" s="103">
        <f t="shared" si="4"/>
        <v>66437.360080157887</v>
      </c>
      <c r="J54" s="103">
        <v>65020.64227142965</v>
      </c>
      <c r="K54" s="103">
        <v>75991.608848547883</v>
      </c>
      <c r="L54" t="s">
        <v>275</v>
      </c>
      <c r="M54" t="str">
        <f t="shared" si="9"/>
        <v>N</v>
      </c>
      <c r="N54" t="s">
        <v>657</v>
      </c>
    </row>
    <row r="55" spans="1:14">
      <c r="A55" t="s">
        <v>300</v>
      </c>
      <c r="B55" s="299" t="s">
        <v>399</v>
      </c>
      <c r="C55" s="299" t="str">
        <f t="shared" si="7"/>
        <v>D.22-08-004, AL 6769-E</v>
      </c>
      <c r="D55" s="299" t="str">
        <f t="shared" si="0"/>
        <v>D.22-08-004, AL 6769-E</v>
      </c>
      <c r="E55" s="299" t="str">
        <f t="shared" si="3"/>
        <v>D.22-08-004, AL 6769-E</v>
      </c>
      <c r="F55" s="299" t="str">
        <f t="shared" si="3"/>
        <v>D.22-08-004, AL 6769-E</v>
      </c>
      <c r="G55" s="103">
        <v>-6788.3511865014989</v>
      </c>
      <c r="H55" s="103">
        <f>G55</f>
        <v>-6788.3511865014989</v>
      </c>
      <c r="I55" s="103">
        <f t="shared" si="4"/>
        <v>-6788.3511865014989</v>
      </c>
      <c r="J55" s="103">
        <v>-405.22582</v>
      </c>
      <c r="K55" s="103">
        <f t="shared" si="5"/>
        <v>-405.22582</v>
      </c>
      <c r="L55" t="s">
        <v>292</v>
      </c>
      <c r="M55" t="str">
        <f t="shared" si="9"/>
        <v>N</v>
      </c>
      <c r="N55" t="s">
        <v>657</v>
      </c>
    </row>
    <row r="56" spans="1:14">
      <c r="A56" t="s">
        <v>352</v>
      </c>
      <c r="B56" s="299" t="s">
        <v>394</v>
      </c>
      <c r="C56" s="299" t="str">
        <f t="shared" si="7"/>
        <v>D.24-02-011, D.21-05-015</v>
      </c>
      <c r="D56" s="299" t="str">
        <f t="shared" si="0"/>
        <v>D.24-02-011, D.21-05-015</v>
      </c>
      <c r="E56" s="299" t="str">
        <f t="shared" si="3"/>
        <v>D.24-02-011, D.21-05-015</v>
      </c>
      <c r="F56" s="299" t="str">
        <f t="shared" si="3"/>
        <v>D.24-02-011, D.21-05-015</v>
      </c>
      <c r="G56" s="103">
        <v>173452.08098940377</v>
      </c>
      <c r="H56" s="103">
        <v>173400.62507910313</v>
      </c>
      <c r="I56" s="76">
        <v>92172.437236289144</v>
      </c>
      <c r="J56" s="76">
        <v>90272.606277740706</v>
      </c>
      <c r="K56" s="103">
        <v>101139.42103296188</v>
      </c>
      <c r="L56" t="s">
        <v>275</v>
      </c>
      <c r="M56" t="str">
        <f t="shared" si="9"/>
        <v>N</v>
      </c>
      <c r="N56" t="s">
        <v>657</v>
      </c>
    </row>
    <row r="57" spans="1:14">
      <c r="A57" t="s">
        <v>467</v>
      </c>
      <c r="B57" s="299" t="s">
        <v>404</v>
      </c>
      <c r="C57" s="299" t="s">
        <v>469</v>
      </c>
      <c r="D57" s="299" t="str">
        <f t="shared" si="0"/>
        <v>D.24-02-011</v>
      </c>
      <c r="E57" s="299" t="str">
        <f t="shared" si="3"/>
        <v>D.24-02-011</v>
      </c>
      <c r="F57" s="299" t="str">
        <f t="shared" si="3"/>
        <v>D.24-02-011</v>
      </c>
      <c r="G57" s="103">
        <v>-76060.257264391286</v>
      </c>
      <c r="H57" s="103">
        <f t="shared" ref="H57:H74" si="12">G57</f>
        <v>-76060.257264391286</v>
      </c>
      <c r="I57" s="103">
        <f t="shared" si="4"/>
        <v>-76060.257264391286</v>
      </c>
      <c r="J57" s="103">
        <v>-74475.455835575223</v>
      </c>
      <c r="K57" s="103">
        <f t="shared" si="5"/>
        <v>-74475.455835575223</v>
      </c>
      <c r="L57" t="s">
        <v>292</v>
      </c>
      <c r="M57" t="str">
        <f t="shared" si="9"/>
        <v>N</v>
      </c>
      <c r="N57" t="s">
        <v>657</v>
      </c>
    </row>
    <row r="58" spans="1:14">
      <c r="A58" t="s">
        <v>486</v>
      </c>
      <c r="B58" s="299" t="s">
        <v>404</v>
      </c>
      <c r="C58" s="299" t="s">
        <v>469</v>
      </c>
      <c r="D58" s="299" t="str">
        <f t="shared" si="0"/>
        <v>D.24-02-011</v>
      </c>
      <c r="E58" s="299" t="str">
        <f t="shared" si="3"/>
        <v>D.24-02-011</v>
      </c>
      <c r="F58" s="299" t="str">
        <f t="shared" si="3"/>
        <v>D.24-02-011</v>
      </c>
      <c r="G58" s="103">
        <v>12431.124207946839</v>
      </c>
      <c r="H58" s="103">
        <f t="shared" si="12"/>
        <v>12431.124207946839</v>
      </c>
      <c r="I58" s="103">
        <f t="shared" si="4"/>
        <v>12431.124207946839</v>
      </c>
      <c r="J58" s="103">
        <v>0</v>
      </c>
      <c r="K58" s="103">
        <f t="shared" si="5"/>
        <v>0</v>
      </c>
      <c r="L58" t="s">
        <v>292</v>
      </c>
      <c r="M58" t="str">
        <f t="shared" si="9"/>
        <v>N</v>
      </c>
      <c r="N58" t="s">
        <v>657</v>
      </c>
    </row>
    <row r="59" spans="1:14">
      <c r="A59" t="s">
        <v>488</v>
      </c>
      <c r="B59" s="299" t="s">
        <v>404</v>
      </c>
      <c r="C59" s="299" t="s">
        <v>470</v>
      </c>
      <c r="D59" s="299" t="str">
        <f t="shared" si="0"/>
        <v>D.24-02-011, AL 7336-E</v>
      </c>
      <c r="E59" s="299" t="str">
        <f t="shared" si="3"/>
        <v>D.24-02-011, AL 7336-E</v>
      </c>
      <c r="F59" s="299" t="str">
        <f t="shared" si="3"/>
        <v>D.24-02-011, AL 7336-E</v>
      </c>
      <c r="G59" s="103">
        <v>-57785.417038923748</v>
      </c>
      <c r="H59" s="103">
        <f t="shared" si="12"/>
        <v>-57785.417038923748</v>
      </c>
      <c r="I59" s="103">
        <f t="shared" si="4"/>
        <v>-57785.417038923748</v>
      </c>
      <c r="J59" s="103">
        <v>1518.1788100000001</v>
      </c>
      <c r="K59" s="103">
        <f t="shared" si="5"/>
        <v>1518.1788100000001</v>
      </c>
      <c r="L59" t="s">
        <v>292</v>
      </c>
      <c r="M59" t="str">
        <f t="shared" si="9"/>
        <v>Y</v>
      </c>
      <c r="N59" t="s">
        <v>657</v>
      </c>
    </row>
    <row r="60" spans="1:14">
      <c r="A60" t="s">
        <v>496</v>
      </c>
      <c r="B60" s="299" t="s">
        <v>404</v>
      </c>
      <c r="C60" s="299" t="s">
        <v>404</v>
      </c>
      <c r="D60" s="299" t="str">
        <f t="shared" si="0"/>
        <v>n/a</v>
      </c>
      <c r="E60" s="299" t="str">
        <f t="shared" si="3"/>
        <v>n/a</v>
      </c>
      <c r="F60" s="299" t="str">
        <f t="shared" si="3"/>
        <v>n/a</v>
      </c>
      <c r="G60" s="103">
        <v>0</v>
      </c>
      <c r="H60" s="103">
        <f t="shared" si="12"/>
        <v>0</v>
      </c>
      <c r="I60" s="103">
        <f t="shared" si="4"/>
        <v>0</v>
      </c>
      <c r="J60" s="103">
        <f t="shared" si="4"/>
        <v>0</v>
      </c>
      <c r="K60" s="103">
        <f t="shared" si="5"/>
        <v>0</v>
      </c>
      <c r="L60" t="s">
        <v>5</v>
      </c>
      <c r="M60" t="str">
        <f t="shared" si="9"/>
        <v>N</v>
      </c>
      <c r="N60" t="s">
        <v>657</v>
      </c>
    </row>
    <row r="61" spans="1:14">
      <c r="A61" t="s">
        <v>208</v>
      </c>
      <c r="B61" s="299" t="s">
        <v>270</v>
      </c>
      <c r="C61" s="299" t="str">
        <f t="shared" ref="C61:C74" si="13">B61</f>
        <v>D.21-08-027</v>
      </c>
      <c r="D61" s="299" t="str">
        <f t="shared" si="0"/>
        <v>D.21-08-027</v>
      </c>
      <c r="E61" s="299" t="str">
        <f t="shared" si="3"/>
        <v>D.21-08-027</v>
      </c>
      <c r="F61" s="299" t="str">
        <f t="shared" si="3"/>
        <v>D.21-08-027</v>
      </c>
      <c r="G61" s="103">
        <v>-39916.957755412455</v>
      </c>
      <c r="H61" s="103">
        <f t="shared" si="12"/>
        <v>-39916.957755412455</v>
      </c>
      <c r="I61" s="103">
        <f t="shared" si="4"/>
        <v>-39916.957755412455</v>
      </c>
      <c r="J61" s="103">
        <v>-35384.072458004637</v>
      </c>
      <c r="K61" s="103">
        <f t="shared" si="5"/>
        <v>-35384.072458004637</v>
      </c>
      <c r="L61" t="s">
        <v>5</v>
      </c>
      <c r="M61" t="str">
        <f t="shared" si="9"/>
        <v>N</v>
      </c>
      <c r="N61" t="s">
        <v>657</v>
      </c>
    </row>
    <row r="62" spans="1:14">
      <c r="A62" t="s">
        <v>208</v>
      </c>
      <c r="B62" s="299" t="s">
        <v>270</v>
      </c>
      <c r="C62" s="299" t="str">
        <f t="shared" si="13"/>
        <v>D.21-08-027</v>
      </c>
      <c r="D62" s="299" t="str">
        <f t="shared" si="0"/>
        <v>D.21-08-027</v>
      </c>
      <c r="E62" s="299" t="str">
        <f t="shared" si="3"/>
        <v>D.21-08-027</v>
      </c>
      <c r="F62" s="299" t="str">
        <f t="shared" si="3"/>
        <v>D.21-08-027</v>
      </c>
      <c r="G62" s="103">
        <v>-21650.502093028372</v>
      </c>
      <c r="H62" s="103">
        <f t="shared" si="12"/>
        <v>-21650.502093028372</v>
      </c>
      <c r="I62" s="103">
        <f t="shared" si="4"/>
        <v>-21650.502093028372</v>
      </c>
      <c r="J62" s="103">
        <v>-21028.348501689987</v>
      </c>
      <c r="K62" s="103">
        <f t="shared" si="5"/>
        <v>-21028.348501689987</v>
      </c>
      <c r="L62" t="s">
        <v>207</v>
      </c>
      <c r="M62" t="str">
        <f t="shared" si="9"/>
        <v>N</v>
      </c>
      <c r="N62" t="s">
        <v>657</v>
      </c>
    </row>
    <row r="63" spans="1:14">
      <c r="A63" t="s">
        <v>368</v>
      </c>
      <c r="B63" s="299" t="s">
        <v>404</v>
      </c>
      <c r="C63" s="299" t="str">
        <f t="shared" si="13"/>
        <v>n/a</v>
      </c>
      <c r="D63" s="299" t="str">
        <f t="shared" si="0"/>
        <v>n/a</v>
      </c>
      <c r="E63" s="299" t="str">
        <f t="shared" si="3"/>
        <v>n/a</v>
      </c>
      <c r="F63" s="299" t="str">
        <f t="shared" si="3"/>
        <v>n/a</v>
      </c>
      <c r="G63" s="103">
        <v>38485.892894236385</v>
      </c>
      <c r="H63" s="103">
        <f t="shared" si="12"/>
        <v>38485.892894236385</v>
      </c>
      <c r="I63" s="103">
        <f t="shared" si="4"/>
        <v>38485.892894236385</v>
      </c>
      <c r="J63" s="103"/>
      <c r="K63" s="103">
        <f t="shared" si="5"/>
        <v>0</v>
      </c>
      <c r="L63" t="s">
        <v>207</v>
      </c>
      <c r="M63" t="str">
        <f t="shared" si="9"/>
        <v>N</v>
      </c>
      <c r="N63" t="s">
        <v>657</v>
      </c>
    </row>
    <row r="64" spans="1:14">
      <c r="A64" t="s">
        <v>414</v>
      </c>
      <c r="B64" s="299" t="s">
        <v>403</v>
      </c>
      <c r="C64" s="299" t="str">
        <f t="shared" si="13"/>
        <v>Electric Preliminary Statement Part IM</v>
      </c>
      <c r="D64" s="299" t="str">
        <f t="shared" si="0"/>
        <v>Electric Preliminary Statement Part IM</v>
      </c>
      <c r="E64" s="299" t="str">
        <f t="shared" si="3"/>
        <v>Electric Preliminary Statement Part IM</v>
      </c>
      <c r="F64" s="299" t="str">
        <f t="shared" si="3"/>
        <v>Electric Preliminary Statement Part IM</v>
      </c>
      <c r="G64" s="103">
        <v>29940.319159426792</v>
      </c>
      <c r="H64" s="103">
        <f t="shared" si="12"/>
        <v>29940.319159426792</v>
      </c>
      <c r="I64" s="103">
        <f t="shared" si="4"/>
        <v>29940.319159426792</v>
      </c>
      <c r="J64" s="103">
        <v>0</v>
      </c>
      <c r="K64" s="103">
        <f t="shared" si="5"/>
        <v>0</v>
      </c>
      <c r="L64" t="s">
        <v>207</v>
      </c>
      <c r="M64" t="str">
        <f t="shared" si="9"/>
        <v>N</v>
      </c>
      <c r="N64" t="s">
        <v>657</v>
      </c>
    </row>
    <row r="65" spans="1:14">
      <c r="A65" t="s">
        <v>92</v>
      </c>
      <c r="B65" s="299" t="s">
        <v>404</v>
      </c>
      <c r="C65" s="299" t="str">
        <f t="shared" si="13"/>
        <v>n/a</v>
      </c>
      <c r="D65" s="299" t="str">
        <f t="shared" si="0"/>
        <v>n/a</v>
      </c>
      <c r="E65" s="299" t="str">
        <f t="shared" si="3"/>
        <v>n/a</v>
      </c>
      <c r="F65" s="299" t="str">
        <f t="shared" si="3"/>
        <v>n/a</v>
      </c>
      <c r="G65" s="103">
        <v>0</v>
      </c>
      <c r="H65" s="103">
        <f t="shared" si="12"/>
        <v>0</v>
      </c>
      <c r="I65" s="103">
        <f t="shared" si="4"/>
        <v>0</v>
      </c>
      <c r="J65" s="103">
        <f t="shared" si="4"/>
        <v>0</v>
      </c>
      <c r="K65" s="103">
        <f t="shared" si="5"/>
        <v>0</v>
      </c>
      <c r="L65" t="s">
        <v>292</v>
      </c>
      <c r="M65" t="str">
        <f t="shared" si="9"/>
        <v>N</v>
      </c>
      <c r="N65" t="s">
        <v>657</v>
      </c>
    </row>
    <row r="66" spans="1:14">
      <c r="A66" t="s">
        <v>332</v>
      </c>
      <c r="B66" s="299" t="s">
        <v>404</v>
      </c>
      <c r="C66" s="299" t="str">
        <f t="shared" si="13"/>
        <v>n/a</v>
      </c>
      <c r="D66" s="299" t="str">
        <f t="shared" si="0"/>
        <v>n/a</v>
      </c>
      <c r="E66" s="299" t="str">
        <f t="shared" si="3"/>
        <v>n/a</v>
      </c>
      <c r="F66" s="299" t="str">
        <f t="shared" si="3"/>
        <v>n/a</v>
      </c>
      <c r="G66" s="103">
        <v>0</v>
      </c>
      <c r="H66" s="103">
        <f t="shared" si="12"/>
        <v>0</v>
      </c>
      <c r="I66" s="103">
        <f t="shared" ref="I66:I69" si="14">H66</f>
        <v>0</v>
      </c>
      <c r="J66" s="103">
        <f t="shared" ref="J66:J74" si="15">I66</f>
        <v>0</v>
      </c>
      <c r="K66" s="103">
        <f t="shared" si="5"/>
        <v>0</v>
      </c>
      <c r="L66" t="s">
        <v>5</v>
      </c>
      <c r="M66" t="str">
        <f t="shared" si="9"/>
        <v>N</v>
      </c>
      <c r="N66" t="s">
        <v>657</v>
      </c>
    </row>
    <row r="67" spans="1:14">
      <c r="A67" t="s">
        <v>614</v>
      </c>
      <c r="B67" s="299" t="s">
        <v>404</v>
      </c>
      <c r="C67" s="299" t="s">
        <v>404</v>
      </c>
      <c r="D67" s="299" t="s">
        <v>404</v>
      </c>
      <c r="E67" s="299" t="s">
        <v>631</v>
      </c>
      <c r="F67" s="299" t="str">
        <f t="shared" ref="F67:F132" si="16">E67</f>
        <v xml:space="preserve"> D.24-07-008 / D.25-08-036</v>
      </c>
      <c r="G67" s="103">
        <v>0</v>
      </c>
      <c r="H67" s="103">
        <v>0</v>
      </c>
      <c r="I67" s="103">
        <v>0</v>
      </c>
      <c r="J67" s="103">
        <v>95891.027258263915</v>
      </c>
      <c r="K67" s="103">
        <f t="shared" si="5"/>
        <v>95891.027258263915</v>
      </c>
      <c r="L67" t="s">
        <v>5</v>
      </c>
      <c r="M67" t="str">
        <f t="shared" si="9"/>
        <v>N</v>
      </c>
      <c r="N67" t="s">
        <v>657</v>
      </c>
    </row>
    <row r="68" spans="1:14">
      <c r="A68" t="s">
        <v>333</v>
      </c>
      <c r="B68" s="299" t="s">
        <v>404</v>
      </c>
      <c r="C68" s="299" t="str">
        <f t="shared" si="13"/>
        <v>n/a</v>
      </c>
      <c r="D68" s="299" t="str">
        <f t="shared" si="0"/>
        <v>n/a</v>
      </c>
      <c r="E68" s="299" t="str">
        <f t="shared" si="3"/>
        <v>n/a</v>
      </c>
      <c r="F68" s="299" t="str">
        <f t="shared" si="16"/>
        <v>n/a</v>
      </c>
      <c r="G68" s="103">
        <v>0</v>
      </c>
      <c r="H68" s="103">
        <f t="shared" si="12"/>
        <v>0</v>
      </c>
      <c r="I68" s="103">
        <f t="shared" si="14"/>
        <v>0</v>
      </c>
      <c r="J68" s="103">
        <f t="shared" si="15"/>
        <v>0</v>
      </c>
      <c r="K68" s="103">
        <f t="shared" si="5"/>
        <v>0</v>
      </c>
      <c r="L68" t="s">
        <v>292</v>
      </c>
      <c r="M68" t="str">
        <f t="shared" si="9"/>
        <v>N</v>
      </c>
      <c r="N68" t="s">
        <v>657</v>
      </c>
    </row>
    <row r="69" spans="1:14">
      <c r="A69" t="s">
        <v>333</v>
      </c>
      <c r="B69" s="299" t="s">
        <v>404</v>
      </c>
      <c r="C69" s="299" t="str">
        <f t="shared" si="13"/>
        <v>n/a</v>
      </c>
      <c r="D69" s="299" t="str">
        <f t="shared" si="0"/>
        <v>n/a</v>
      </c>
      <c r="E69" s="299" t="str">
        <f t="shared" si="3"/>
        <v>n/a</v>
      </c>
      <c r="F69" s="299" t="str">
        <f t="shared" si="16"/>
        <v>n/a</v>
      </c>
      <c r="G69" s="103">
        <v>0</v>
      </c>
      <c r="H69" s="103">
        <f t="shared" si="12"/>
        <v>0</v>
      </c>
      <c r="I69" s="103">
        <f t="shared" si="14"/>
        <v>0</v>
      </c>
      <c r="J69" s="103">
        <f t="shared" si="15"/>
        <v>0</v>
      </c>
      <c r="K69" s="103">
        <f t="shared" si="5"/>
        <v>0</v>
      </c>
      <c r="L69" t="s">
        <v>5</v>
      </c>
      <c r="M69" t="str">
        <f t="shared" si="9"/>
        <v>N</v>
      </c>
      <c r="N69" t="s">
        <v>657</v>
      </c>
    </row>
    <row r="70" spans="1:14">
      <c r="A70" t="s">
        <v>607</v>
      </c>
      <c r="B70" s="299" t="s">
        <v>404</v>
      </c>
      <c r="C70" s="299" t="s">
        <v>404</v>
      </c>
      <c r="D70" s="299" t="s">
        <v>404</v>
      </c>
      <c r="E70" s="299" t="s">
        <v>598</v>
      </c>
      <c r="F70" s="299" t="str">
        <f t="shared" si="16"/>
        <v>D.25-09-008</v>
      </c>
      <c r="G70" s="103">
        <v>0</v>
      </c>
      <c r="H70" s="103">
        <v>0</v>
      </c>
      <c r="I70" s="103">
        <v>0</v>
      </c>
      <c r="J70" s="103">
        <v>8297.3251670670052</v>
      </c>
      <c r="K70" s="103">
        <f t="shared" si="5"/>
        <v>8297.3251670670052</v>
      </c>
      <c r="L70" t="s">
        <v>292</v>
      </c>
      <c r="M70" t="str">
        <f t="shared" si="9"/>
        <v>N</v>
      </c>
      <c r="N70" t="s">
        <v>657</v>
      </c>
    </row>
    <row r="71" spans="1:14">
      <c r="A71" t="s">
        <v>607</v>
      </c>
      <c r="B71" s="299" t="s">
        <v>404</v>
      </c>
      <c r="C71" s="299" t="s">
        <v>404</v>
      </c>
      <c r="D71" s="299" t="s">
        <v>404</v>
      </c>
      <c r="E71" s="299" t="s">
        <v>598</v>
      </c>
      <c r="F71" s="299" t="str">
        <f t="shared" si="16"/>
        <v>D.25-09-008</v>
      </c>
      <c r="G71" s="103">
        <v>0</v>
      </c>
      <c r="H71" s="103"/>
      <c r="I71" s="103"/>
      <c r="J71" s="103">
        <v>4806.2146421102079</v>
      </c>
      <c r="K71" s="103">
        <f t="shared" si="5"/>
        <v>4806.2146421102079</v>
      </c>
      <c r="L71" t="s">
        <v>207</v>
      </c>
      <c r="M71" t="str">
        <f t="shared" si="9"/>
        <v>N</v>
      </c>
      <c r="N71" t="s">
        <v>657</v>
      </c>
    </row>
    <row r="72" spans="1:14">
      <c r="A72" t="s">
        <v>607</v>
      </c>
      <c r="B72" s="299" t="s">
        <v>404</v>
      </c>
      <c r="C72" s="299" t="s">
        <v>404</v>
      </c>
      <c r="D72" s="299" t="s">
        <v>404</v>
      </c>
      <c r="E72" s="299" t="s">
        <v>598</v>
      </c>
      <c r="F72" s="299" t="str">
        <f t="shared" si="16"/>
        <v>D.25-09-008</v>
      </c>
      <c r="G72" s="103">
        <v>0</v>
      </c>
      <c r="H72" s="103">
        <v>0</v>
      </c>
      <c r="I72" s="103">
        <v>0</v>
      </c>
      <c r="J72" s="103">
        <v>3730.259924341538</v>
      </c>
      <c r="K72" s="103">
        <f t="shared" si="5"/>
        <v>3730.259924341538</v>
      </c>
      <c r="L72" t="s">
        <v>5</v>
      </c>
      <c r="M72" t="str">
        <f t="shared" si="9"/>
        <v>N</v>
      </c>
      <c r="N72" t="s">
        <v>657</v>
      </c>
    </row>
    <row r="73" spans="1:14">
      <c r="A73" t="s">
        <v>336</v>
      </c>
      <c r="B73" s="299" t="s">
        <v>335</v>
      </c>
      <c r="C73" s="299" t="str">
        <f t="shared" si="13"/>
        <v>D.23-08-027</v>
      </c>
      <c r="D73" s="299" t="str">
        <f t="shared" si="0"/>
        <v>D.23-08-027</v>
      </c>
      <c r="E73" s="299" t="str">
        <f t="shared" si="3"/>
        <v>D.23-08-027</v>
      </c>
      <c r="F73" s="299" t="str">
        <f t="shared" si="16"/>
        <v>D.23-08-027</v>
      </c>
      <c r="G73" s="103">
        <v>348275.32428074593</v>
      </c>
      <c r="H73" s="103">
        <f t="shared" si="12"/>
        <v>348275.32428074593</v>
      </c>
      <c r="I73" s="103">
        <v>0</v>
      </c>
      <c r="J73" s="103">
        <f t="shared" si="15"/>
        <v>0</v>
      </c>
      <c r="K73" s="103">
        <f t="shared" si="5"/>
        <v>0</v>
      </c>
      <c r="L73" t="s">
        <v>292</v>
      </c>
      <c r="M73" t="str">
        <f t="shared" ref="M73:M91" si="17">IF(RIGHT(A73,1)="*","Y","N")</f>
        <v>N</v>
      </c>
      <c r="N73" t="s">
        <v>657</v>
      </c>
    </row>
    <row r="74" spans="1:14">
      <c r="A74" t="s">
        <v>336</v>
      </c>
      <c r="B74" s="299" t="s">
        <v>335</v>
      </c>
      <c r="C74" s="299" t="str">
        <f t="shared" si="13"/>
        <v>D.23-08-027</v>
      </c>
      <c r="D74" s="299" t="str">
        <f t="shared" si="0"/>
        <v>D.23-08-027</v>
      </c>
      <c r="E74" s="299" t="str">
        <f t="shared" si="0"/>
        <v>D.23-08-027</v>
      </c>
      <c r="F74" s="299" t="str">
        <f t="shared" si="16"/>
        <v>D.23-08-027</v>
      </c>
      <c r="G74" s="103">
        <v>15823.53951412344</v>
      </c>
      <c r="H74" s="103">
        <f t="shared" si="12"/>
        <v>15823.53951412344</v>
      </c>
      <c r="I74" s="103">
        <v>0</v>
      </c>
      <c r="J74" s="103">
        <f t="shared" si="15"/>
        <v>0</v>
      </c>
      <c r="K74" s="103">
        <f t="shared" ref="K74:K91" si="18">J74</f>
        <v>0</v>
      </c>
      <c r="L74" t="s">
        <v>5</v>
      </c>
      <c r="M74" t="str">
        <f t="shared" si="17"/>
        <v>N</v>
      </c>
      <c r="N74" t="s">
        <v>657</v>
      </c>
    </row>
    <row r="75" spans="1:14">
      <c r="A75" t="s">
        <v>337</v>
      </c>
      <c r="B75" s="299" t="s">
        <v>404</v>
      </c>
      <c r="C75" s="299" t="s">
        <v>484</v>
      </c>
      <c r="D75" s="299" t="str">
        <f>C75</f>
        <v>D.24-12-075</v>
      </c>
      <c r="E75" s="299" t="str">
        <f t="shared" ref="E75:E86" si="19">D75</f>
        <v>D.24-12-075</v>
      </c>
      <c r="F75" s="299" t="str">
        <f t="shared" si="16"/>
        <v>D.24-12-075</v>
      </c>
      <c r="G75" s="306">
        <v>0</v>
      </c>
      <c r="H75" s="306">
        <v>142061.93755242301</v>
      </c>
      <c r="I75" s="103">
        <f t="shared" si="4"/>
        <v>142061.93755242301</v>
      </c>
      <c r="J75" s="103">
        <v>142214.0285138922</v>
      </c>
      <c r="K75" s="103">
        <v>0</v>
      </c>
      <c r="L75" t="s">
        <v>292</v>
      </c>
      <c r="M75" t="str">
        <f t="shared" si="17"/>
        <v>N</v>
      </c>
      <c r="N75" t="s">
        <v>657</v>
      </c>
    </row>
    <row r="76" spans="1:14">
      <c r="A76" t="s">
        <v>337</v>
      </c>
      <c r="B76" s="299" t="s">
        <v>404</v>
      </c>
      <c r="C76" s="299" t="s">
        <v>484</v>
      </c>
      <c r="D76" s="299" t="str">
        <f t="shared" ref="D76:D146" si="20">C76</f>
        <v>D.24-12-075</v>
      </c>
      <c r="E76" s="299" t="str">
        <f t="shared" si="19"/>
        <v>D.24-12-075</v>
      </c>
      <c r="F76" s="299" t="str">
        <f t="shared" si="16"/>
        <v>D.24-12-075</v>
      </c>
      <c r="G76" s="76">
        <v>0</v>
      </c>
      <c r="H76" s="76">
        <v>360737.04400514957</v>
      </c>
      <c r="I76" s="103">
        <f t="shared" si="4"/>
        <v>360737.04400514957</v>
      </c>
      <c r="J76" s="103">
        <v>361123.24769070791</v>
      </c>
      <c r="K76" s="103">
        <v>0</v>
      </c>
      <c r="L76" t="s">
        <v>5</v>
      </c>
      <c r="M76" t="str">
        <f t="shared" si="17"/>
        <v>N</v>
      </c>
      <c r="N76" t="s">
        <v>657</v>
      </c>
    </row>
    <row r="77" spans="1:14">
      <c r="A77" t="s">
        <v>440</v>
      </c>
      <c r="B77" s="299" t="s">
        <v>441</v>
      </c>
      <c r="C77" s="299" t="str">
        <f t="shared" ref="C77:C86" si="21">B77</f>
        <v>D.24-09-003</v>
      </c>
      <c r="D77" s="299" t="str">
        <f t="shared" si="20"/>
        <v>D.24-09-003</v>
      </c>
      <c r="E77" s="299" t="str">
        <f t="shared" si="19"/>
        <v>D.24-09-003</v>
      </c>
      <c r="F77" s="299" t="str">
        <f t="shared" si="16"/>
        <v>D.24-09-003</v>
      </c>
      <c r="G77" s="103">
        <v>597531.23777689342</v>
      </c>
      <c r="H77" s="300">
        <f t="shared" ref="H77:H86" si="22">G77</f>
        <v>597531.23777689342</v>
      </c>
      <c r="I77" s="103">
        <f t="shared" si="4"/>
        <v>597531.23777689342</v>
      </c>
      <c r="J77" s="103">
        <v>598170.95241141913</v>
      </c>
      <c r="K77" s="103">
        <v>0</v>
      </c>
      <c r="L77" t="s">
        <v>292</v>
      </c>
      <c r="M77" t="str">
        <f t="shared" si="17"/>
        <v>N</v>
      </c>
      <c r="N77" t="s">
        <v>657</v>
      </c>
    </row>
    <row r="78" spans="1:14">
      <c r="A78" t="s">
        <v>440</v>
      </c>
      <c r="B78" s="299" t="s">
        <v>441</v>
      </c>
      <c r="C78" s="299" t="str">
        <f t="shared" si="21"/>
        <v>D.24-09-003</v>
      </c>
      <c r="D78" s="299" t="str">
        <f t="shared" si="20"/>
        <v>D.24-09-003</v>
      </c>
      <c r="E78" s="299" t="str">
        <f t="shared" si="19"/>
        <v>D.24-09-003</v>
      </c>
      <c r="F78" s="299" t="str">
        <f t="shared" si="16"/>
        <v>D.24-09-003</v>
      </c>
      <c r="G78" s="300">
        <v>154644.36811786867</v>
      </c>
      <c r="H78" s="300">
        <f t="shared" si="22"/>
        <v>154644.36811786867</v>
      </c>
      <c r="I78" s="103">
        <f t="shared" ref="I78:J152" si="23">H78</f>
        <v>154644.36811786867</v>
      </c>
      <c r="J78" s="103">
        <v>154809.92978088735</v>
      </c>
      <c r="K78" s="103">
        <v>0</v>
      </c>
      <c r="L78" t="s">
        <v>5</v>
      </c>
      <c r="M78" t="str">
        <f t="shared" si="17"/>
        <v>N</v>
      </c>
      <c r="N78" t="s">
        <v>657</v>
      </c>
    </row>
    <row r="79" spans="1:14">
      <c r="A79" t="s">
        <v>645</v>
      </c>
      <c r="B79" s="299" t="s">
        <v>404</v>
      </c>
      <c r="C79" s="299" t="str">
        <f>B79</f>
        <v>n/a</v>
      </c>
      <c r="D79" s="299" t="str">
        <f t="shared" si="20"/>
        <v>n/a</v>
      </c>
      <c r="E79" s="299" t="str">
        <f t="shared" si="19"/>
        <v>n/a</v>
      </c>
      <c r="F79" t="s">
        <v>646</v>
      </c>
      <c r="G79" s="306">
        <v>0</v>
      </c>
      <c r="H79" s="306">
        <v>0</v>
      </c>
      <c r="I79" s="306">
        <v>0</v>
      </c>
      <c r="J79" s="306">
        <v>0</v>
      </c>
      <c r="K79" s="103">
        <v>210135.89045181416</v>
      </c>
      <c r="L79" t="s">
        <v>5</v>
      </c>
      <c r="M79" t="str">
        <f t="shared" si="17"/>
        <v>N</v>
      </c>
      <c r="N79" t="s">
        <v>657</v>
      </c>
    </row>
    <row r="80" spans="1:14">
      <c r="A80" t="s">
        <v>645</v>
      </c>
      <c r="B80" s="299" t="s">
        <v>404</v>
      </c>
      <c r="C80" s="299" t="str">
        <f>B80</f>
        <v>n/a</v>
      </c>
      <c r="D80" s="299" t="str">
        <f t="shared" si="20"/>
        <v>n/a</v>
      </c>
      <c r="E80" s="299" t="str">
        <f t="shared" si="19"/>
        <v>n/a</v>
      </c>
      <c r="F80" t="s">
        <v>646</v>
      </c>
      <c r="G80" s="306">
        <v>0</v>
      </c>
      <c r="H80" s="306">
        <v>0</v>
      </c>
      <c r="I80" s="306">
        <v>0</v>
      </c>
      <c r="J80" s="306">
        <v>0</v>
      </c>
      <c r="K80" s="103">
        <v>546636.98279374978</v>
      </c>
      <c r="L80" t="s">
        <v>292</v>
      </c>
      <c r="M80" t="str">
        <f t="shared" si="17"/>
        <v>N</v>
      </c>
      <c r="N80" t="s">
        <v>657</v>
      </c>
    </row>
    <row r="81" spans="1:14" ht="23.25" customHeight="1">
      <c r="A81" t="s">
        <v>489</v>
      </c>
      <c r="B81" s="299" t="s">
        <v>471</v>
      </c>
      <c r="C81" s="299" t="str">
        <f t="shared" si="21"/>
        <v>Electric Preliminary Statement Part JZ</v>
      </c>
      <c r="D81" s="299" t="str">
        <f t="shared" si="20"/>
        <v>Electric Preliminary Statement Part JZ</v>
      </c>
      <c r="E81" s="299" t="str">
        <f t="shared" si="19"/>
        <v>Electric Preliminary Statement Part JZ</v>
      </c>
      <c r="F81" s="299" t="str">
        <f t="shared" si="16"/>
        <v>Electric Preliminary Statement Part JZ</v>
      </c>
      <c r="G81" s="300">
        <v>121317.7211845625</v>
      </c>
      <c r="H81" s="300">
        <f t="shared" si="22"/>
        <v>121317.7211845625</v>
      </c>
      <c r="I81" s="103">
        <f t="shared" si="23"/>
        <v>121317.7211845625</v>
      </c>
      <c r="J81" s="103">
        <v>151124.47657747896</v>
      </c>
      <c r="K81" s="103">
        <f t="shared" si="18"/>
        <v>151124.47657747896</v>
      </c>
      <c r="L81" t="s">
        <v>5</v>
      </c>
      <c r="M81" t="str">
        <f t="shared" si="17"/>
        <v>Y</v>
      </c>
      <c r="N81" t="s">
        <v>139</v>
      </c>
    </row>
    <row r="82" spans="1:14" ht="23.25" customHeight="1">
      <c r="A82" t="s">
        <v>490</v>
      </c>
      <c r="B82" s="299" t="s">
        <v>472</v>
      </c>
      <c r="C82" s="299" t="str">
        <f t="shared" si="21"/>
        <v>Electric Preliminary Statement Part KA</v>
      </c>
      <c r="D82" s="299" t="str">
        <f t="shared" si="20"/>
        <v>Electric Preliminary Statement Part KA</v>
      </c>
      <c r="E82" s="299" t="str">
        <f t="shared" si="19"/>
        <v>Electric Preliminary Statement Part KA</v>
      </c>
      <c r="F82" s="299" t="str">
        <f t="shared" si="16"/>
        <v>Electric Preliminary Statement Part KA</v>
      </c>
      <c r="G82" s="300">
        <v>4478.240601915044</v>
      </c>
      <c r="H82" s="300">
        <f t="shared" si="22"/>
        <v>4478.240601915044</v>
      </c>
      <c r="I82" s="103">
        <f t="shared" si="23"/>
        <v>4478.240601915044</v>
      </c>
      <c r="J82" s="103">
        <v>-10059.303084707464</v>
      </c>
      <c r="K82" s="103">
        <f t="shared" si="18"/>
        <v>-10059.303084707464</v>
      </c>
      <c r="L82" t="s">
        <v>5</v>
      </c>
      <c r="M82" t="str">
        <f t="shared" si="17"/>
        <v>Y</v>
      </c>
      <c r="N82" t="s">
        <v>657</v>
      </c>
    </row>
    <row r="83" spans="1:14" ht="23.25" customHeight="1">
      <c r="A83" t="s">
        <v>491</v>
      </c>
      <c r="B83" s="299" t="s">
        <v>473</v>
      </c>
      <c r="C83" s="299" t="str">
        <f t="shared" si="21"/>
        <v>Electric Preliminary Statement Part JD</v>
      </c>
      <c r="D83" s="299" t="str">
        <f t="shared" si="20"/>
        <v>Electric Preliminary Statement Part JD</v>
      </c>
      <c r="E83" s="299" t="str">
        <f t="shared" si="19"/>
        <v>Electric Preliminary Statement Part JD</v>
      </c>
      <c r="F83" s="299" t="str">
        <f t="shared" si="16"/>
        <v>Electric Preliminary Statement Part JD</v>
      </c>
      <c r="G83" s="300">
        <v>5.4850873107244524</v>
      </c>
      <c r="H83" s="300">
        <f t="shared" si="22"/>
        <v>5.4850873107244524</v>
      </c>
      <c r="I83" s="103">
        <f t="shared" si="23"/>
        <v>5.4850873107244524</v>
      </c>
      <c r="J83" s="103">
        <v>39.58753383188143</v>
      </c>
      <c r="K83" s="103">
        <f t="shared" si="18"/>
        <v>39.58753383188143</v>
      </c>
      <c r="L83" t="s">
        <v>5</v>
      </c>
      <c r="M83" t="str">
        <f t="shared" si="17"/>
        <v>Y</v>
      </c>
      <c r="N83" t="s">
        <v>139</v>
      </c>
    </row>
    <row r="84" spans="1:14" ht="23.25" customHeight="1">
      <c r="A84" t="s">
        <v>464</v>
      </c>
      <c r="B84" s="299" t="s">
        <v>474</v>
      </c>
      <c r="C84" s="299" t="str">
        <f t="shared" si="21"/>
        <v xml:space="preserve">D.23-04-034/ AL 6962-E </v>
      </c>
      <c r="D84" s="299" t="str">
        <f t="shared" si="20"/>
        <v xml:space="preserve">D.23-04-034/ AL 6962-E </v>
      </c>
      <c r="E84" s="299" t="str">
        <f t="shared" si="19"/>
        <v xml:space="preserve">D.23-04-034/ AL 6962-E </v>
      </c>
      <c r="F84" s="299" t="str">
        <f t="shared" si="16"/>
        <v xml:space="preserve">D.23-04-034/ AL 6962-E </v>
      </c>
      <c r="G84" s="300">
        <v>482.26226348</v>
      </c>
      <c r="H84" s="300">
        <f t="shared" si="22"/>
        <v>482.26226348</v>
      </c>
      <c r="I84" s="103">
        <f t="shared" si="23"/>
        <v>482.26226348</v>
      </c>
      <c r="J84" s="103">
        <v>0</v>
      </c>
      <c r="K84" s="103">
        <f t="shared" si="18"/>
        <v>0</v>
      </c>
      <c r="L84" t="s">
        <v>292</v>
      </c>
      <c r="M84" t="str">
        <f t="shared" si="17"/>
        <v>N</v>
      </c>
      <c r="N84" t="s">
        <v>657</v>
      </c>
    </row>
    <row r="85" spans="1:14">
      <c r="A85" s="299" t="s">
        <v>468</v>
      </c>
      <c r="B85" s="299" t="s">
        <v>475</v>
      </c>
      <c r="C85" s="299" t="str">
        <f t="shared" si="21"/>
        <v>D.24-08-009/ AL 7371-E</v>
      </c>
      <c r="D85" s="299" t="str">
        <f t="shared" si="20"/>
        <v>D.24-08-009/ AL 7371-E</v>
      </c>
      <c r="E85" s="299" t="str">
        <f t="shared" si="19"/>
        <v>D.24-08-009/ AL 7371-E</v>
      </c>
      <c r="F85" s="299" t="str">
        <f t="shared" si="16"/>
        <v>D.24-08-009/ AL 7371-E</v>
      </c>
      <c r="G85" s="103">
        <v>141576.85188405539</v>
      </c>
      <c r="H85" s="300">
        <f t="shared" si="22"/>
        <v>141576.85188405539</v>
      </c>
      <c r="I85" s="103">
        <f t="shared" si="23"/>
        <v>141576.85188405539</v>
      </c>
      <c r="J85" s="103">
        <v>48959.963379433757</v>
      </c>
      <c r="K85" s="103">
        <f t="shared" si="18"/>
        <v>48959.963379433757</v>
      </c>
      <c r="L85" t="s">
        <v>5</v>
      </c>
      <c r="M85" t="str">
        <f t="shared" si="17"/>
        <v>N</v>
      </c>
      <c r="N85" t="s">
        <v>657</v>
      </c>
    </row>
    <row r="86" spans="1:14">
      <c r="A86" s="299" t="s">
        <v>468</v>
      </c>
      <c r="B86" s="299" t="s">
        <v>475</v>
      </c>
      <c r="C86" s="299" t="str">
        <f t="shared" si="21"/>
        <v>D.24-08-009/ AL 7371-E</v>
      </c>
      <c r="D86" s="299" t="str">
        <f t="shared" si="20"/>
        <v>D.24-08-009/ AL 7371-E</v>
      </c>
      <c r="E86" s="299" t="str">
        <f t="shared" si="19"/>
        <v>D.24-08-009/ AL 7371-E</v>
      </c>
      <c r="F86" s="299" t="str">
        <f t="shared" si="16"/>
        <v>D.24-08-009/ AL 7371-E</v>
      </c>
      <c r="G86" s="103">
        <v>68189.673891719649</v>
      </c>
      <c r="H86" s="300">
        <f t="shared" si="22"/>
        <v>68189.673891719649</v>
      </c>
      <c r="I86" s="103">
        <f t="shared" si="23"/>
        <v>68189.673891719649</v>
      </c>
      <c r="J86" s="103">
        <v>9285.9628682988223</v>
      </c>
      <c r="K86" s="103">
        <f t="shared" si="18"/>
        <v>9285.9628682988223</v>
      </c>
      <c r="L86" t="s">
        <v>207</v>
      </c>
      <c r="M86" t="str">
        <f t="shared" si="17"/>
        <v>N</v>
      </c>
      <c r="N86" t="s">
        <v>657</v>
      </c>
    </row>
    <row r="87" spans="1:14">
      <c r="A87" s="299" t="s">
        <v>439</v>
      </c>
      <c r="B87" s="299" t="s">
        <v>404</v>
      </c>
      <c r="C87" s="299" t="s">
        <v>404</v>
      </c>
      <c r="D87" s="299" t="s">
        <v>404</v>
      </c>
      <c r="E87" s="299" t="s">
        <v>613</v>
      </c>
      <c r="F87" s="299" t="str">
        <f t="shared" si="16"/>
        <v xml:space="preserve">D.25-12-026 </v>
      </c>
      <c r="G87" s="103">
        <v>0</v>
      </c>
      <c r="H87" s="103">
        <v>0</v>
      </c>
      <c r="I87" s="103">
        <v>0</v>
      </c>
      <c r="J87" s="103">
        <v>158033.59433360386</v>
      </c>
      <c r="K87" s="103">
        <f t="shared" si="18"/>
        <v>158033.59433360386</v>
      </c>
      <c r="L87" t="s">
        <v>5</v>
      </c>
      <c r="M87" t="str">
        <f t="shared" si="17"/>
        <v>N</v>
      </c>
      <c r="N87" t="s">
        <v>657</v>
      </c>
    </row>
    <row r="88" spans="1:14">
      <c r="A88" s="299" t="s">
        <v>439</v>
      </c>
      <c r="B88" s="299" t="s">
        <v>404</v>
      </c>
      <c r="C88" s="299" t="s">
        <v>404</v>
      </c>
      <c r="D88" s="299" t="s">
        <v>404</v>
      </c>
      <c r="E88" s="299" t="s">
        <v>613</v>
      </c>
      <c r="F88" s="299" t="str">
        <f t="shared" si="16"/>
        <v xml:space="preserve">D.25-12-026 </v>
      </c>
      <c r="G88" s="103">
        <v>0</v>
      </c>
      <c r="H88" s="103">
        <v>0</v>
      </c>
      <c r="I88" s="103">
        <v>0</v>
      </c>
      <c r="J88" s="103">
        <v>107564.38815294557</v>
      </c>
      <c r="K88" s="103">
        <f t="shared" si="18"/>
        <v>107564.38815294557</v>
      </c>
      <c r="L88" t="s">
        <v>207</v>
      </c>
      <c r="M88" t="str">
        <f t="shared" si="17"/>
        <v>N</v>
      </c>
      <c r="N88" t="s">
        <v>657</v>
      </c>
    </row>
    <row r="89" spans="1:14">
      <c r="A89" s="299" t="s">
        <v>422</v>
      </c>
      <c r="B89" s="299" t="s">
        <v>404</v>
      </c>
      <c r="C89" s="299" t="s">
        <v>404</v>
      </c>
      <c r="D89" s="299" t="s">
        <v>404</v>
      </c>
      <c r="E89" s="299" t="s">
        <v>612</v>
      </c>
      <c r="F89" s="299" t="str">
        <f t="shared" si="16"/>
        <v>D.25-12-029</v>
      </c>
      <c r="G89" s="103">
        <v>0</v>
      </c>
      <c r="H89" s="103">
        <v>0</v>
      </c>
      <c r="I89" s="103">
        <v>0</v>
      </c>
      <c r="J89" s="103">
        <v>32278.309522205087</v>
      </c>
      <c r="K89" s="103">
        <f t="shared" si="18"/>
        <v>32278.309522205087</v>
      </c>
      <c r="L89" t="s">
        <v>5</v>
      </c>
      <c r="M89" t="str">
        <f t="shared" si="17"/>
        <v>N</v>
      </c>
      <c r="N89" t="s">
        <v>657</v>
      </c>
    </row>
    <row r="90" spans="1:14">
      <c r="A90" s="299" t="s">
        <v>422</v>
      </c>
      <c r="B90" s="299" t="s">
        <v>404</v>
      </c>
      <c r="C90" s="299" t="s">
        <v>404</v>
      </c>
      <c r="D90" s="299" t="s">
        <v>404</v>
      </c>
      <c r="E90" s="299" t="s">
        <v>612</v>
      </c>
      <c r="F90" s="299" t="str">
        <f t="shared" si="16"/>
        <v>D.25-12-029</v>
      </c>
      <c r="G90" s="103">
        <v>0</v>
      </c>
      <c r="H90" s="103">
        <v>0</v>
      </c>
      <c r="I90" s="103">
        <v>0</v>
      </c>
      <c r="J90" s="103">
        <v>9846.2071269206372</v>
      </c>
      <c r="K90" s="103">
        <f t="shared" si="18"/>
        <v>9846.2071269206372</v>
      </c>
      <c r="L90" t="s">
        <v>207</v>
      </c>
      <c r="M90" t="str">
        <f t="shared" si="17"/>
        <v>N</v>
      </c>
      <c r="N90" t="s">
        <v>657</v>
      </c>
    </row>
    <row r="91" spans="1:14">
      <c r="A91" s="299" t="s">
        <v>500</v>
      </c>
      <c r="B91" s="299" t="s">
        <v>404</v>
      </c>
      <c r="C91" s="299" t="s">
        <v>404</v>
      </c>
      <c r="D91" s="299" t="s">
        <v>404</v>
      </c>
      <c r="E91" s="299" t="s">
        <v>611</v>
      </c>
      <c r="F91" s="299" t="str">
        <f t="shared" si="16"/>
        <v>D.25-03-08/ AL 7575-E</v>
      </c>
      <c r="G91" s="103"/>
      <c r="H91" s="103"/>
      <c r="I91" s="103">
        <v>0</v>
      </c>
      <c r="J91" s="103">
        <v>26342.400000000001</v>
      </c>
      <c r="K91" s="103">
        <f t="shared" si="18"/>
        <v>26342.400000000001</v>
      </c>
      <c r="L91" t="s">
        <v>5</v>
      </c>
      <c r="M91" t="str">
        <f t="shared" si="17"/>
        <v>N</v>
      </c>
      <c r="N91" t="s">
        <v>657</v>
      </c>
    </row>
    <row r="92" spans="1:14">
      <c r="A92" s="299" t="s">
        <v>644</v>
      </c>
      <c r="B92" s="299" t="s">
        <v>404</v>
      </c>
      <c r="C92" s="299" t="s">
        <v>404</v>
      </c>
      <c r="D92" s="299" t="s">
        <v>404</v>
      </c>
      <c r="E92" s="299" t="str">
        <f>D92</f>
        <v>n/a</v>
      </c>
      <c r="F92" s="299" t="s">
        <v>643</v>
      </c>
      <c r="G92" s="103">
        <v>0</v>
      </c>
      <c r="H92" s="103">
        <v>0</v>
      </c>
      <c r="I92" s="103">
        <v>0</v>
      </c>
      <c r="J92" s="103">
        <v>0</v>
      </c>
      <c r="K92" s="103">
        <v>-4657.0377600000002</v>
      </c>
      <c r="L92" t="s">
        <v>5</v>
      </c>
      <c r="M92" t="str">
        <f>IF(RIGHT(A92,1)="*","Y","N")</f>
        <v>Y</v>
      </c>
      <c r="N92" t="s">
        <v>139</v>
      </c>
    </row>
    <row r="93" spans="1:14">
      <c r="A93" s="299"/>
      <c r="B93" s="299"/>
      <c r="C93" s="299"/>
      <c r="D93" s="299"/>
      <c r="E93" s="299"/>
      <c r="F93" s="299"/>
      <c r="G93" s="103"/>
      <c r="H93" s="103"/>
      <c r="I93" s="103"/>
      <c r="J93" s="103"/>
      <c r="K93" s="103"/>
    </row>
    <row r="94" spans="1:14">
      <c r="A94" s="12" t="s">
        <v>6</v>
      </c>
      <c r="B94" s="299"/>
      <c r="C94" s="299"/>
      <c r="D94" s="299"/>
      <c r="E94" s="299"/>
      <c r="F94" s="299"/>
      <c r="G94" s="307">
        <f>SUM(G9:G86)</f>
        <v>17164205.618997265</v>
      </c>
      <c r="H94" s="307">
        <f>SUM(H9:H86)</f>
        <v>17323987.589253176</v>
      </c>
      <c r="I94" s="307">
        <f>SUM(I9:I86)</f>
        <v>16732973.334759803</v>
      </c>
      <c r="J94" s="307">
        <f>SUM(J9:J92)</f>
        <v>17071742.597165491</v>
      </c>
      <c r="K94" s="307">
        <f>SUM(K9:K92)</f>
        <v>16597155.798071979</v>
      </c>
      <c r="L94" s="309"/>
    </row>
    <row r="95" spans="1:14" ht="15" customHeight="1">
      <c r="B95" s="299"/>
      <c r="C95" s="299"/>
      <c r="D95" s="299"/>
      <c r="E95" s="299"/>
      <c r="F95" s="299"/>
      <c r="G95" s="103"/>
      <c r="H95" s="103"/>
      <c r="I95" s="103"/>
      <c r="J95" s="103"/>
      <c r="K95" s="103"/>
    </row>
    <row r="96" spans="1:14">
      <c r="A96" s="12" t="s">
        <v>7</v>
      </c>
      <c r="B96" s="299"/>
      <c r="C96" s="299"/>
      <c r="D96" s="299"/>
      <c r="E96" s="299"/>
      <c r="F96" s="299"/>
      <c r="G96" s="103"/>
      <c r="H96" s="103"/>
      <c r="I96" s="103"/>
      <c r="J96" s="103"/>
      <c r="K96" s="103"/>
    </row>
    <row r="97" spans="1:14">
      <c r="A97" t="s">
        <v>72</v>
      </c>
      <c r="B97" s="299" t="s">
        <v>494</v>
      </c>
      <c r="C97" s="299" t="str">
        <f t="shared" ref="C97:C111" si="24">B97</f>
        <v>D.24-12-038</v>
      </c>
      <c r="D97" s="299" t="str">
        <f t="shared" si="20"/>
        <v>D.24-12-038</v>
      </c>
      <c r="E97" s="299" t="str">
        <f>D97</f>
        <v>D.24-12-038</v>
      </c>
      <c r="F97" s="299" t="str">
        <f t="shared" si="16"/>
        <v>D.24-12-038</v>
      </c>
      <c r="G97" s="103">
        <v>-721064.79799999995</v>
      </c>
      <c r="H97" s="103">
        <f t="shared" ref="H97:H141" si="25">G97</f>
        <v>-721064.79799999995</v>
      </c>
      <c r="I97" s="103">
        <f t="shared" si="23"/>
        <v>-721064.79799999995</v>
      </c>
      <c r="J97" s="103">
        <v>-475276.50099999999</v>
      </c>
      <c r="K97" s="103">
        <f>J97</f>
        <v>-475276.50099999999</v>
      </c>
      <c r="L97" s="310" t="s">
        <v>129</v>
      </c>
      <c r="M97" t="str">
        <f t="shared" ref="M97:M128" si="26">IF(RIGHT(A97,1)="*","Y","N")</f>
        <v>N</v>
      </c>
      <c r="N97" t="s">
        <v>657</v>
      </c>
    </row>
    <row r="98" spans="1:14">
      <c r="A98" t="s">
        <v>71</v>
      </c>
      <c r="B98" s="299" t="s">
        <v>404</v>
      </c>
      <c r="C98" s="299" t="str">
        <f t="shared" si="24"/>
        <v>n/a</v>
      </c>
      <c r="D98" s="299" t="str">
        <f t="shared" si="20"/>
        <v>n/a</v>
      </c>
      <c r="E98" s="299" t="str">
        <f t="shared" ref="E98:F146" si="27">D98</f>
        <v>n/a</v>
      </c>
      <c r="F98" s="299" t="str">
        <f t="shared" si="16"/>
        <v>n/a</v>
      </c>
      <c r="G98" s="103">
        <v>0</v>
      </c>
      <c r="H98" s="103">
        <f t="shared" si="25"/>
        <v>0</v>
      </c>
      <c r="I98" s="103">
        <f t="shared" si="23"/>
        <v>0</v>
      </c>
      <c r="J98" s="103">
        <f t="shared" si="23"/>
        <v>0</v>
      </c>
      <c r="K98" s="103">
        <f t="shared" ref="K98:K155" si="28">J98</f>
        <v>0</v>
      </c>
      <c r="L98" t="s">
        <v>15</v>
      </c>
      <c r="M98" t="str">
        <f t="shared" si="26"/>
        <v>N</v>
      </c>
      <c r="N98" t="s">
        <v>657</v>
      </c>
    </row>
    <row r="99" spans="1:14">
      <c r="A99" t="s">
        <v>307</v>
      </c>
      <c r="B99" s="299" t="s">
        <v>404</v>
      </c>
      <c r="C99" s="299" t="str">
        <f t="shared" si="24"/>
        <v>n/a</v>
      </c>
      <c r="D99" s="299" t="str">
        <f t="shared" si="20"/>
        <v>n/a</v>
      </c>
      <c r="E99" s="299" t="str">
        <f t="shared" si="27"/>
        <v>n/a</v>
      </c>
      <c r="F99" s="299" t="str">
        <f t="shared" si="16"/>
        <v>n/a</v>
      </c>
      <c r="G99" s="103">
        <v>0</v>
      </c>
      <c r="H99" s="103">
        <f t="shared" si="25"/>
        <v>0</v>
      </c>
      <c r="I99" s="103">
        <f t="shared" ref="I99:I100" si="29">H99</f>
        <v>0</v>
      </c>
      <c r="J99" s="103">
        <f t="shared" ref="J99" si="30">I99</f>
        <v>0</v>
      </c>
      <c r="K99" s="103">
        <f t="shared" si="28"/>
        <v>0</v>
      </c>
      <c r="L99" t="s">
        <v>15</v>
      </c>
      <c r="M99" t="str">
        <f t="shared" si="26"/>
        <v>N</v>
      </c>
      <c r="N99" t="s">
        <v>657</v>
      </c>
    </row>
    <row r="100" spans="1:14">
      <c r="A100" t="s">
        <v>75</v>
      </c>
      <c r="B100" s="299" t="s">
        <v>459</v>
      </c>
      <c r="C100" s="299" t="str">
        <f t="shared" si="24"/>
        <v>Res. M-4874</v>
      </c>
      <c r="D100" s="299" t="str">
        <f t="shared" si="20"/>
        <v>Res. M-4874</v>
      </c>
      <c r="E100" s="299" t="str">
        <f t="shared" si="27"/>
        <v>Res. M-4874</v>
      </c>
      <c r="F100" s="299" t="str">
        <f t="shared" si="16"/>
        <v>Res. M-4874</v>
      </c>
      <c r="G100" s="103">
        <v>61836.066753452789</v>
      </c>
      <c r="H100" s="103">
        <f t="shared" si="25"/>
        <v>61836.066753452789</v>
      </c>
      <c r="I100" s="103">
        <f t="shared" si="29"/>
        <v>61836.066753452789</v>
      </c>
      <c r="J100" s="103">
        <v>76117.978020134644</v>
      </c>
      <c r="K100" s="103">
        <f t="shared" si="28"/>
        <v>76117.978020134644</v>
      </c>
      <c r="L100" t="s">
        <v>5</v>
      </c>
      <c r="M100" t="str">
        <f t="shared" si="26"/>
        <v>N</v>
      </c>
      <c r="N100" t="s">
        <v>657</v>
      </c>
    </row>
    <row r="101" spans="1:14">
      <c r="A101" t="s">
        <v>104</v>
      </c>
      <c r="B101" s="299" t="s">
        <v>406</v>
      </c>
      <c r="C101" s="299" t="str">
        <f t="shared" si="24"/>
        <v>Electric Preliminary Statement Part HH</v>
      </c>
      <c r="D101" s="299" t="str">
        <f t="shared" si="20"/>
        <v>Electric Preliminary Statement Part HH</v>
      </c>
      <c r="E101" s="299" t="str">
        <f t="shared" si="27"/>
        <v>Electric Preliminary Statement Part HH</v>
      </c>
      <c r="F101" s="299" t="str">
        <f t="shared" si="16"/>
        <v>Electric Preliminary Statement Part HH</v>
      </c>
      <c r="G101" s="103">
        <v>-33471.164510847331</v>
      </c>
      <c r="H101" s="103">
        <f t="shared" si="25"/>
        <v>-33471.164510847331</v>
      </c>
      <c r="I101" s="103">
        <f t="shared" ref="I101:I104" si="31">H101</f>
        <v>-33471.164510847331</v>
      </c>
      <c r="J101" s="103">
        <v>-11872.004183570167</v>
      </c>
      <c r="K101" s="103">
        <f t="shared" si="28"/>
        <v>-11872.004183570167</v>
      </c>
      <c r="L101" t="s">
        <v>5</v>
      </c>
      <c r="M101" t="str">
        <f t="shared" si="26"/>
        <v>Y</v>
      </c>
      <c r="N101" t="s">
        <v>657</v>
      </c>
    </row>
    <row r="102" spans="1:14">
      <c r="A102" t="s">
        <v>73</v>
      </c>
      <c r="B102" s="299" t="s">
        <v>405</v>
      </c>
      <c r="C102" s="299" t="str">
        <f t="shared" si="24"/>
        <v>D.18-05-040, D.19-11-017, D.19-09-006, D.20-12-029, D.22-08-024</v>
      </c>
      <c r="D102" s="299" t="str">
        <f t="shared" si="20"/>
        <v>D.18-05-040, D.19-11-017, D.19-09-006, D.20-12-029, D.22-08-024</v>
      </c>
      <c r="E102" s="299" t="str">
        <f t="shared" si="27"/>
        <v>D.18-05-040, D.19-11-017, D.19-09-006, D.20-12-029, D.22-08-024</v>
      </c>
      <c r="F102" s="299" t="str">
        <f t="shared" si="16"/>
        <v>D.18-05-040, D.19-11-017, D.19-09-006, D.20-12-029, D.22-08-024</v>
      </c>
      <c r="G102" s="103">
        <v>34990.182999999997</v>
      </c>
      <c r="H102" s="103">
        <f t="shared" si="25"/>
        <v>34990.182999999997</v>
      </c>
      <c r="I102" s="103">
        <f t="shared" si="31"/>
        <v>34990.182999999997</v>
      </c>
      <c r="J102" s="103">
        <v>24996.146000000001</v>
      </c>
      <c r="K102" s="103">
        <f t="shared" si="28"/>
        <v>24996.146000000001</v>
      </c>
      <c r="L102" t="s">
        <v>5</v>
      </c>
      <c r="M102" t="str">
        <f t="shared" si="26"/>
        <v>N</v>
      </c>
      <c r="N102" t="s">
        <v>657</v>
      </c>
    </row>
    <row r="103" spans="1:14">
      <c r="A103" t="s">
        <v>413</v>
      </c>
      <c r="B103" s="299" t="s">
        <v>407</v>
      </c>
      <c r="C103" s="299" t="str">
        <f t="shared" si="24"/>
        <v>Electric Preliminary Statement Part P</v>
      </c>
      <c r="D103" s="299" t="str">
        <f t="shared" si="20"/>
        <v>Electric Preliminary Statement Part P</v>
      </c>
      <c r="E103" s="299" t="str">
        <f t="shared" si="27"/>
        <v>Electric Preliminary Statement Part P</v>
      </c>
      <c r="F103" s="299" t="str">
        <f t="shared" si="16"/>
        <v>Electric Preliminary Statement Part P</v>
      </c>
      <c r="G103" s="103">
        <v>-36.373772596829554</v>
      </c>
      <c r="H103" s="103">
        <f t="shared" si="25"/>
        <v>-36.373772596829554</v>
      </c>
      <c r="I103" s="103">
        <f t="shared" si="31"/>
        <v>-36.373772596829554</v>
      </c>
      <c r="J103" s="103">
        <v>-39.347452679034895</v>
      </c>
      <c r="K103" s="103">
        <f t="shared" si="28"/>
        <v>-39.347452679034895</v>
      </c>
      <c r="L103" t="s">
        <v>15</v>
      </c>
      <c r="M103" t="str">
        <f t="shared" si="26"/>
        <v>Y</v>
      </c>
      <c r="N103" t="s">
        <v>657</v>
      </c>
    </row>
    <row r="104" spans="1:14">
      <c r="A104" s="299" t="s">
        <v>80</v>
      </c>
      <c r="B104" s="299" t="s">
        <v>404</v>
      </c>
      <c r="C104" s="299" t="str">
        <f t="shared" si="24"/>
        <v>n/a</v>
      </c>
      <c r="D104" s="299" t="str">
        <f t="shared" si="20"/>
        <v>n/a</v>
      </c>
      <c r="E104" s="299" t="str">
        <f t="shared" si="27"/>
        <v>n/a</v>
      </c>
      <c r="F104" s="299" t="str">
        <f t="shared" si="16"/>
        <v>n/a</v>
      </c>
      <c r="G104" s="103">
        <v>0</v>
      </c>
      <c r="H104" s="103">
        <f t="shared" si="25"/>
        <v>0</v>
      </c>
      <c r="I104" s="103">
        <f t="shared" si="31"/>
        <v>0</v>
      </c>
      <c r="J104" s="103">
        <f t="shared" ref="J104" si="32">I104</f>
        <v>0</v>
      </c>
      <c r="K104" s="103">
        <f t="shared" si="28"/>
        <v>0</v>
      </c>
      <c r="L104" t="s">
        <v>5</v>
      </c>
      <c r="M104" t="str">
        <f t="shared" si="26"/>
        <v>N</v>
      </c>
      <c r="N104" t="s">
        <v>657</v>
      </c>
    </row>
    <row r="105" spans="1:14">
      <c r="A105" t="s">
        <v>81</v>
      </c>
      <c r="B105" s="299" t="s">
        <v>395</v>
      </c>
      <c r="C105" s="299" t="str">
        <f t="shared" si="24"/>
        <v>D.23-12-005</v>
      </c>
      <c r="D105" s="299" t="str">
        <f t="shared" si="20"/>
        <v>D.23-12-005</v>
      </c>
      <c r="E105" s="299" t="str">
        <f t="shared" si="27"/>
        <v>D.23-12-005</v>
      </c>
      <c r="F105" s="299" t="str">
        <f t="shared" si="16"/>
        <v>D.23-12-005</v>
      </c>
      <c r="G105" s="103">
        <v>199909.92375999998</v>
      </c>
      <c r="H105" s="103">
        <f t="shared" si="25"/>
        <v>199909.92375999998</v>
      </c>
      <c r="I105" s="103">
        <f t="shared" si="23"/>
        <v>199909.92375999998</v>
      </c>
      <c r="J105" s="103">
        <v>111052.18108000001</v>
      </c>
      <c r="K105" s="103">
        <f t="shared" si="28"/>
        <v>111052.18108000001</v>
      </c>
      <c r="L105" t="s">
        <v>5</v>
      </c>
      <c r="M105" t="str">
        <f t="shared" si="26"/>
        <v>N</v>
      </c>
      <c r="N105" t="s">
        <v>657</v>
      </c>
    </row>
    <row r="106" spans="1:14">
      <c r="A106" s="301" t="s">
        <v>83</v>
      </c>
      <c r="B106" s="299" t="s">
        <v>404</v>
      </c>
      <c r="C106" s="299" t="str">
        <f t="shared" si="24"/>
        <v>n/a</v>
      </c>
      <c r="D106" s="299" t="str">
        <f t="shared" si="20"/>
        <v>n/a</v>
      </c>
      <c r="E106" s="299" t="str">
        <f t="shared" si="27"/>
        <v>n/a</v>
      </c>
      <c r="F106" s="299" t="str">
        <f t="shared" si="16"/>
        <v>n/a</v>
      </c>
      <c r="G106" s="103">
        <v>0</v>
      </c>
      <c r="H106" s="103">
        <f t="shared" si="25"/>
        <v>0</v>
      </c>
      <c r="I106" s="103">
        <f t="shared" si="23"/>
        <v>0</v>
      </c>
      <c r="J106" s="103">
        <f t="shared" si="23"/>
        <v>0</v>
      </c>
      <c r="K106" s="103">
        <f t="shared" si="28"/>
        <v>0</v>
      </c>
      <c r="L106" t="s">
        <v>5</v>
      </c>
      <c r="M106" t="str">
        <f t="shared" si="26"/>
        <v>N</v>
      </c>
      <c r="N106" t="s">
        <v>657</v>
      </c>
    </row>
    <row r="107" spans="1:14">
      <c r="A107" s="301" t="s">
        <v>97</v>
      </c>
      <c r="B107" s="299" t="s">
        <v>117</v>
      </c>
      <c r="C107" s="299" t="str">
        <f t="shared" si="24"/>
        <v>Preliminary Statement  DX</v>
      </c>
      <c r="D107" s="299" t="str">
        <f t="shared" si="20"/>
        <v>Preliminary Statement  DX</v>
      </c>
      <c r="E107" s="299" t="str">
        <f t="shared" si="27"/>
        <v>Preliminary Statement  DX</v>
      </c>
      <c r="F107" s="299" t="str">
        <f t="shared" si="16"/>
        <v>Preliminary Statement  DX</v>
      </c>
      <c r="G107" s="103">
        <v>24656.102156482048</v>
      </c>
      <c r="H107" s="103">
        <f t="shared" si="25"/>
        <v>24656.102156482048</v>
      </c>
      <c r="I107" s="103">
        <f t="shared" si="23"/>
        <v>24656.102156482048</v>
      </c>
      <c r="J107" s="103">
        <v>24233.403471791866</v>
      </c>
      <c r="K107" s="103">
        <f t="shared" si="28"/>
        <v>24233.403471791866</v>
      </c>
      <c r="L107" t="s">
        <v>5</v>
      </c>
      <c r="M107" t="str">
        <f t="shared" si="26"/>
        <v>Y</v>
      </c>
      <c r="N107" t="s">
        <v>139</v>
      </c>
    </row>
    <row r="108" spans="1:14">
      <c r="A108" s="301" t="s">
        <v>98</v>
      </c>
      <c r="B108" s="299" t="s">
        <v>118</v>
      </c>
      <c r="C108" s="299" t="str">
        <f t="shared" si="24"/>
        <v>Preliminary Statement  EC</v>
      </c>
      <c r="D108" s="299" t="str">
        <f t="shared" si="20"/>
        <v>Preliminary Statement  EC</v>
      </c>
      <c r="E108" s="299" t="str">
        <f t="shared" si="27"/>
        <v>Preliminary Statement  EC</v>
      </c>
      <c r="F108" s="299" t="str">
        <f t="shared" si="16"/>
        <v>Preliminary Statement  EC</v>
      </c>
      <c r="G108" s="103">
        <v>-315283.21310148668</v>
      </c>
      <c r="H108" s="103">
        <f t="shared" si="25"/>
        <v>-315283.21310148668</v>
      </c>
      <c r="I108" s="103">
        <f t="shared" si="23"/>
        <v>-315283.21310148668</v>
      </c>
      <c r="J108" s="103">
        <v>-46666.382645495745</v>
      </c>
      <c r="K108" s="103">
        <f t="shared" si="28"/>
        <v>-46666.382645495745</v>
      </c>
      <c r="L108" t="s">
        <v>5</v>
      </c>
      <c r="M108" t="str">
        <f t="shared" si="26"/>
        <v>Y</v>
      </c>
      <c r="N108" t="s">
        <v>657</v>
      </c>
    </row>
    <row r="109" spans="1:14">
      <c r="A109" s="301" t="s">
        <v>99</v>
      </c>
      <c r="B109" s="299" t="s">
        <v>119</v>
      </c>
      <c r="C109" s="299" t="str">
        <f t="shared" si="24"/>
        <v>Preliminary Statement  GH</v>
      </c>
      <c r="D109" s="299" t="str">
        <f t="shared" si="20"/>
        <v>Preliminary Statement  GH</v>
      </c>
      <c r="E109" s="299" t="str">
        <f t="shared" si="27"/>
        <v>Preliminary Statement  GH</v>
      </c>
      <c r="F109" s="299" t="str">
        <f t="shared" si="16"/>
        <v>Preliminary Statement  GH</v>
      </c>
      <c r="G109" s="103">
        <v>21076.82873400523</v>
      </c>
      <c r="H109" s="103">
        <f t="shared" si="25"/>
        <v>21076.82873400523</v>
      </c>
      <c r="I109" s="103">
        <f t="shared" si="23"/>
        <v>21076.82873400523</v>
      </c>
      <c r="J109" s="103">
        <v>26855.469855831263</v>
      </c>
      <c r="K109" s="103">
        <f t="shared" si="28"/>
        <v>26855.469855831263</v>
      </c>
      <c r="L109" t="s">
        <v>5</v>
      </c>
      <c r="M109" t="str">
        <f t="shared" si="26"/>
        <v>Y</v>
      </c>
      <c r="N109" t="s">
        <v>139</v>
      </c>
    </row>
    <row r="110" spans="1:14">
      <c r="A110" s="301" t="s">
        <v>100</v>
      </c>
      <c r="B110" s="299" t="s">
        <v>120</v>
      </c>
      <c r="C110" s="299" t="str">
        <f t="shared" si="24"/>
        <v>Preliminary Statement  GJ</v>
      </c>
      <c r="D110" s="299" t="str">
        <f t="shared" si="20"/>
        <v>Preliminary Statement  GJ</v>
      </c>
      <c r="E110" s="299" t="str">
        <f t="shared" si="27"/>
        <v>Preliminary Statement  GJ</v>
      </c>
      <c r="F110" s="299" t="str">
        <f t="shared" si="16"/>
        <v>Preliminary Statement  GJ</v>
      </c>
      <c r="G110" s="103">
        <v>156914.37871788791</v>
      </c>
      <c r="H110" s="103">
        <f t="shared" si="25"/>
        <v>156914.37871788791</v>
      </c>
      <c r="I110" s="103">
        <f t="shared" si="23"/>
        <v>156914.37871788791</v>
      </c>
      <c r="J110" s="103">
        <v>76798.211310234459</v>
      </c>
      <c r="K110" s="103">
        <f t="shared" si="28"/>
        <v>76798.211310234459</v>
      </c>
      <c r="L110" t="s">
        <v>5</v>
      </c>
      <c r="M110" t="str">
        <f t="shared" si="26"/>
        <v>Y</v>
      </c>
      <c r="N110" t="s">
        <v>139</v>
      </c>
    </row>
    <row r="111" spans="1:14">
      <c r="A111" s="301" t="s">
        <v>306</v>
      </c>
      <c r="B111" s="299" t="s">
        <v>312</v>
      </c>
      <c r="C111" s="299" t="str">
        <f t="shared" si="24"/>
        <v>Preliminary Statement  IT</v>
      </c>
      <c r="D111" s="299" t="str">
        <f t="shared" si="20"/>
        <v>Preliminary Statement  IT</v>
      </c>
      <c r="E111" s="299" t="str">
        <f t="shared" si="27"/>
        <v>Preliminary Statement  IT</v>
      </c>
      <c r="F111" s="299" t="str">
        <f t="shared" si="16"/>
        <v>Preliminary Statement  IT</v>
      </c>
      <c r="G111" s="103">
        <v>2934.0348173068191</v>
      </c>
      <c r="H111" s="103">
        <f t="shared" si="25"/>
        <v>2934.0348173068191</v>
      </c>
      <c r="I111" s="103">
        <f t="shared" si="23"/>
        <v>2934.0348173068191</v>
      </c>
      <c r="J111" s="103">
        <v>2264.8625489445139</v>
      </c>
      <c r="K111" s="103">
        <f t="shared" si="28"/>
        <v>2264.8625489445139</v>
      </c>
      <c r="L111" t="s">
        <v>292</v>
      </c>
      <c r="M111" t="str">
        <f t="shared" si="26"/>
        <v>Y</v>
      </c>
      <c r="N111" t="s">
        <v>139</v>
      </c>
    </row>
    <row r="112" spans="1:14">
      <c r="A112" s="301" t="s">
        <v>101</v>
      </c>
      <c r="B112" s="299" t="s">
        <v>404</v>
      </c>
      <c r="C112" s="299" t="s">
        <v>404</v>
      </c>
      <c r="D112" s="299" t="str">
        <f t="shared" si="20"/>
        <v>n/a</v>
      </c>
      <c r="E112" s="299" t="str">
        <f t="shared" si="27"/>
        <v>n/a</v>
      </c>
      <c r="F112" s="299" t="str">
        <f t="shared" si="16"/>
        <v>n/a</v>
      </c>
      <c r="G112" s="103">
        <v>0</v>
      </c>
      <c r="H112" s="103">
        <f t="shared" si="25"/>
        <v>0</v>
      </c>
      <c r="I112" s="103">
        <f t="shared" si="23"/>
        <v>0</v>
      </c>
      <c r="J112" s="103">
        <f t="shared" si="23"/>
        <v>0</v>
      </c>
      <c r="K112" s="103">
        <f t="shared" si="28"/>
        <v>0</v>
      </c>
      <c r="L112" t="s">
        <v>5</v>
      </c>
      <c r="M112" t="str">
        <f t="shared" si="26"/>
        <v>Y</v>
      </c>
      <c r="N112" t="s">
        <v>657</v>
      </c>
    </row>
    <row r="113" spans="1:14">
      <c r="A113" s="301" t="s">
        <v>103</v>
      </c>
      <c r="B113" s="299" t="s">
        <v>121</v>
      </c>
      <c r="C113" s="299" t="str">
        <f t="shared" ref="C113:C138" si="33">B113</f>
        <v>Preliminary Statement  DA</v>
      </c>
      <c r="D113" s="299" t="str">
        <f t="shared" si="20"/>
        <v>Preliminary Statement  DA</v>
      </c>
      <c r="E113" s="299" t="str">
        <f t="shared" si="27"/>
        <v>Preliminary Statement  DA</v>
      </c>
      <c r="F113" s="299" t="str">
        <f t="shared" si="16"/>
        <v>Preliminary Statement  DA</v>
      </c>
      <c r="G113" s="103">
        <v>-81304.271410274727</v>
      </c>
      <c r="H113" s="103">
        <f t="shared" si="25"/>
        <v>-81304.271410274727</v>
      </c>
      <c r="I113" s="103">
        <f t="shared" si="23"/>
        <v>-81304.271410274727</v>
      </c>
      <c r="J113" s="103">
        <v>-57126.461472610754</v>
      </c>
      <c r="K113" s="103">
        <f t="shared" si="28"/>
        <v>-57126.461472610754</v>
      </c>
      <c r="L113" t="s">
        <v>15</v>
      </c>
      <c r="M113" t="str">
        <f t="shared" si="26"/>
        <v>Y</v>
      </c>
      <c r="N113" t="s">
        <v>657</v>
      </c>
    </row>
    <row r="114" spans="1:14">
      <c r="A114" s="301" t="s">
        <v>74</v>
      </c>
      <c r="B114" s="299" t="s">
        <v>279</v>
      </c>
      <c r="C114" s="299" t="str">
        <f t="shared" si="33"/>
        <v>D.21-06-015</v>
      </c>
      <c r="D114" s="299" t="str">
        <f t="shared" si="20"/>
        <v>D.21-06-015</v>
      </c>
      <c r="E114" s="299" t="str">
        <f t="shared" si="27"/>
        <v>D.21-06-015</v>
      </c>
      <c r="F114" s="299" t="str">
        <f t="shared" si="16"/>
        <v>D.21-06-015</v>
      </c>
      <c r="G114" s="103">
        <v>11555.36</v>
      </c>
      <c r="H114" s="103">
        <f t="shared" si="25"/>
        <v>11555.36</v>
      </c>
      <c r="I114" s="103">
        <f t="shared" si="23"/>
        <v>11555.36</v>
      </c>
      <c r="J114" s="103">
        <v>11830.16</v>
      </c>
      <c r="K114" s="103">
        <f t="shared" si="28"/>
        <v>11830.16</v>
      </c>
      <c r="L114" t="s">
        <v>15</v>
      </c>
      <c r="M114" t="str">
        <f t="shared" si="26"/>
        <v>N</v>
      </c>
      <c r="N114" t="s">
        <v>657</v>
      </c>
    </row>
    <row r="115" spans="1:14">
      <c r="A115" s="301" t="s">
        <v>111</v>
      </c>
      <c r="B115" s="299" t="s">
        <v>123</v>
      </c>
      <c r="C115" s="299" t="str">
        <f t="shared" si="33"/>
        <v>Preliminary Statement  M</v>
      </c>
      <c r="D115" s="299" t="str">
        <f t="shared" si="20"/>
        <v>Preliminary Statement  M</v>
      </c>
      <c r="E115" s="299" t="str">
        <f t="shared" si="27"/>
        <v>Preliminary Statement  M</v>
      </c>
      <c r="F115" s="299" t="str">
        <f t="shared" si="16"/>
        <v>Preliminary Statement  M</v>
      </c>
      <c r="G115" s="103">
        <v>-245541.44209077329</v>
      </c>
      <c r="H115" s="103">
        <f t="shared" si="25"/>
        <v>-245541.44209077329</v>
      </c>
      <c r="I115" s="103">
        <f t="shared" si="23"/>
        <v>-245541.44209077329</v>
      </c>
      <c r="J115" s="103">
        <v>-130147.34826875819</v>
      </c>
      <c r="K115" s="103">
        <f t="shared" si="28"/>
        <v>-130147.34826875819</v>
      </c>
      <c r="L115" t="s">
        <v>15</v>
      </c>
      <c r="M115" t="str">
        <f t="shared" si="26"/>
        <v>Y</v>
      </c>
      <c r="N115" t="s">
        <v>657</v>
      </c>
    </row>
    <row r="116" spans="1:14">
      <c r="A116" s="301" t="s">
        <v>76</v>
      </c>
      <c r="B116" s="299" t="s">
        <v>461</v>
      </c>
      <c r="C116" s="299" t="str">
        <f t="shared" si="33"/>
        <v>D.21-11-028</v>
      </c>
      <c r="D116" s="299" t="str">
        <f t="shared" si="20"/>
        <v>D.21-11-028</v>
      </c>
      <c r="E116" s="299" t="str">
        <f t="shared" si="27"/>
        <v>D.21-11-028</v>
      </c>
      <c r="F116" s="299" t="str">
        <f t="shared" si="16"/>
        <v>D.21-11-028</v>
      </c>
      <c r="G116" s="103">
        <v>93845.416200000007</v>
      </c>
      <c r="H116" s="103">
        <f t="shared" si="25"/>
        <v>93845.416200000007</v>
      </c>
      <c r="I116" s="103">
        <f t="shared" si="23"/>
        <v>93845.416200000007</v>
      </c>
      <c r="J116" s="103">
        <v>75156.70939199999</v>
      </c>
      <c r="K116" s="103">
        <f t="shared" si="28"/>
        <v>75156.70939199999</v>
      </c>
      <c r="L116" t="s">
        <v>15</v>
      </c>
      <c r="M116" t="str">
        <f t="shared" si="26"/>
        <v>N</v>
      </c>
      <c r="N116" t="s">
        <v>657</v>
      </c>
    </row>
    <row r="117" spans="1:14">
      <c r="A117" s="301" t="s">
        <v>110</v>
      </c>
      <c r="B117" s="299" t="s">
        <v>463</v>
      </c>
      <c r="C117" s="299" t="str">
        <f t="shared" si="33"/>
        <v>Preliminary Statement FU</v>
      </c>
      <c r="D117" s="299" t="str">
        <f t="shared" si="20"/>
        <v>Preliminary Statement FU</v>
      </c>
      <c r="E117" s="299" t="str">
        <f t="shared" si="27"/>
        <v>Preliminary Statement FU</v>
      </c>
      <c r="F117" s="299" t="str">
        <f t="shared" si="16"/>
        <v>Preliminary Statement FU</v>
      </c>
      <c r="G117" s="103">
        <v>3938.1121905905447</v>
      </c>
      <c r="H117" s="103">
        <f t="shared" si="25"/>
        <v>3938.1121905905447</v>
      </c>
      <c r="I117" s="103">
        <f t="shared" si="23"/>
        <v>3938.1121905905447</v>
      </c>
      <c r="J117" s="103">
        <v>2092.081990840104</v>
      </c>
      <c r="K117" s="103">
        <f t="shared" si="28"/>
        <v>2092.081990840104</v>
      </c>
      <c r="L117" t="s">
        <v>15</v>
      </c>
      <c r="M117" t="str">
        <f t="shared" si="26"/>
        <v>Y</v>
      </c>
      <c r="N117" t="s">
        <v>139</v>
      </c>
    </row>
    <row r="118" spans="1:14">
      <c r="A118" t="s">
        <v>78</v>
      </c>
      <c r="B118" s="299" t="s">
        <v>279</v>
      </c>
      <c r="C118" s="299" t="str">
        <f t="shared" si="33"/>
        <v>D.21-06-015</v>
      </c>
      <c r="D118" s="299" t="str">
        <f t="shared" si="20"/>
        <v>D.21-06-015</v>
      </c>
      <c r="E118" s="299" t="str">
        <f t="shared" si="27"/>
        <v>D.21-06-015</v>
      </c>
      <c r="F118" s="299" t="str">
        <f t="shared" si="16"/>
        <v>D.21-06-015</v>
      </c>
      <c r="G118" s="103">
        <v>90694.046000000002</v>
      </c>
      <c r="H118" s="103">
        <f t="shared" si="25"/>
        <v>90694.046000000002</v>
      </c>
      <c r="I118" s="103">
        <f t="shared" si="23"/>
        <v>90694.046000000002</v>
      </c>
      <c r="J118" s="103">
        <v>90585.031000000003</v>
      </c>
      <c r="K118" s="103">
        <f t="shared" si="28"/>
        <v>90585.031000000003</v>
      </c>
      <c r="L118" t="s">
        <v>15</v>
      </c>
      <c r="M118" t="str">
        <f t="shared" si="26"/>
        <v>N</v>
      </c>
      <c r="N118" t="s">
        <v>657</v>
      </c>
    </row>
    <row r="119" spans="1:14">
      <c r="A119" t="s">
        <v>387</v>
      </c>
      <c r="B119" s="299" t="s">
        <v>279</v>
      </c>
      <c r="C119" s="299" t="str">
        <f t="shared" si="33"/>
        <v>D.21-06-015</v>
      </c>
      <c r="D119" s="299" t="str">
        <f t="shared" si="20"/>
        <v>D.21-06-015</v>
      </c>
      <c r="E119" s="299" t="str">
        <f t="shared" si="27"/>
        <v>D.21-06-015</v>
      </c>
      <c r="F119" s="299" t="str">
        <f t="shared" si="16"/>
        <v>D.21-06-015</v>
      </c>
      <c r="G119" s="103">
        <v>-8000</v>
      </c>
      <c r="H119" s="103">
        <f t="shared" si="25"/>
        <v>-8000</v>
      </c>
      <c r="I119" s="103">
        <f t="shared" si="23"/>
        <v>-8000</v>
      </c>
      <c r="J119" s="103">
        <v>-4800</v>
      </c>
      <c r="K119" s="103">
        <f t="shared" si="28"/>
        <v>-4800</v>
      </c>
      <c r="L119" t="s">
        <v>15</v>
      </c>
      <c r="M119" t="str">
        <f t="shared" si="26"/>
        <v>N</v>
      </c>
      <c r="N119" t="s">
        <v>657</v>
      </c>
    </row>
    <row r="120" spans="1:14">
      <c r="A120" t="s">
        <v>96</v>
      </c>
      <c r="B120" s="299" t="s">
        <v>388</v>
      </c>
      <c r="C120" s="299" t="str">
        <f t="shared" si="33"/>
        <v>D.23-06-055/ AL 7047-E</v>
      </c>
      <c r="D120" s="299" t="str">
        <f t="shared" si="20"/>
        <v>D.23-06-055/ AL 7047-E</v>
      </c>
      <c r="E120" s="299" t="str">
        <f t="shared" si="27"/>
        <v>D.23-06-055/ AL 7047-E</v>
      </c>
      <c r="F120" s="299" t="str">
        <f t="shared" si="16"/>
        <v>D.23-06-055/ AL 7047-E</v>
      </c>
      <c r="G120" s="103">
        <v>120736.87385986045</v>
      </c>
      <c r="H120" s="103">
        <f t="shared" si="25"/>
        <v>120736.87385986045</v>
      </c>
      <c r="I120" s="103">
        <f t="shared" si="23"/>
        <v>120736.87385986045</v>
      </c>
      <c r="J120" s="103">
        <v>120736.87385986045</v>
      </c>
      <c r="K120" s="103">
        <f t="shared" si="28"/>
        <v>120736.87385986045</v>
      </c>
      <c r="L120" t="s">
        <v>15</v>
      </c>
      <c r="M120" t="str">
        <f t="shared" si="26"/>
        <v>N</v>
      </c>
      <c r="N120" t="s">
        <v>657</v>
      </c>
    </row>
    <row r="121" spans="1:14">
      <c r="A121" t="s">
        <v>95</v>
      </c>
      <c r="B121" s="299" t="s">
        <v>388</v>
      </c>
      <c r="C121" s="299" t="str">
        <f t="shared" si="33"/>
        <v>D.23-06-055/ AL 7047-E</v>
      </c>
      <c r="D121" s="299" t="str">
        <f t="shared" si="20"/>
        <v>D.23-06-055/ AL 7047-E</v>
      </c>
      <c r="E121" s="299" t="str">
        <f t="shared" si="27"/>
        <v>D.23-06-055/ AL 7047-E</v>
      </c>
      <c r="F121" s="299" t="str">
        <f t="shared" si="16"/>
        <v>D.23-06-055/ AL 7047-E</v>
      </c>
      <c r="G121" s="103">
        <v>80748.492843931701</v>
      </c>
      <c r="H121" s="103">
        <f t="shared" si="25"/>
        <v>80748.492843931701</v>
      </c>
      <c r="I121" s="103">
        <f t="shared" si="23"/>
        <v>80748.492843931701</v>
      </c>
      <c r="J121" s="103">
        <v>73514.257494181598</v>
      </c>
      <c r="K121" s="103">
        <f t="shared" si="28"/>
        <v>73514.257494181598</v>
      </c>
      <c r="L121" t="s">
        <v>15</v>
      </c>
      <c r="M121" t="str">
        <f t="shared" si="26"/>
        <v>N</v>
      </c>
      <c r="N121" t="s">
        <v>657</v>
      </c>
    </row>
    <row r="122" spans="1:14">
      <c r="A122" t="s">
        <v>102</v>
      </c>
      <c r="B122" s="299" t="s">
        <v>122</v>
      </c>
      <c r="C122" s="299" t="str">
        <f t="shared" si="33"/>
        <v>Preliminary Statement  EF</v>
      </c>
      <c r="D122" s="299" t="str">
        <f t="shared" si="20"/>
        <v>Preliminary Statement  EF</v>
      </c>
      <c r="E122" s="299" t="str">
        <f t="shared" si="27"/>
        <v>Preliminary Statement  EF</v>
      </c>
      <c r="F122" s="299" t="str">
        <f t="shared" si="16"/>
        <v>Preliminary Statement  EF</v>
      </c>
      <c r="G122" s="103">
        <v>-9535.0830968026366</v>
      </c>
      <c r="H122" s="103">
        <f t="shared" si="25"/>
        <v>-9535.0830968026366</v>
      </c>
      <c r="I122" s="103">
        <f t="shared" si="23"/>
        <v>-9535.0830968026366</v>
      </c>
      <c r="J122" s="103">
        <v>6898.7013575816954</v>
      </c>
      <c r="K122" s="103">
        <f t="shared" si="28"/>
        <v>6898.7013575816954</v>
      </c>
      <c r="L122" t="s">
        <v>15</v>
      </c>
      <c r="M122" t="str">
        <f t="shared" si="26"/>
        <v>Y</v>
      </c>
      <c r="N122" t="s">
        <v>657</v>
      </c>
    </row>
    <row r="123" spans="1:14">
      <c r="A123" s="299" t="s">
        <v>308</v>
      </c>
      <c r="B123" s="299" t="s">
        <v>482</v>
      </c>
      <c r="C123" s="299" t="str">
        <f t="shared" si="33"/>
        <v>D.19-12-021 / Advice RI-CalMTA-3</v>
      </c>
      <c r="D123" s="299" t="str">
        <f t="shared" si="20"/>
        <v>D.19-12-021 / Advice RI-CalMTA-3</v>
      </c>
      <c r="E123" s="299" t="str">
        <f t="shared" si="27"/>
        <v>D.19-12-021 / Advice RI-CalMTA-3</v>
      </c>
      <c r="F123" s="299" t="str">
        <f t="shared" si="16"/>
        <v>D.19-12-021 / Advice RI-CalMTA-3</v>
      </c>
      <c r="G123" s="103">
        <v>7223.7226880000017</v>
      </c>
      <c r="H123" s="103">
        <f t="shared" si="25"/>
        <v>7223.7226880000017</v>
      </c>
      <c r="I123" s="103">
        <f t="shared" si="23"/>
        <v>7223.7226880000017</v>
      </c>
      <c r="J123" s="103">
        <v>9611.7630000000008</v>
      </c>
      <c r="K123" s="103">
        <f t="shared" si="28"/>
        <v>9611.7630000000008</v>
      </c>
      <c r="L123" t="s">
        <v>15</v>
      </c>
      <c r="M123" t="str">
        <f t="shared" si="26"/>
        <v>N</v>
      </c>
      <c r="N123" t="s">
        <v>657</v>
      </c>
    </row>
    <row r="124" spans="1:14">
      <c r="A124" s="299" t="s">
        <v>82</v>
      </c>
      <c r="B124" s="299" t="s">
        <v>404</v>
      </c>
      <c r="C124" s="299" t="str">
        <f t="shared" si="33"/>
        <v>n/a</v>
      </c>
      <c r="D124" s="299" t="str">
        <f t="shared" si="20"/>
        <v>n/a</v>
      </c>
      <c r="E124" s="299" t="str">
        <f t="shared" si="27"/>
        <v>n/a</v>
      </c>
      <c r="F124" s="299" t="str">
        <f t="shared" si="16"/>
        <v>n/a</v>
      </c>
      <c r="G124" s="103">
        <v>0</v>
      </c>
      <c r="H124" s="103">
        <f t="shared" si="25"/>
        <v>0</v>
      </c>
      <c r="I124" s="103">
        <f t="shared" si="23"/>
        <v>0</v>
      </c>
      <c r="J124" s="103">
        <f t="shared" si="23"/>
        <v>0</v>
      </c>
      <c r="K124" s="103">
        <f t="shared" si="28"/>
        <v>0</v>
      </c>
      <c r="L124" t="s">
        <v>5</v>
      </c>
      <c r="M124" t="str">
        <f t="shared" si="26"/>
        <v>N</v>
      </c>
      <c r="N124" t="s">
        <v>657</v>
      </c>
    </row>
    <row r="125" spans="1:14">
      <c r="A125" t="s">
        <v>77</v>
      </c>
      <c r="B125" s="299" t="s">
        <v>404</v>
      </c>
      <c r="C125" s="299" t="str">
        <f t="shared" si="33"/>
        <v>n/a</v>
      </c>
      <c r="D125" s="299" t="str">
        <f t="shared" si="20"/>
        <v>n/a</v>
      </c>
      <c r="E125" s="299" t="str">
        <f t="shared" si="27"/>
        <v>n/a</v>
      </c>
      <c r="F125" s="299" t="str">
        <f t="shared" si="16"/>
        <v>n/a</v>
      </c>
      <c r="G125" s="103">
        <v>0</v>
      </c>
      <c r="H125" s="103">
        <f t="shared" si="25"/>
        <v>0</v>
      </c>
      <c r="I125" s="103">
        <f t="shared" ref="I125:I126" si="34">H125</f>
        <v>0</v>
      </c>
      <c r="J125" s="103">
        <f t="shared" ref="J125:J126" si="35">I125</f>
        <v>0</v>
      </c>
      <c r="K125" s="103">
        <f t="shared" si="28"/>
        <v>0</v>
      </c>
      <c r="L125" t="s">
        <v>5</v>
      </c>
      <c r="M125" t="str">
        <f t="shared" si="26"/>
        <v>N</v>
      </c>
      <c r="N125" t="s">
        <v>657</v>
      </c>
    </row>
    <row r="126" spans="1:14">
      <c r="A126" t="s">
        <v>215</v>
      </c>
      <c r="B126" s="299" t="s">
        <v>404</v>
      </c>
      <c r="C126" s="299" t="str">
        <f t="shared" si="33"/>
        <v>n/a</v>
      </c>
      <c r="D126" s="299" t="str">
        <f t="shared" si="20"/>
        <v>n/a</v>
      </c>
      <c r="E126" s="299" t="str">
        <f t="shared" si="27"/>
        <v>n/a</v>
      </c>
      <c r="F126" s="299" t="str">
        <f t="shared" si="16"/>
        <v>n/a</v>
      </c>
      <c r="G126" s="103">
        <v>0</v>
      </c>
      <c r="H126" s="103">
        <f t="shared" si="25"/>
        <v>0</v>
      </c>
      <c r="I126" s="103">
        <f t="shared" si="34"/>
        <v>0</v>
      </c>
      <c r="J126" s="103">
        <f t="shared" si="35"/>
        <v>0</v>
      </c>
      <c r="K126" s="103">
        <f t="shared" si="28"/>
        <v>0</v>
      </c>
      <c r="L126" t="s">
        <v>15</v>
      </c>
      <c r="M126" t="str">
        <f t="shared" si="26"/>
        <v>N</v>
      </c>
      <c r="N126" t="s">
        <v>657</v>
      </c>
    </row>
    <row r="127" spans="1:14">
      <c r="A127" s="299" t="s">
        <v>79</v>
      </c>
      <c r="B127" s="299" t="s">
        <v>494</v>
      </c>
      <c r="C127" s="299" t="str">
        <f t="shared" si="33"/>
        <v>D.24-12-038</v>
      </c>
      <c r="D127" s="299" t="str">
        <f t="shared" si="20"/>
        <v>D.24-12-038</v>
      </c>
      <c r="E127" s="299" t="str">
        <f t="shared" si="27"/>
        <v>D.24-12-038</v>
      </c>
      <c r="F127" s="299" t="str">
        <f t="shared" si="16"/>
        <v>D.24-12-038</v>
      </c>
      <c r="G127" s="103">
        <v>35334.052496252858</v>
      </c>
      <c r="H127" s="103">
        <f t="shared" si="25"/>
        <v>35334.052496252858</v>
      </c>
      <c r="I127" s="103">
        <f t="shared" si="23"/>
        <v>35334.052496252858</v>
      </c>
      <c r="J127" s="103">
        <v>34390.797931619658</v>
      </c>
      <c r="K127" s="103">
        <f t="shared" si="28"/>
        <v>34390.797931619658</v>
      </c>
      <c r="L127" t="s">
        <v>15</v>
      </c>
      <c r="M127" t="str">
        <f t="shared" si="26"/>
        <v>N</v>
      </c>
      <c r="N127" t="s">
        <v>657</v>
      </c>
    </row>
    <row r="128" spans="1:14">
      <c r="A128" s="299" t="s">
        <v>213</v>
      </c>
      <c r="B128" s="299" t="s">
        <v>494</v>
      </c>
      <c r="C128" s="299" t="str">
        <f t="shared" si="33"/>
        <v>D.24-12-038</v>
      </c>
      <c r="D128" s="299" t="str">
        <f t="shared" si="20"/>
        <v>D.24-12-038</v>
      </c>
      <c r="E128" s="299" t="str">
        <f t="shared" si="27"/>
        <v>D.24-12-038</v>
      </c>
      <c r="F128" s="299" t="str">
        <f t="shared" si="16"/>
        <v>D.24-12-038</v>
      </c>
      <c r="G128" s="103">
        <v>11673.648148556433</v>
      </c>
      <c r="H128" s="103">
        <f t="shared" si="25"/>
        <v>11673.648148556433</v>
      </c>
      <c r="I128" s="103">
        <f t="shared" si="23"/>
        <v>11673.648148556433</v>
      </c>
      <c r="J128" s="103">
        <v>8140.3204639321075</v>
      </c>
      <c r="K128" s="103">
        <f t="shared" si="28"/>
        <v>8140.3204639321075</v>
      </c>
      <c r="L128" t="s">
        <v>15</v>
      </c>
      <c r="M128" t="str">
        <f t="shared" si="26"/>
        <v>Y</v>
      </c>
      <c r="N128" t="s">
        <v>139</v>
      </c>
    </row>
    <row r="129" spans="1:16">
      <c r="A129" s="299" t="s">
        <v>391</v>
      </c>
      <c r="B129" s="299" t="s">
        <v>483</v>
      </c>
      <c r="C129" s="299" t="str">
        <f t="shared" si="33"/>
        <v>Electric Preliminary Statement Part EO</v>
      </c>
      <c r="D129" s="299" t="str">
        <f t="shared" si="20"/>
        <v>Electric Preliminary Statement Part EO</v>
      </c>
      <c r="E129" s="299" t="str">
        <f t="shared" si="27"/>
        <v>Electric Preliminary Statement Part EO</v>
      </c>
      <c r="F129" s="299" t="str">
        <f t="shared" si="16"/>
        <v>Electric Preliminary Statement Part EO</v>
      </c>
      <c r="G129" s="103">
        <v>-9.3181304332000003</v>
      </c>
      <c r="H129" s="103">
        <f t="shared" si="25"/>
        <v>-9.3181304332000003</v>
      </c>
      <c r="I129" s="103">
        <f t="shared" si="23"/>
        <v>-9.3181304332000003</v>
      </c>
      <c r="J129" s="103">
        <v>0</v>
      </c>
      <c r="K129" s="103">
        <f t="shared" si="28"/>
        <v>0</v>
      </c>
      <c r="L129" t="s">
        <v>15</v>
      </c>
      <c r="M129" t="str">
        <f t="shared" ref="M129:M146" si="36">IF(RIGHT(A129,1)="*","Y","N")</f>
        <v>Y</v>
      </c>
      <c r="N129" t="s">
        <v>657</v>
      </c>
    </row>
    <row r="130" spans="1:16">
      <c r="A130" s="301" t="s">
        <v>392</v>
      </c>
      <c r="B130" s="299" t="s">
        <v>402</v>
      </c>
      <c r="C130" s="299" t="str">
        <f t="shared" si="33"/>
        <v>Electric Preliminary Statement Part JM</v>
      </c>
      <c r="D130" s="299" t="str">
        <f t="shared" si="20"/>
        <v>Electric Preliminary Statement Part JM</v>
      </c>
      <c r="E130" s="299" t="str">
        <f t="shared" si="27"/>
        <v>Electric Preliminary Statement Part JM</v>
      </c>
      <c r="F130" s="299" t="str">
        <f t="shared" si="16"/>
        <v>Electric Preliminary Statement Part JM</v>
      </c>
      <c r="G130" s="103">
        <v>3954.6354430379315</v>
      </c>
      <c r="H130" s="103">
        <f t="shared" si="25"/>
        <v>3954.6354430379315</v>
      </c>
      <c r="I130" s="103">
        <f t="shared" si="23"/>
        <v>3954.6354430379315</v>
      </c>
      <c r="J130" s="103">
        <v>5038.3572143643687</v>
      </c>
      <c r="K130" s="103">
        <f t="shared" si="28"/>
        <v>5038.3572143643687</v>
      </c>
      <c r="L130" t="s">
        <v>15</v>
      </c>
      <c r="M130" t="str">
        <f t="shared" si="36"/>
        <v>Y</v>
      </c>
      <c r="N130" t="s">
        <v>139</v>
      </c>
    </row>
    <row r="131" spans="1:16">
      <c r="A131" s="301" t="s">
        <v>285</v>
      </c>
      <c r="B131" s="299" t="s">
        <v>403</v>
      </c>
      <c r="C131" s="299" t="str">
        <f t="shared" si="33"/>
        <v>Electric Preliminary Statement Part IM</v>
      </c>
      <c r="D131" s="299" t="str">
        <f t="shared" si="20"/>
        <v>Electric Preliminary Statement Part IM</v>
      </c>
      <c r="E131" s="299" t="str">
        <f t="shared" si="27"/>
        <v>Electric Preliminary Statement Part IM</v>
      </c>
      <c r="F131" s="299" t="str">
        <f t="shared" si="16"/>
        <v>Electric Preliminary Statement Part IM</v>
      </c>
      <c r="G131" s="103">
        <v>182850.99519907762</v>
      </c>
      <c r="H131" s="103">
        <f t="shared" si="25"/>
        <v>182850.99519907762</v>
      </c>
      <c r="I131" s="103">
        <f t="shared" si="23"/>
        <v>182850.99519907762</v>
      </c>
      <c r="J131" s="103">
        <v>186141.29456637547</v>
      </c>
      <c r="K131" s="103">
        <f t="shared" si="28"/>
        <v>186141.29456637547</v>
      </c>
      <c r="L131" t="s">
        <v>15</v>
      </c>
      <c r="M131" t="str">
        <f t="shared" si="36"/>
        <v>Y</v>
      </c>
      <c r="N131" t="s">
        <v>139</v>
      </c>
    </row>
    <row r="132" spans="1:16">
      <c r="A132" s="301" t="s">
        <v>280</v>
      </c>
      <c r="B132" s="299" t="s">
        <v>494</v>
      </c>
      <c r="C132" s="299" t="str">
        <f t="shared" si="33"/>
        <v>D.24-12-038</v>
      </c>
      <c r="D132" s="299" t="str">
        <f t="shared" si="20"/>
        <v>D.24-12-038</v>
      </c>
      <c r="E132" s="299" t="str">
        <f t="shared" si="27"/>
        <v>D.24-12-038</v>
      </c>
      <c r="F132" s="299" t="str">
        <f t="shared" si="16"/>
        <v>D.24-12-038</v>
      </c>
      <c r="G132" s="103">
        <v>3567.3432714293558</v>
      </c>
      <c r="H132" s="103">
        <f t="shared" si="25"/>
        <v>3567.3432714293558</v>
      </c>
      <c r="I132" s="103">
        <f t="shared" si="23"/>
        <v>3567.3432714293558</v>
      </c>
      <c r="J132" s="103">
        <v>10171.05098444241</v>
      </c>
      <c r="K132" s="103">
        <f t="shared" si="28"/>
        <v>10171.05098444241</v>
      </c>
      <c r="L132" t="s">
        <v>15</v>
      </c>
      <c r="M132" t="str">
        <f t="shared" si="36"/>
        <v>N</v>
      </c>
      <c r="N132" t="s">
        <v>657</v>
      </c>
    </row>
    <row r="133" spans="1:16">
      <c r="A133" s="301" t="s">
        <v>281</v>
      </c>
      <c r="B133" s="299" t="s">
        <v>400</v>
      </c>
      <c r="C133" s="299" t="str">
        <f t="shared" si="33"/>
        <v>Electric Preliminary Statement Part IJ</v>
      </c>
      <c r="D133" s="299" t="str">
        <f t="shared" si="20"/>
        <v>Electric Preliminary Statement Part IJ</v>
      </c>
      <c r="E133" s="299" t="str">
        <f t="shared" si="27"/>
        <v>Electric Preliminary Statement Part IJ</v>
      </c>
      <c r="F133" s="299" t="str">
        <f t="shared" si="27"/>
        <v>Electric Preliminary Statement Part IJ</v>
      </c>
      <c r="G133" s="103">
        <v>-7539.0974332761898</v>
      </c>
      <c r="H133" s="103">
        <f t="shared" si="25"/>
        <v>-7539.0974332761898</v>
      </c>
      <c r="I133" s="103">
        <f t="shared" si="23"/>
        <v>-7539.0974332761898</v>
      </c>
      <c r="J133" s="103">
        <v>3311.6008551349269</v>
      </c>
      <c r="K133" s="103">
        <f t="shared" si="28"/>
        <v>3311.6008551349269</v>
      </c>
      <c r="L133" t="s">
        <v>15</v>
      </c>
      <c r="M133" t="str">
        <f t="shared" si="36"/>
        <v>Y</v>
      </c>
      <c r="N133" t="s">
        <v>657</v>
      </c>
    </row>
    <row r="134" spans="1:16">
      <c r="A134" s="301" t="s">
        <v>282</v>
      </c>
      <c r="B134" s="299" t="s">
        <v>494</v>
      </c>
      <c r="C134" s="299" t="str">
        <f t="shared" si="33"/>
        <v>D.24-12-038</v>
      </c>
      <c r="D134" s="299" t="str">
        <f t="shared" si="20"/>
        <v>D.24-12-038</v>
      </c>
      <c r="E134" s="299" t="str">
        <f t="shared" si="27"/>
        <v>D.24-12-038</v>
      </c>
      <c r="F134" s="299" t="str">
        <f t="shared" si="27"/>
        <v>D.24-12-038</v>
      </c>
      <c r="G134" s="103">
        <v>-1476.3266710935602</v>
      </c>
      <c r="H134" s="103">
        <f t="shared" si="25"/>
        <v>-1476.3266710935602</v>
      </c>
      <c r="I134" s="103">
        <f t="shared" si="23"/>
        <v>-1476.3266710935602</v>
      </c>
      <c r="J134" s="103">
        <v>-1086.864128346406</v>
      </c>
      <c r="K134" s="103">
        <f t="shared" si="28"/>
        <v>-1086.864128346406</v>
      </c>
      <c r="L134" t="s">
        <v>15</v>
      </c>
      <c r="M134" t="str">
        <f t="shared" si="36"/>
        <v>N</v>
      </c>
      <c r="N134" t="s">
        <v>657</v>
      </c>
    </row>
    <row r="135" spans="1:16">
      <c r="A135" s="301" t="s">
        <v>304</v>
      </c>
      <c r="B135" s="299" t="s">
        <v>401</v>
      </c>
      <c r="C135" s="299" t="str">
        <f t="shared" si="33"/>
        <v>Electric Preliminary Statement Part HM</v>
      </c>
      <c r="D135" s="299" t="str">
        <f t="shared" si="20"/>
        <v>Electric Preliminary Statement Part HM</v>
      </c>
      <c r="E135" s="299" t="str">
        <f t="shared" si="27"/>
        <v>Electric Preliminary Statement Part HM</v>
      </c>
      <c r="F135" s="299" t="str">
        <f t="shared" si="27"/>
        <v>Electric Preliminary Statement Part HM</v>
      </c>
      <c r="G135" s="103">
        <v>-552.31704325409123</v>
      </c>
      <c r="H135" s="103">
        <f t="shared" si="25"/>
        <v>-552.31704325409123</v>
      </c>
      <c r="I135" s="103">
        <f t="shared" si="23"/>
        <v>-552.31704325409123</v>
      </c>
      <c r="J135" s="103">
        <v>-7196.9375107461128</v>
      </c>
      <c r="K135" s="103">
        <f t="shared" si="28"/>
        <v>-7196.9375107461128</v>
      </c>
      <c r="L135" t="s">
        <v>15</v>
      </c>
      <c r="M135" t="str">
        <f t="shared" si="36"/>
        <v>Y</v>
      </c>
      <c r="N135" t="s">
        <v>657</v>
      </c>
    </row>
    <row r="136" spans="1:16">
      <c r="A136" s="301" t="s">
        <v>283</v>
      </c>
      <c r="B136" s="299" t="s">
        <v>494</v>
      </c>
      <c r="C136" s="299" t="str">
        <f t="shared" si="33"/>
        <v>D.24-12-038</v>
      </c>
      <c r="D136" s="299" t="str">
        <f t="shared" si="20"/>
        <v>D.24-12-038</v>
      </c>
      <c r="E136" s="299" t="str">
        <f t="shared" si="27"/>
        <v>D.24-12-038</v>
      </c>
      <c r="F136" s="299" t="str">
        <f t="shared" si="27"/>
        <v>D.24-12-038</v>
      </c>
      <c r="G136" s="103">
        <v>16260.33661</v>
      </c>
      <c r="H136" s="103">
        <f t="shared" si="25"/>
        <v>16260.33661</v>
      </c>
      <c r="I136" s="103">
        <f t="shared" si="23"/>
        <v>16260.33661</v>
      </c>
      <c r="J136" s="103">
        <v>16263.798784086401</v>
      </c>
      <c r="K136" s="103">
        <f t="shared" si="28"/>
        <v>16263.798784086401</v>
      </c>
      <c r="L136" t="s">
        <v>15</v>
      </c>
      <c r="M136" t="str">
        <f t="shared" si="36"/>
        <v>N</v>
      </c>
      <c r="N136" t="s">
        <v>657</v>
      </c>
    </row>
    <row r="137" spans="1:16">
      <c r="A137" s="301" t="s">
        <v>305</v>
      </c>
      <c r="B137" s="299" t="s">
        <v>313</v>
      </c>
      <c r="C137" s="299" t="str">
        <f t="shared" si="33"/>
        <v>Preliminary Statement  JH</v>
      </c>
      <c r="D137" s="299" t="str">
        <f t="shared" si="20"/>
        <v>Preliminary Statement  JH</v>
      </c>
      <c r="E137" s="299" t="str">
        <f t="shared" si="27"/>
        <v>Preliminary Statement  JH</v>
      </c>
      <c r="F137" s="299" t="str">
        <f t="shared" si="27"/>
        <v>Preliminary Statement  JH</v>
      </c>
      <c r="G137" s="103">
        <v>1665.9631875911125</v>
      </c>
      <c r="H137" s="103">
        <f t="shared" si="25"/>
        <v>1665.9631875911125</v>
      </c>
      <c r="I137" s="103">
        <f t="shared" si="23"/>
        <v>1665.9631875911125</v>
      </c>
      <c r="J137" s="103">
        <v>1329.0385142906982</v>
      </c>
      <c r="K137" s="103">
        <v>0</v>
      </c>
      <c r="L137" t="s">
        <v>15</v>
      </c>
      <c r="M137" t="str">
        <f t="shared" si="36"/>
        <v>Y</v>
      </c>
      <c r="N137" t="s">
        <v>139</v>
      </c>
    </row>
    <row r="138" spans="1:16">
      <c r="A138" s="299" t="s">
        <v>284</v>
      </c>
      <c r="B138" s="299" t="s">
        <v>404</v>
      </c>
      <c r="C138" s="299" t="str">
        <f t="shared" si="33"/>
        <v>n/a</v>
      </c>
      <c r="D138" s="299" t="str">
        <f t="shared" si="20"/>
        <v>n/a</v>
      </c>
      <c r="E138" s="299" t="str">
        <f t="shared" si="27"/>
        <v>n/a</v>
      </c>
      <c r="F138" s="299" t="str">
        <f t="shared" si="27"/>
        <v>n/a</v>
      </c>
      <c r="G138" s="103">
        <v>0</v>
      </c>
      <c r="H138" s="103">
        <f t="shared" si="25"/>
        <v>0</v>
      </c>
      <c r="I138" s="103">
        <f t="shared" si="23"/>
        <v>0</v>
      </c>
      <c r="J138" s="103">
        <f t="shared" si="23"/>
        <v>0</v>
      </c>
      <c r="K138" s="103">
        <f t="shared" si="28"/>
        <v>0</v>
      </c>
      <c r="L138" t="s">
        <v>656</v>
      </c>
      <c r="M138" t="str">
        <f t="shared" si="36"/>
        <v>N</v>
      </c>
      <c r="N138" t="s">
        <v>657</v>
      </c>
    </row>
    <row r="139" spans="1:16">
      <c r="A139" s="299" t="s">
        <v>286</v>
      </c>
      <c r="B139" s="299" t="s">
        <v>404</v>
      </c>
      <c r="C139" s="299" t="s">
        <v>404</v>
      </c>
      <c r="D139" s="299" t="str">
        <f t="shared" si="20"/>
        <v>n/a</v>
      </c>
      <c r="E139" s="299" t="str">
        <f t="shared" si="27"/>
        <v>n/a</v>
      </c>
      <c r="F139" s="299" t="str">
        <f t="shared" si="27"/>
        <v>n/a</v>
      </c>
      <c r="G139" s="103">
        <v>0</v>
      </c>
      <c r="H139" s="103">
        <f t="shared" si="25"/>
        <v>0</v>
      </c>
      <c r="I139" s="103">
        <f t="shared" ref="I139" si="37">H139</f>
        <v>0</v>
      </c>
      <c r="J139" s="103">
        <f t="shared" ref="J139" si="38">I139</f>
        <v>0</v>
      </c>
      <c r="K139" s="103">
        <f t="shared" si="28"/>
        <v>0</v>
      </c>
      <c r="L139" t="s">
        <v>15</v>
      </c>
      <c r="M139" t="str">
        <f t="shared" si="36"/>
        <v>N</v>
      </c>
      <c r="N139" t="s">
        <v>657</v>
      </c>
    </row>
    <row r="140" spans="1:16">
      <c r="A140" t="s">
        <v>503</v>
      </c>
      <c r="B140" t="s">
        <v>495</v>
      </c>
      <c r="C140" t="str">
        <f>B140</f>
        <v>D.24-12- 033</v>
      </c>
      <c r="D140" s="299" t="str">
        <f t="shared" si="20"/>
        <v>D.24-12- 033</v>
      </c>
      <c r="E140" s="299" t="str">
        <f t="shared" si="27"/>
        <v>D.24-12- 033</v>
      </c>
      <c r="F140" s="299" t="str">
        <f t="shared" si="27"/>
        <v>D.24-12- 033</v>
      </c>
      <c r="G140" s="103">
        <v>365364.52039999055</v>
      </c>
      <c r="H140" s="103">
        <f t="shared" si="25"/>
        <v>365364.52039999055</v>
      </c>
      <c r="I140" s="103">
        <f t="shared" si="23"/>
        <v>365364.52039999055</v>
      </c>
      <c r="J140" s="103">
        <v>239073.677</v>
      </c>
      <c r="K140" s="103">
        <f t="shared" si="28"/>
        <v>239073.677</v>
      </c>
      <c r="L140" t="s">
        <v>15</v>
      </c>
      <c r="M140" t="str">
        <f t="shared" si="36"/>
        <v>N</v>
      </c>
      <c r="N140" t="s">
        <v>657</v>
      </c>
    </row>
    <row r="141" spans="1:16">
      <c r="A141" t="s">
        <v>608</v>
      </c>
      <c r="B141" s="299" t="s">
        <v>404</v>
      </c>
      <c r="C141" s="299" t="s">
        <v>404</v>
      </c>
      <c r="D141" s="299" t="s">
        <v>404</v>
      </c>
      <c r="E141" s="299" t="s">
        <v>402</v>
      </c>
      <c r="F141" s="299" t="str">
        <f t="shared" ref="F141:F154" si="39">E141</f>
        <v>Electric Preliminary Statement Part JM</v>
      </c>
      <c r="G141" s="103">
        <v>0</v>
      </c>
      <c r="H141" s="103">
        <f t="shared" si="25"/>
        <v>0</v>
      </c>
      <c r="I141" s="103">
        <f t="shared" si="23"/>
        <v>0</v>
      </c>
      <c r="J141" s="103">
        <v>-5694.2134500000002</v>
      </c>
      <c r="K141" s="103">
        <f t="shared" si="28"/>
        <v>-5694.2134500000002</v>
      </c>
      <c r="L141" t="s">
        <v>15</v>
      </c>
      <c r="M141" t="str">
        <f t="shared" si="36"/>
        <v>Y</v>
      </c>
      <c r="N141" t="s">
        <v>657</v>
      </c>
      <c r="O141" s="122"/>
      <c r="P141" s="76"/>
    </row>
    <row r="142" spans="1:16">
      <c r="A142" s="299" t="s">
        <v>466</v>
      </c>
      <c r="B142" t="s">
        <v>476</v>
      </c>
      <c r="C142" t="str">
        <f>B142</f>
        <v>AL 7407-E</v>
      </c>
      <c r="D142" s="299" t="str">
        <f t="shared" si="20"/>
        <v>AL 7407-E</v>
      </c>
      <c r="E142" s="299" t="str">
        <f t="shared" si="27"/>
        <v>AL 7407-E</v>
      </c>
      <c r="F142" s="299" t="str">
        <f t="shared" si="39"/>
        <v>AL 7407-E</v>
      </c>
      <c r="G142" s="103">
        <v>-22374.489000000001</v>
      </c>
      <c r="H142" s="103">
        <f t="shared" ref="H142:H146" si="40">G142</f>
        <v>-22374.489000000001</v>
      </c>
      <c r="I142" s="103">
        <f t="shared" si="23"/>
        <v>-22374.489000000001</v>
      </c>
      <c r="J142" s="103">
        <v>0</v>
      </c>
      <c r="K142" s="103">
        <f t="shared" si="28"/>
        <v>0</v>
      </c>
      <c r="L142" t="s">
        <v>15</v>
      </c>
      <c r="M142" t="str">
        <f t="shared" si="36"/>
        <v>N</v>
      </c>
      <c r="N142" t="s">
        <v>657</v>
      </c>
    </row>
    <row r="143" spans="1:16">
      <c r="A143" s="299" t="s">
        <v>465</v>
      </c>
      <c r="B143" t="s">
        <v>477</v>
      </c>
      <c r="C143" t="str">
        <f>B143</f>
        <v>D.18-01-008</v>
      </c>
      <c r="D143" s="299" t="str">
        <f t="shared" si="20"/>
        <v>D.18-01-008</v>
      </c>
      <c r="E143" s="299" t="str">
        <f t="shared" si="27"/>
        <v>D.18-01-008</v>
      </c>
      <c r="F143" s="299" t="str">
        <f t="shared" si="39"/>
        <v>D.18-01-008</v>
      </c>
      <c r="G143" s="103">
        <v>-30507.544526242891</v>
      </c>
      <c r="H143" s="103">
        <f t="shared" si="40"/>
        <v>-30507.544526242891</v>
      </c>
      <c r="I143" s="103">
        <f t="shared" si="23"/>
        <v>-30507.544526242891</v>
      </c>
      <c r="J143" s="103">
        <v>-4230.9560000000001</v>
      </c>
      <c r="K143" s="103">
        <f t="shared" si="28"/>
        <v>-4230.9560000000001</v>
      </c>
      <c r="L143" t="s">
        <v>15</v>
      </c>
      <c r="M143" t="str">
        <f t="shared" si="36"/>
        <v>N</v>
      </c>
      <c r="N143" t="s">
        <v>657</v>
      </c>
    </row>
    <row r="144" spans="1:16">
      <c r="A144" s="299" t="s">
        <v>610</v>
      </c>
      <c r="B144" s="299" t="s">
        <v>404</v>
      </c>
      <c r="C144" s="299" t="s">
        <v>404</v>
      </c>
      <c r="D144" s="299" t="s">
        <v>404</v>
      </c>
      <c r="E144" s="299" t="s">
        <v>401</v>
      </c>
      <c r="F144" s="299" t="str">
        <f t="shared" si="39"/>
        <v>Electric Preliminary Statement Part HM</v>
      </c>
      <c r="G144" s="103">
        <v>0</v>
      </c>
      <c r="H144" s="103">
        <v>0</v>
      </c>
      <c r="I144" s="103">
        <v>0</v>
      </c>
      <c r="J144" s="103">
        <v>60350.504615815975</v>
      </c>
      <c r="K144" s="103">
        <v>61679.543130106671</v>
      </c>
      <c r="L144" t="s">
        <v>15</v>
      </c>
      <c r="M144" t="str">
        <f t="shared" si="36"/>
        <v>Y</v>
      </c>
      <c r="N144" t="s">
        <v>139</v>
      </c>
    </row>
    <row r="145" spans="1:15">
      <c r="A145" s="299" t="s">
        <v>609</v>
      </c>
      <c r="B145" s="299" t="s">
        <v>404</v>
      </c>
      <c r="C145" s="299" t="s">
        <v>404</v>
      </c>
      <c r="D145" s="299" t="s">
        <v>404</v>
      </c>
      <c r="E145" s="299" t="s">
        <v>620</v>
      </c>
      <c r="F145" s="299" t="str">
        <f t="shared" si="39"/>
        <v>D.23-05-006</v>
      </c>
      <c r="G145" s="103">
        <v>0</v>
      </c>
      <c r="H145" s="103">
        <v>0</v>
      </c>
      <c r="I145" s="103">
        <v>0</v>
      </c>
      <c r="J145" s="103">
        <v>541.50780096000005</v>
      </c>
      <c r="K145" s="103">
        <f t="shared" si="28"/>
        <v>541.50780096000005</v>
      </c>
      <c r="L145" t="s">
        <v>15</v>
      </c>
      <c r="M145" t="str">
        <f t="shared" si="36"/>
        <v>N</v>
      </c>
      <c r="N145" t="s">
        <v>657</v>
      </c>
    </row>
    <row r="146" spans="1:15">
      <c r="A146" s="299" t="s">
        <v>492</v>
      </c>
      <c r="B146" t="s">
        <v>478</v>
      </c>
      <c r="C146" t="str">
        <f>B146</f>
        <v>Electric Preliminary Statement Part JV</v>
      </c>
      <c r="D146" s="299" t="str">
        <f t="shared" si="20"/>
        <v>Electric Preliminary Statement Part JV</v>
      </c>
      <c r="E146" s="299" t="str">
        <f t="shared" si="27"/>
        <v>Electric Preliminary Statement Part JV</v>
      </c>
      <c r="F146" s="299" t="str">
        <f t="shared" si="39"/>
        <v>Electric Preliminary Statement Part JV</v>
      </c>
      <c r="G146" s="103">
        <v>104.44120369330369</v>
      </c>
      <c r="H146" s="103">
        <f t="shared" si="40"/>
        <v>104.44120369330369</v>
      </c>
      <c r="I146" s="103">
        <f t="shared" si="23"/>
        <v>104.44120369330369</v>
      </c>
      <c r="J146" s="103">
        <v>-549.58398152149107</v>
      </c>
      <c r="K146" s="103">
        <f t="shared" si="28"/>
        <v>-549.58398152149107</v>
      </c>
      <c r="L146" t="s">
        <v>15</v>
      </c>
      <c r="M146" t="str">
        <f t="shared" si="36"/>
        <v>Y</v>
      </c>
      <c r="N146" t="s">
        <v>657</v>
      </c>
    </row>
    <row r="147" spans="1:15">
      <c r="B147" s="299"/>
      <c r="C147" s="299"/>
      <c r="D147" s="299"/>
      <c r="E147" s="299"/>
      <c r="F147" s="299"/>
      <c r="G147" s="103"/>
      <c r="H147" s="103"/>
      <c r="I147" s="103">
        <f t="shared" si="23"/>
        <v>0</v>
      </c>
      <c r="J147" s="103"/>
      <c r="K147" s="103">
        <f t="shared" si="28"/>
        <v>0</v>
      </c>
    </row>
    <row r="148" spans="1:15">
      <c r="A148" s="12" t="s">
        <v>8</v>
      </c>
      <c r="B148" s="299"/>
      <c r="C148" s="299"/>
      <c r="D148" s="299"/>
      <c r="E148" s="299"/>
      <c r="F148" s="299"/>
      <c r="G148" s="307">
        <f>SUM(G97:G146)</f>
        <v>55140.038894065328</v>
      </c>
      <c r="H148" s="307">
        <f>SUM(H97:H146)</f>
        <v>55140.038894065328</v>
      </c>
      <c r="I148" s="307">
        <f>SUM(I97:I146)</f>
        <v>55140.038894065328</v>
      </c>
      <c r="J148" s="307">
        <f>SUM(J97:J147)</f>
        <v>552809.17901869467</v>
      </c>
      <c r="K148" s="307">
        <f>SUM(K97:K147)</f>
        <v>552809.17901869467</v>
      </c>
    </row>
    <row r="149" spans="1:15">
      <c r="B149" s="299"/>
      <c r="C149" s="299"/>
      <c r="D149" s="299"/>
      <c r="E149" s="299"/>
      <c r="F149" s="299"/>
      <c r="G149" s="103"/>
      <c r="H149" s="103"/>
      <c r="I149" s="103">
        <f t="shared" si="23"/>
        <v>0</v>
      </c>
      <c r="J149" s="103"/>
      <c r="K149" s="103">
        <f t="shared" si="28"/>
        <v>0</v>
      </c>
    </row>
    <row r="150" spans="1:15">
      <c r="A150" s="12" t="s">
        <v>9</v>
      </c>
      <c r="B150" s="299"/>
      <c r="C150" s="299"/>
      <c r="D150" s="299"/>
      <c r="E150" s="299"/>
      <c r="F150" s="299"/>
      <c r="G150" s="103"/>
      <c r="H150" s="103"/>
      <c r="I150" s="103">
        <f t="shared" si="23"/>
        <v>0</v>
      </c>
      <c r="J150" s="103"/>
      <c r="K150" s="103">
        <f t="shared" si="28"/>
        <v>0</v>
      </c>
    </row>
    <row r="151" spans="1:15">
      <c r="A151" t="s">
        <v>148</v>
      </c>
      <c r="B151" s="299" t="s">
        <v>409</v>
      </c>
      <c r="C151" s="299" t="str">
        <f>B151</f>
        <v>ER24-96-000</v>
      </c>
      <c r="D151" s="299" t="str">
        <f t="shared" ref="D151:D155" si="41">C151</f>
        <v>ER24-96-000</v>
      </c>
      <c r="E151" t="s">
        <v>639</v>
      </c>
      <c r="F151" t="s">
        <v>639</v>
      </c>
      <c r="G151" s="103">
        <v>2903023.3845576458</v>
      </c>
      <c r="H151" s="103">
        <f>G151</f>
        <v>2903023.3845576458</v>
      </c>
      <c r="I151" s="103">
        <f t="shared" si="23"/>
        <v>2903023.3845576458</v>
      </c>
      <c r="J151" s="103">
        <v>2580189.8596306657</v>
      </c>
      <c r="K151" s="103">
        <f t="shared" si="28"/>
        <v>2580189.8596306657</v>
      </c>
      <c r="L151" t="s">
        <v>10</v>
      </c>
      <c r="M151" t="str">
        <f>IF(RIGHT(A151,1)="*","Y","N")</f>
        <v>N</v>
      </c>
      <c r="N151" t="s">
        <v>657</v>
      </c>
    </row>
    <row r="152" spans="1:15">
      <c r="A152" t="s">
        <v>85</v>
      </c>
      <c r="B152" s="299" t="s">
        <v>408</v>
      </c>
      <c r="C152" s="299" t="str">
        <f>B152</f>
        <v>ER24-599-000</v>
      </c>
      <c r="D152" s="299" t="str">
        <f t="shared" si="41"/>
        <v>ER24-599-000</v>
      </c>
      <c r="E152" t="s">
        <v>638</v>
      </c>
      <c r="F152" s="299" t="str">
        <f>E152</f>
        <v xml:space="preserve">ER26-669-000 </v>
      </c>
      <c r="G152" s="103">
        <v>360149.10174242745</v>
      </c>
      <c r="H152" s="103">
        <v>585052.33827356366</v>
      </c>
      <c r="I152" s="103">
        <f t="shared" si="23"/>
        <v>585052.33827356366</v>
      </c>
      <c r="J152" s="103">
        <v>577533.37698518496</v>
      </c>
      <c r="K152" s="103">
        <v>680959.949882471</v>
      </c>
      <c r="L152" t="s">
        <v>134</v>
      </c>
      <c r="M152" t="str">
        <f>IF(RIGHT(A152,1)="*","Y","N")</f>
        <v>N</v>
      </c>
      <c r="N152" t="s">
        <v>657</v>
      </c>
    </row>
    <row r="153" spans="1:15">
      <c r="A153" t="s">
        <v>86</v>
      </c>
      <c r="B153" s="299" t="s">
        <v>410</v>
      </c>
      <c r="C153" s="299" t="str">
        <f>B153</f>
        <v>ER23-2968-000</v>
      </c>
      <c r="D153" s="299" t="str">
        <f t="shared" si="41"/>
        <v>ER23-2968-000</v>
      </c>
      <c r="E153" s="299" t="s">
        <v>619</v>
      </c>
      <c r="F153" s="299" t="str">
        <f t="shared" si="39"/>
        <v>ER25-3533-000</v>
      </c>
      <c r="G153" s="103">
        <v>-362428.52643699979</v>
      </c>
      <c r="H153" s="103">
        <f>G153</f>
        <v>-362428.52643699979</v>
      </c>
      <c r="I153" s="103">
        <f t="shared" ref="I153:I157" si="42">H153</f>
        <v>-362428.52643699979</v>
      </c>
      <c r="J153" s="103">
        <v>-309017.85885441065</v>
      </c>
      <c r="K153" s="103">
        <f t="shared" si="28"/>
        <v>-309017.85885441065</v>
      </c>
      <c r="L153" t="s">
        <v>134</v>
      </c>
      <c r="M153" t="str">
        <f>IF(RIGHT(A153,1)="*","Y","N")</f>
        <v>N</v>
      </c>
      <c r="N153" t="s">
        <v>657</v>
      </c>
    </row>
    <row r="154" spans="1:15">
      <c r="A154" t="s">
        <v>87</v>
      </c>
      <c r="B154" s="299" t="s">
        <v>410</v>
      </c>
      <c r="C154" s="299" t="str">
        <f>B154</f>
        <v>ER23-2968-000</v>
      </c>
      <c r="D154" s="299" t="str">
        <f t="shared" si="41"/>
        <v>ER23-2968-000</v>
      </c>
      <c r="E154" s="299" t="s">
        <v>619</v>
      </c>
      <c r="F154" s="299" t="str">
        <f t="shared" si="39"/>
        <v>ER25-3533-000</v>
      </c>
      <c r="G154" s="103">
        <v>18138.177452851731</v>
      </c>
      <c r="H154" s="103">
        <f>G154</f>
        <v>18138.177452851731</v>
      </c>
      <c r="I154" s="103">
        <f t="shared" si="42"/>
        <v>18138.177452851731</v>
      </c>
      <c r="J154" s="103">
        <v>7129.8890610076787</v>
      </c>
      <c r="K154" s="103">
        <f t="shared" si="28"/>
        <v>7129.8890610076787</v>
      </c>
      <c r="L154" t="s">
        <v>134</v>
      </c>
      <c r="M154" t="str">
        <f>IF(RIGHT(A154,1)="*","Y","N")</f>
        <v>N</v>
      </c>
      <c r="N154" t="s">
        <v>657</v>
      </c>
    </row>
    <row r="155" spans="1:15">
      <c r="A155" t="s">
        <v>88</v>
      </c>
      <c r="B155" s="299" t="s">
        <v>410</v>
      </c>
      <c r="C155" s="299" t="str">
        <f>B155</f>
        <v>ER23-2968-000</v>
      </c>
      <c r="D155" s="299" t="str">
        <f t="shared" si="41"/>
        <v>ER23-2968-000</v>
      </c>
      <c r="E155" s="299" t="s">
        <v>619</v>
      </c>
      <c r="F155" s="299" t="str">
        <f>E155</f>
        <v>ER25-3533-000</v>
      </c>
      <c r="G155" s="103">
        <v>-852305.91485261393</v>
      </c>
      <c r="H155" s="103">
        <f>G155</f>
        <v>-852305.91485261393</v>
      </c>
      <c r="I155" s="103">
        <f t="shared" si="42"/>
        <v>-852305.91485261393</v>
      </c>
      <c r="J155" s="103">
        <v>-23740.594208925868</v>
      </c>
      <c r="K155" s="103">
        <f t="shared" si="28"/>
        <v>-23740.594208925868</v>
      </c>
      <c r="L155" t="s">
        <v>134</v>
      </c>
      <c r="M155" t="str">
        <f>IF(RIGHT(A155,1)="*","Y","N")</f>
        <v>N</v>
      </c>
      <c r="N155" t="s">
        <v>657</v>
      </c>
    </row>
    <row r="156" spans="1:15">
      <c r="A156" s="12" t="s">
        <v>11</v>
      </c>
      <c r="G156" s="151">
        <f t="shared" ref="G156:K156" si="43">SUM(G151:G155)</f>
        <v>2066576.2224633107</v>
      </c>
      <c r="H156" s="151">
        <f t="shared" si="43"/>
        <v>2291479.4589944468</v>
      </c>
      <c r="I156" s="151">
        <f t="shared" si="43"/>
        <v>2291479.4589944468</v>
      </c>
      <c r="J156" s="151">
        <f t="shared" si="43"/>
        <v>2832094.6726135216</v>
      </c>
      <c r="K156" s="151">
        <f t="shared" si="43"/>
        <v>2935521.2455108077</v>
      </c>
    </row>
    <row r="157" spans="1:15">
      <c r="G157" s="307"/>
      <c r="H157" s="307"/>
      <c r="I157" s="103">
        <f t="shared" si="42"/>
        <v>0</v>
      </c>
      <c r="J157" s="103"/>
      <c r="K157" s="103"/>
      <c r="O157" s="309"/>
    </row>
    <row r="158" spans="1:15" ht="15" thickBot="1">
      <c r="A158" s="12" t="s">
        <v>53</v>
      </c>
      <c r="G158" s="308">
        <f>G94+G148+G156</f>
        <v>19285921.880354639</v>
      </c>
      <c r="H158" s="308">
        <f>H94+H148+H156</f>
        <v>19670607.087141689</v>
      </c>
      <c r="I158" s="308">
        <f>I94+I148+I156</f>
        <v>19079592.832648318</v>
      </c>
      <c r="J158" s="308">
        <f>J94+J148+J156</f>
        <v>20456646.448797707</v>
      </c>
      <c r="K158" s="308">
        <f>K94+K148+K156</f>
        <v>20085486.222601481</v>
      </c>
      <c r="L158" s="300"/>
      <c r="M158" s="311"/>
    </row>
    <row r="159" spans="1:15" ht="15" thickTop="1">
      <c r="G159" s="103">
        <v>19285921.735167537</v>
      </c>
      <c r="H159" s="103">
        <v>19670606.94195459</v>
      </c>
      <c r="I159" s="103">
        <v>19079592.687461212</v>
      </c>
      <c r="J159" s="103">
        <v>20456646.448797714</v>
      </c>
      <c r="K159" s="103">
        <v>20085486.222601481</v>
      </c>
      <c r="L159" s="300"/>
    </row>
    <row r="160" spans="1:15">
      <c r="G160" s="103">
        <f t="shared" ref="G160:K160" si="44">G158-G159</f>
        <v>0.14518710225820541</v>
      </c>
      <c r="H160" s="103">
        <f t="shared" si="44"/>
        <v>0.14518709853291512</v>
      </c>
      <c r="I160" s="103">
        <f t="shared" si="44"/>
        <v>0.14518710598349571</v>
      </c>
      <c r="J160" s="103">
        <f t="shared" si="44"/>
        <v>0</v>
      </c>
      <c r="K160" s="103">
        <f t="shared" si="44"/>
        <v>0</v>
      </c>
      <c r="L160" s="311"/>
      <c r="M160" s="311"/>
    </row>
    <row r="161" spans="1:12">
      <c r="G161" s="103"/>
      <c r="H161" s="103"/>
      <c r="I161" s="103"/>
      <c r="J161" s="103"/>
      <c r="K161" s="103"/>
    </row>
    <row r="162" spans="1:12">
      <c r="G162" s="157"/>
      <c r="H162" s="103"/>
      <c r="I162" s="103"/>
      <c r="J162" s="103"/>
      <c r="K162" s="103"/>
    </row>
    <row r="163" spans="1:12">
      <c r="G163" s="312"/>
      <c r="H163" s="103"/>
      <c r="I163" s="103"/>
      <c r="J163" s="103"/>
      <c r="K163" s="103"/>
    </row>
    <row r="164" spans="1:12">
      <c r="A164" t="s">
        <v>61</v>
      </c>
      <c r="G164" s="103"/>
      <c r="H164" s="157"/>
      <c r="I164" s="157"/>
      <c r="J164" s="157"/>
      <c r="K164" s="157"/>
    </row>
    <row r="165" spans="1:12">
      <c r="A165" t="s">
        <v>455</v>
      </c>
      <c r="G165" s="312"/>
    </row>
    <row r="166" spans="1:12">
      <c r="A166" s="302" t="s">
        <v>499</v>
      </c>
      <c r="G166" s="313"/>
    </row>
    <row r="167" spans="1:12">
      <c r="A167" t="s">
        <v>556</v>
      </c>
      <c r="G167" s="313"/>
      <c r="L167" s="304"/>
    </row>
    <row r="168" spans="1:12">
      <c r="A168" t="s">
        <v>632</v>
      </c>
    </row>
    <row r="169" spans="1:12">
      <c r="A169" t="s">
        <v>647</v>
      </c>
    </row>
    <row r="170" spans="1:12">
      <c r="G170" s="314"/>
    </row>
  </sheetData>
  <autoFilter ref="A7:N160" xr:uid="{58C69D28-87E3-445F-89CF-C3F304F54B9A}"/>
  <phoneticPr fontId="34" type="noConversion"/>
  <pageMargins left="0.7" right="0.7" top="0.75" bottom="0.75" header="0.3" footer="0.3"/>
  <pageSetup orientation="portrait" horizontalDpi="1200" verticalDpi="1200" r:id="rId1"/>
  <headerFooter>
    <oddHeader>&amp;R&amp;F</oddHeader>
    <oddFooter xml:space="preserve">&amp;C_x000D_&amp;1#&amp;"Aptos"&amp;12&amp;K000000 Public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F7DA5-8F2A-447A-9B23-06CD6D8B0E1D}">
  <sheetPr codeName="Sheet2">
    <pageSetUpPr autoPageBreaks="0"/>
  </sheetPr>
  <dimension ref="B2:AD254"/>
  <sheetViews>
    <sheetView tabSelected="1" topLeftCell="A92" zoomScaleNormal="100" workbookViewId="0"/>
  </sheetViews>
  <sheetFormatPr defaultColWidth="9.1796875" defaultRowHeight="14.5"/>
  <cols>
    <col min="2" max="2" width="48.7265625" customWidth="1"/>
    <col min="3" max="3" width="35.7265625" customWidth="1"/>
    <col min="4" max="4" width="58.26953125" customWidth="1"/>
    <col min="5" max="5" width="14.81640625" style="303" customWidth="1"/>
    <col min="6" max="6" width="23" customWidth="1"/>
    <col min="7" max="7" width="15.7265625" customWidth="1"/>
    <col min="8" max="8" width="16.26953125" bestFit="1" customWidth="1"/>
    <col min="9" max="9" width="15.453125" bestFit="1" customWidth="1"/>
    <col min="10" max="10" width="15.453125" customWidth="1"/>
    <col min="11" max="11" width="15.453125" style="300" customWidth="1"/>
    <col min="12" max="12" width="13.81640625" customWidth="1"/>
    <col min="13" max="13" width="26.26953125" customWidth="1"/>
    <col min="14" max="14" width="13" bestFit="1" customWidth="1"/>
    <col min="15" max="15" width="27.7265625" customWidth="1"/>
    <col min="16" max="16" width="17.7265625" customWidth="1"/>
    <col min="18" max="18" width="22.1796875" bestFit="1" customWidth="1"/>
    <col min="19" max="19" width="17.26953125" customWidth="1"/>
    <col min="20" max="20" width="18.81640625" bestFit="1" customWidth="1"/>
    <col min="21" max="21" width="14.7265625" customWidth="1"/>
    <col min="22" max="22" width="13.81640625" customWidth="1"/>
    <col min="23" max="23" width="13.7265625" customWidth="1"/>
    <col min="24" max="24" width="25.453125" customWidth="1"/>
    <col min="25" max="25" width="15.453125" customWidth="1"/>
    <col min="30" max="30" width="11.54296875" bestFit="1" customWidth="1"/>
  </cols>
  <sheetData>
    <row r="2" spans="2:24">
      <c r="B2" t="str">
        <f>'Authorized Rev Req'!A2</f>
        <v>Annual Period 2026</v>
      </c>
      <c r="C2" s="320"/>
    </row>
    <row r="3" spans="2:24">
      <c r="B3" t="str">
        <f>'Authorized Rev Req'!A3</f>
        <v>Reporting Date: June 1, 2026</v>
      </c>
      <c r="C3" s="320"/>
      <c r="F3" s="306"/>
      <c r="G3" s="306"/>
      <c r="H3" s="306"/>
    </row>
    <row r="4" spans="2:24">
      <c r="C4" s="320"/>
      <c r="D4" s="299"/>
      <c r="G4" s="306"/>
    </row>
    <row r="5" spans="2:24">
      <c r="B5" s="12" t="s">
        <v>58</v>
      </c>
      <c r="C5" s="321">
        <f>'Authorized Rev Req'!K158</f>
        <v>20085486.222601481</v>
      </c>
      <c r="G5" s="309"/>
    </row>
    <row r="6" spans="2:24">
      <c r="B6" s="12" t="s">
        <v>149</v>
      </c>
      <c r="C6" s="321" t="str">
        <f>'Authorized Rev Req'!F5</f>
        <v>March 1, 2026</v>
      </c>
      <c r="I6" s="306"/>
    </row>
    <row r="7" spans="2:24" ht="32.25" customHeight="1">
      <c r="B7" s="531" t="s">
        <v>56</v>
      </c>
      <c r="C7" s="531"/>
      <c r="D7" s="531"/>
      <c r="E7" s="531"/>
      <c r="F7" s="531"/>
      <c r="G7" s="531"/>
      <c r="H7" s="531"/>
      <c r="I7" s="531"/>
      <c r="J7" s="531"/>
      <c r="K7" s="531"/>
    </row>
    <row r="8" spans="2:24" ht="71.25" customHeight="1">
      <c r="B8" s="322" t="s">
        <v>0</v>
      </c>
      <c r="C8" s="322" t="s">
        <v>442</v>
      </c>
      <c r="D8" s="323" t="s">
        <v>4</v>
      </c>
      <c r="E8" s="324" t="s">
        <v>605</v>
      </c>
      <c r="F8" s="323" t="s">
        <v>1</v>
      </c>
      <c r="G8" s="322"/>
      <c r="H8" s="322"/>
      <c r="I8" s="322"/>
      <c r="J8" s="322"/>
      <c r="K8" s="323" t="s">
        <v>59</v>
      </c>
      <c r="R8" s="325" t="s">
        <v>169</v>
      </c>
      <c r="S8" s="325"/>
    </row>
    <row r="9" spans="2:24">
      <c r="B9" s="12" t="s">
        <v>2</v>
      </c>
      <c r="G9">
        <v>2026</v>
      </c>
      <c r="H9">
        <f>G9+1</f>
        <v>2027</v>
      </c>
      <c r="I9">
        <f>H9+1</f>
        <v>2028</v>
      </c>
      <c r="J9">
        <f>I9+1</f>
        <v>2029</v>
      </c>
      <c r="S9" s="13">
        <f>G9</f>
        <v>2026</v>
      </c>
      <c r="T9" s="13">
        <f>H9</f>
        <v>2027</v>
      </c>
      <c r="U9" s="13">
        <f>I9</f>
        <v>2028</v>
      </c>
      <c r="V9" s="13">
        <f>J9</f>
        <v>2029</v>
      </c>
      <c r="W9" s="13"/>
    </row>
    <row r="10" spans="2:24">
      <c r="B10" t="s">
        <v>146</v>
      </c>
      <c r="D10" s="318" t="s">
        <v>370</v>
      </c>
      <c r="E10" s="318">
        <f>'Authorized Rev Req'!K9</f>
        <v>7264014.529740354</v>
      </c>
      <c r="F10" t="s">
        <v>5</v>
      </c>
      <c r="G10" s="76">
        <f>E10</f>
        <v>7264014.529740354</v>
      </c>
      <c r="H10" s="76">
        <v>7261785.4086342882</v>
      </c>
      <c r="I10" s="76">
        <f t="shared" ref="I10:J12" si="0">H10</f>
        <v>7261785.4086342882</v>
      </c>
      <c r="J10" s="76">
        <f t="shared" si="0"/>
        <v>7261785.4086342882</v>
      </c>
      <c r="K10" s="300" t="s">
        <v>126</v>
      </c>
      <c r="R10" t="s">
        <v>3</v>
      </c>
      <c r="S10" s="76">
        <f t="shared" ref="S10:S23" si="1">SUMIF($F$10:$F$93,$R10,G$10:G$93)</f>
        <v>3075727.8217516071</v>
      </c>
      <c r="T10" s="76">
        <f t="shared" ref="T10:T23" si="2">SUMIF($F$10:$F$93,$R10,H$10:H$93)</f>
        <v>3075727.8217516071</v>
      </c>
      <c r="U10" s="76">
        <f t="shared" ref="U10:U23" si="3">SUMIF($F$10:$F$93,$R10,I$10:I$93)</f>
        <v>3075727.8217516071</v>
      </c>
      <c r="V10" s="76">
        <f t="shared" ref="V10:V23" si="4">SUMIF($F$10:$F$93,$R10,J$10:J$93)</f>
        <v>3075727.8217516071</v>
      </c>
      <c r="W10" s="76"/>
      <c r="X10" s="76"/>
    </row>
    <row r="11" spans="2:24">
      <c r="B11" t="s">
        <v>298</v>
      </c>
      <c r="D11" s="318" t="s">
        <v>370</v>
      </c>
      <c r="E11" s="318">
        <f>'Authorized Rev Req'!K10</f>
        <v>1182071.4236695445</v>
      </c>
      <c r="F11" t="s">
        <v>292</v>
      </c>
      <c r="G11" s="76">
        <f t="shared" ref="G11:G25" si="5">E11</f>
        <v>1182071.4236695445</v>
      </c>
      <c r="H11" s="76">
        <f>G11</f>
        <v>1182071.4236695445</v>
      </c>
      <c r="I11" s="76">
        <f t="shared" si="0"/>
        <v>1182071.4236695445</v>
      </c>
      <c r="J11" s="76">
        <f t="shared" si="0"/>
        <v>1182071.4236695445</v>
      </c>
      <c r="K11" s="300" t="s">
        <v>126</v>
      </c>
      <c r="R11" s="301" t="s">
        <v>14</v>
      </c>
      <c r="S11" s="76">
        <f t="shared" si="1"/>
        <v>431130.2253517076</v>
      </c>
      <c r="T11" s="76">
        <f t="shared" si="2"/>
        <v>244371.67766520652</v>
      </c>
      <c r="U11" s="76">
        <f t="shared" si="3"/>
        <v>244371.67766520652</v>
      </c>
      <c r="V11" s="76">
        <f t="shared" si="4"/>
        <v>244371.67766520652</v>
      </c>
      <c r="W11" s="76"/>
      <c r="X11" s="76"/>
    </row>
    <row r="12" spans="2:24">
      <c r="B12" t="s">
        <v>146</v>
      </c>
      <c r="D12" s="318" t="s">
        <v>370</v>
      </c>
      <c r="E12" s="318">
        <f>'Authorized Rev Req'!K15</f>
        <v>1203523.6645707237</v>
      </c>
      <c r="F12" t="s">
        <v>207</v>
      </c>
      <c r="G12" s="76">
        <f>E12</f>
        <v>1203523.6645707237</v>
      </c>
      <c r="H12" s="76">
        <v>1205677.1825411695</v>
      </c>
      <c r="I12" s="76">
        <f t="shared" si="0"/>
        <v>1205677.1825411695</v>
      </c>
      <c r="J12" s="76">
        <f t="shared" si="0"/>
        <v>1205677.1825411695</v>
      </c>
      <c r="K12" s="300" t="s">
        <v>126</v>
      </c>
      <c r="R12" t="s">
        <v>5</v>
      </c>
      <c r="S12" s="76">
        <f t="shared" si="1"/>
        <v>9542526.8965199254</v>
      </c>
      <c r="T12" s="76">
        <f t="shared" si="2"/>
        <v>8240515.1307082707</v>
      </c>
      <c r="U12" s="76">
        <f t="shared" si="3"/>
        <v>8275899.2031662753</v>
      </c>
      <c r="V12" s="76">
        <f t="shared" si="4"/>
        <v>8275899.2031662753</v>
      </c>
      <c r="W12" s="76"/>
      <c r="X12" s="76"/>
    </row>
    <row r="13" spans="2:24">
      <c r="B13" t="s">
        <v>371</v>
      </c>
      <c r="D13" s="318" t="s">
        <v>370</v>
      </c>
      <c r="E13" s="318">
        <f>'Authorized Rev Req'!K12</f>
        <v>0</v>
      </c>
      <c r="F13" t="s">
        <v>5</v>
      </c>
      <c r="G13" s="76">
        <f t="shared" si="5"/>
        <v>0</v>
      </c>
      <c r="H13" s="76">
        <v>0</v>
      </c>
      <c r="I13" s="76">
        <v>0</v>
      </c>
      <c r="J13" s="76">
        <v>0</v>
      </c>
      <c r="K13" s="300" t="s">
        <v>125</v>
      </c>
      <c r="R13" t="s">
        <v>129</v>
      </c>
      <c r="S13" s="76">
        <f t="shared" si="1"/>
        <v>-475276.50099999999</v>
      </c>
      <c r="T13" s="76">
        <f t="shared" si="2"/>
        <v>-475276.50099999999</v>
      </c>
      <c r="U13" s="76">
        <f t="shared" si="3"/>
        <v>-475276.50099999999</v>
      </c>
      <c r="V13" s="76">
        <f t="shared" si="4"/>
        <v>-475276.50099999999</v>
      </c>
      <c r="W13" s="76"/>
      <c r="X13" s="76"/>
    </row>
    <row r="14" spans="2:24">
      <c r="B14" t="s">
        <v>371</v>
      </c>
      <c r="D14" s="318" t="s">
        <v>370</v>
      </c>
      <c r="E14" s="318">
        <f>'Authorized Rev Req'!K16</f>
        <v>0</v>
      </c>
      <c r="F14" t="s">
        <v>207</v>
      </c>
      <c r="G14" s="76">
        <f t="shared" si="5"/>
        <v>0</v>
      </c>
      <c r="H14" s="76">
        <v>0</v>
      </c>
      <c r="I14" s="76">
        <v>0</v>
      </c>
      <c r="J14" s="76">
        <v>0</v>
      </c>
      <c r="K14" s="300" t="s">
        <v>125</v>
      </c>
      <c r="R14" t="s">
        <v>66</v>
      </c>
      <c r="S14" s="76">
        <f t="shared" si="1"/>
        <v>19992.065902402835</v>
      </c>
      <c r="T14" s="76">
        <f t="shared" si="2"/>
        <v>-3377.8111523794842</v>
      </c>
      <c r="U14" s="76">
        <f t="shared" si="3"/>
        <v>-3377.8111523794842</v>
      </c>
      <c r="V14" s="76">
        <f t="shared" si="4"/>
        <v>-3377.8111523794842</v>
      </c>
      <c r="W14" s="76"/>
      <c r="X14" s="76"/>
    </row>
    <row r="15" spans="2:24">
      <c r="B15" s="301"/>
      <c r="D15" s="318"/>
      <c r="E15" s="318"/>
      <c r="G15" s="306"/>
      <c r="H15" s="306"/>
      <c r="I15" s="306"/>
      <c r="J15" s="306"/>
      <c r="L15" s="306"/>
      <c r="R15" t="s">
        <v>16</v>
      </c>
      <c r="S15" s="76">
        <f t="shared" si="1"/>
        <v>-1604.9394941091518</v>
      </c>
      <c r="T15" s="76">
        <f t="shared" si="2"/>
        <v>0</v>
      </c>
      <c r="U15" s="76">
        <f t="shared" si="3"/>
        <v>0</v>
      </c>
      <c r="V15" s="76">
        <f t="shared" si="4"/>
        <v>0</v>
      </c>
      <c r="W15" s="76"/>
      <c r="X15" s="76"/>
    </row>
    <row r="16" spans="2:24">
      <c r="B16" t="s">
        <v>65</v>
      </c>
      <c r="D16" s="318" t="s">
        <v>689</v>
      </c>
      <c r="E16" s="306">
        <f>'Authorized Rev Req'!K17</f>
        <v>81329.474154799551</v>
      </c>
      <c r="F16" t="s">
        <v>5</v>
      </c>
      <c r="G16" s="76">
        <v>90996.273686291315</v>
      </c>
      <c r="H16" s="306">
        <f t="shared" ref="H16:J17" si="6">G16</f>
        <v>90996.273686291315</v>
      </c>
      <c r="I16" s="306">
        <f t="shared" si="6"/>
        <v>90996.273686291315</v>
      </c>
      <c r="J16" s="306">
        <f t="shared" si="6"/>
        <v>90996.273686291315</v>
      </c>
      <c r="K16" s="300" t="s">
        <v>126</v>
      </c>
      <c r="R16" t="s">
        <v>15</v>
      </c>
      <c r="S16" s="76">
        <f t="shared" si="1"/>
        <v>758806.47798339988</v>
      </c>
      <c r="T16" s="76">
        <f t="shared" si="2"/>
        <v>953956.01701154048</v>
      </c>
      <c r="U16" s="76">
        <f t="shared" si="3"/>
        <v>928080.45522745408</v>
      </c>
      <c r="V16" s="76">
        <f t="shared" si="4"/>
        <v>928080.45522745408</v>
      </c>
      <c r="W16" s="76"/>
      <c r="X16" s="76"/>
    </row>
    <row r="17" spans="2:24">
      <c r="B17" t="s">
        <v>65</v>
      </c>
      <c r="D17" s="318" t="s">
        <v>689</v>
      </c>
      <c r="E17" s="306">
        <f>'Authorized Rev Req'!K19</f>
        <v>30252.385753378665</v>
      </c>
      <c r="F17" t="s">
        <v>207</v>
      </c>
      <c r="G17" s="76">
        <v>17475.908778625577</v>
      </c>
      <c r="H17" s="306">
        <f>G17</f>
        <v>17475.908778625577</v>
      </c>
      <c r="I17" s="306">
        <f t="shared" si="6"/>
        <v>17475.908778625577</v>
      </c>
      <c r="J17" s="306">
        <f t="shared" si="6"/>
        <v>17475.908778625577</v>
      </c>
      <c r="K17" s="300" t="s">
        <v>126</v>
      </c>
      <c r="R17" t="s">
        <v>656</v>
      </c>
      <c r="S17" s="76">
        <f t="shared" si="1"/>
        <v>401830.0859770244</v>
      </c>
      <c r="T17" s="76">
        <f t="shared" si="2"/>
        <v>401830.0859770244</v>
      </c>
      <c r="U17" s="76">
        <f t="shared" si="3"/>
        <v>401830.0859770244</v>
      </c>
      <c r="V17" s="76">
        <f t="shared" si="4"/>
        <v>401830.0859770244</v>
      </c>
      <c r="W17" s="76"/>
      <c r="X17" s="76"/>
    </row>
    <row r="18" spans="2:24">
      <c r="B18" t="s">
        <v>369</v>
      </c>
      <c r="D18" s="318" t="s">
        <v>370</v>
      </c>
      <c r="E18" s="318">
        <f>'Authorized Rev Req'!K13</f>
        <v>0</v>
      </c>
      <c r="F18" t="s">
        <v>5</v>
      </c>
      <c r="G18" s="76">
        <f>E18</f>
        <v>0</v>
      </c>
      <c r="H18" s="76">
        <v>0</v>
      </c>
      <c r="I18" s="76">
        <v>0</v>
      </c>
      <c r="J18" s="76">
        <v>0</v>
      </c>
      <c r="K18" s="300" t="s">
        <v>125</v>
      </c>
      <c r="R18" s="301" t="s">
        <v>127</v>
      </c>
      <c r="S18" s="76">
        <f t="shared" si="1"/>
        <v>1685.3200572805854</v>
      </c>
      <c r="T18" s="76">
        <f t="shared" si="2"/>
        <v>0</v>
      </c>
      <c r="U18" s="76">
        <f t="shared" si="3"/>
        <v>0</v>
      </c>
      <c r="V18" s="76">
        <f t="shared" si="4"/>
        <v>0</v>
      </c>
      <c r="W18" s="76"/>
      <c r="X18" s="76"/>
    </row>
    <row r="19" spans="2:24">
      <c r="B19" t="s">
        <v>70</v>
      </c>
      <c r="D19" s="318" t="s">
        <v>370</v>
      </c>
      <c r="E19" s="318">
        <f>'Authorized Rev Req'!K20</f>
        <v>0</v>
      </c>
      <c r="F19" t="s">
        <v>207</v>
      </c>
      <c r="G19" s="76">
        <f t="shared" si="5"/>
        <v>0</v>
      </c>
      <c r="H19" s="76">
        <f t="shared" ref="H19:I21" si="7">G19</f>
        <v>0</v>
      </c>
      <c r="I19" s="76">
        <f t="shared" si="7"/>
        <v>0</v>
      </c>
      <c r="J19" s="76">
        <f>I19</f>
        <v>0</v>
      </c>
      <c r="K19" s="300" t="s">
        <v>126</v>
      </c>
      <c r="R19" t="s">
        <v>10</v>
      </c>
      <c r="S19" s="76">
        <f t="shared" si="1"/>
        <v>2580189.8596306657</v>
      </c>
      <c r="T19" s="76">
        <f t="shared" si="2"/>
        <v>2580189.8596306657</v>
      </c>
      <c r="U19" s="76">
        <f t="shared" si="3"/>
        <v>2580189.8596306657</v>
      </c>
      <c r="V19" s="76">
        <f t="shared" si="4"/>
        <v>2580189.8596306657</v>
      </c>
      <c r="W19" s="76"/>
      <c r="X19" s="76"/>
    </row>
    <row r="20" spans="2:24">
      <c r="B20" t="s">
        <v>366</v>
      </c>
      <c r="D20" s="318" t="s">
        <v>396</v>
      </c>
      <c r="E20" s="318">
        <f>'Authorized Rev Req'!K21</f>
        <v>3072849.9094557511</v>
      </c>
      <c r="F20" t="s">
        <v>3</v>
      </c>
      <c r="G20" s="76">
        <f t="shared" si="5"/>
        <v>3072849.9094557511</v>
      </c>
      <c r="H20" s="76">
        <f t="shared" si="7"/>
        <v>3072849.9094557511</v>
      </c>
      <c r="I20" s="76">
        <f t="shared" si="7"/>
        <v>3072849.9094557511</v>
      </c>
      <c r="J20" s="76">
        <f>I20</f>
        <v>3072849.9094557511</v>
      </c>
      <c r="K20" s="300" t="s">
        <v>126</v>
      </c>
      <c r="R20" t="s">
        <v>134</v>
      </c>
      <c r="S20" s="76">
        <f t="shared" si="1"/>
        <v>355331.38588014222</v>
      </c>
      <c r="T20" s="76">
        <f t="shared" si="2"/>
        <v>379071.98008906806</v>
      </c>
      <c r="U20" s="76">
        <f t="shared" si="3"/>
        <v>379071.98008906806</v>
      </c>
      <c r="V20" s="76">
        <f t="shared" si="4"/>
        <v>379071.98008906806</v>
      </c>
      <c r="W20" s="76"/>
      <c r="X20" s="76"/>
    </row>
    <row r="21" spans="2:24">
      <c r="B21" t="s">
        <v>366</v>
      </c>
      <c r="D21" s="318" t="s">
        <v>396</v>
      </c>
      <c r="E21" s="318">
        <f>'Authorized Rev Req'!K22</f>
        <v>-685483.59337892663</v>
      </c>
      <c r="F21" t="s">
        <v>207</v>
      </c>
      <c r="G21" s="76">
        <f t="shared" si="5"/>
        <v>-685483.59337892663</v>
      </c>
      <c r="H21" s="76">
        <f t="shared" si="7"/>
        <v>-685483.59337892663</v>
      </c>
      <c r="I21" s="76">
        <f t="shared" si="7"/>
        <v>-685483.59337892663</v>
      </c>
      <c r="J21" s="76">
        <f>I21</f>
        <v>-685483.59337892663</v>
      </c>
      <c r="K21" s="300" t="s">
        <v>126</v>
      </c>
      <c r="R21" t="s">
        <v>207</v>
      </c>
      <c r="S21" s="76">
        <f t="shared" si="1"/>
        <v>1288469.063650345</v>
      </c>
      <c r="T21" s="76">
        <f t="shared" si="2"/>
        <v>519343.89434057078</v>
      </c>
      <c r="U21" s="76">
        <f t="shared" si="3"/>
        <v>534737.66737388854</v>
      </c>
      <c r="V21" s="76">
        <f t="shared" si="4"/>
        <v>534737.66737388854</v>
      </c>
      <c r="W21" s="76"/>
      <c r="X21" s="76"/>
    </row>
    <row r="22" spans="2:24">
      <c r="B22" t="s">
        <v>367</v>
      </c>
      <c r="D22" s="318" t="s">
        <v>396</v>
      </c>
      <c r="E22" s="318">
        <f>'Authorized Rev Req'!K28</f>
        <v>-3377.8111523794842</v>
      </c>
      <c r="F22" t="s">
        <v>66</v>
      </c>
      <c r="G22" s="76">
        <f t="shared" si="5"/>
        <v>-3377.8111523794842</v>
      </c>
      <c r="H22" s="76">
        <f t="shared" ref="H22:I23" si="8">G22</f>
        <v>-3377.8111523794842</v>
      </c>
      <c r="I22" s="76">
        <f t="shared" si="8"/>
        <v>-3377.8111523794842</v>
      </c>
      <c r="J22" s="76">
        <f>I22</f>
        <v>-3377.8111523794842</v>
      </c>
      <c r="K22" s="300" t="s">
        <v>126</v>
      </c>
      <c r="R22" t="s">
        <v>275</v>
      </c>
      <c r="S22" s="76">
        <f t="shared" si="1"/>
        <v>223582.8734707309</v>
      </c>
      <c r="T22" s="76">
        <f t="shared" si="2"/>
        <v>223582.8734707309</v>
      </c>
      <c r="U22" s="76">
        <f t="shared" si="3"/>
        <v>223582.8734707309</v>
      </c>
      <c r="V22" s="76">
        <f t="shared" si="4"/>
        <v>223582.8734707309</v>
      </c>
      <c r="W22" s="76"/>
      <c r="X22" s="76"/>
    </row>
    <row r="23" spans="2:24">
      <c r="B23" t="s">
        <v>106</v>
      </c>
      <c r="D23" s="318" t="s">
        <v>396</v>
      </c>
      <c r="E23" s="318">
        <f>'Authorized Rev Req'!K30</f>
        <v>244371.67766520652</v>
      </c>
      <c r="F23" t="s">
        <v>14</v>
      </c>
      <c r="G23" s="76">
        <f t="shared" si="5"/>
        <v>244371.67766520652</v>
      </c>
      <c r="H23" s="76">
        <f t="shared" si="8"/>
        <v>244371.67766520652</v>
      </c>
      <c r="I23" s="76">
        <f t="shared" si="8"/>
        <v>244371.67766520652</v>
      </c>
      <c r="J23" s="76">
        <f>I23</f>
        <v>244371.67766520652</v>
      </c>
      <c r="K23" s="300" t="s">
        <v>126</v>
      </c>
      <c r="R23" t="s">
        <v>292</v>
      </c>
      <c r="S23" s="76">
        <f t="shared" si="1"/>
        <v>1710924.6690438676</v>
      </c>
      <c r="T23" s="76">
        <f t="shared" si="2"/>
        <v>969958.63810862589</v>
      </c>
      <c r="U23" s="76">
        <f t="shared" si="3"/>
        <v>1228947.638108626</v>
      </c>
      <c r="V23" s="76">
        <f t="shared" si="4"/>
        <v>1228947.638108626</v>
      </c>
      <c r="X23" s="76"/>
    </row>
    <row r="24" spans="2:24">
      <c r="B24" t="s">
        <v>68</v>
      </c>
      <c r="D24" s="318" t="s">
        <v>277</v>
      </c>
      <c r="E24" s="318">
        <f>'Authorized Rev Req'!K38</f>
        <v>0</v>
      </c>
      <c r="F24" t="s">
        <v>16</v>
      </c>
      <c r="G24" s="76">
        <f t="shared" si="5"/>
        <v>0</v>
      </c>
      <c r="H24" s="76">
        <v>0</v>
      </c>
      <c r="I24" s="76">
        <v>0</v>
      </c>
      <c r="J24" s="76">
        <v>0</v>
      </c>
      <c r="K24" s="300" t="s">
        <v>126</v>
      </c>
      <c r="Q24" s="326"/>
      <c r="R24" t="s">
        <v>132</v>
      </c>
      <c r="S24" s="327">
        <f>SUM(S10:S23)</f>
        <v>19913315.304724991</v>
      </c>
      <c r="T24" s="327">
        <f>SUM(T10:T23)</f>
        <v>17109893.666600931</v>
      </c>
      <c r="U24" s="327">
        <f>SUM(U10:U23)</f>
        <v>17393784.950308166</v>
      </c>
      <c r="V24" s="327">
        <f>SUM(V10:V23)</f>
        <v>17393784.950308166</v>
      </c>
      <c r="W24" s="306"/>
    </row>
    <row r="25" spans="2:24" ht="16.5" customHeight="1">
      <c r="B25" t="s">
        <v>68</v>
      </c>
      <c r="D25" s="318" t="s">
        <v>277</v>
      </c>
      <c r="E25" s="318">
        <f>'Authorized Rev Req'!K39</f>
        <v>0</v>
      </c>
      <c r="F25" t="s">
        <v>207</v>
      </c>
      <c r="G25" s="76">
        <f t="shared" si="5"/>
        <v>0</v>
      </c>
      <c r="H25" s="76">
        <v>0</v>
      </c>
      <c r="I25" s="76">
        <v>0</v>
      </c>
      <c r="J25" s="76">
        <v>0</v>
      </c>
      <c r="K25" s="300" t="s">
        <v>126</v>
      </c>
      <c r="R25" s="328"/>
      <c r="T25" s="306"/>
      <c r="U25" s="306"/>
      <c r="V25" s="306"/>
    </row>
    <row r="26" spans="2:24" ht="14.25" customHeight="1">
      <c r="B26" t="s">
        <v>67</v>
      </c>
      <c r="D26" s="318" t="s">
        <v>449</v>
      </c>
      <c r="E26" s="318">
        <f>'Authorized Rev Req'!K33</f>
        <v>112764.45348588808</v>
      </c>
      <c r="F26" t="s">
        <v>5</v>
      </c>
      <c r="G26" s="76">
        <f>E26</f>
        <v>112764.45348588808</v>
      </c>
      <c r="H26" s="76">
        <v>-27277.375507990251</v>
      </c>
      <c r="I26" s="76">
        <f>H26</f>
        <v>-27277.375507990251</v>
      </c>
      <c r="J26" s="76">
        <f>I26</f>
        <v>-27277.375507990251</v>
      </c>
      <c r="K26" s="300" t="s">
        <v>126</v>
      </c>
      <c r="R26" s="328"/>
      <c r="U26" s="306"/>
      <c r="V26" s="306"/>
    </row>
    <row r="27" spans="2:24">
      <c r="B27" t="s">
        <v>67</v>
      </c>
      <c r="D27" s="318" t="s">
        <v>449</v>
      </c>
      <c r="E27" s="318">
        <f>'Authorized Rev Req'!K34</f>
        <v>13265.78796677478</v>
      </c>
      <c r="F27" t="s">
        <v>207</v>
      </c>
      <c r="G27" s="76">
        <f>E27</f>
        <v>13265.78796677478</v>
      </c>
      <c r="H27" s="76">
        <v>-3586.3856093897089</v>
      </c>
      <c r="I27" s="76">
        <f t="shared" ref="I27:J27" si="9">H27</f>
        <v>-3586.3856093897089</v>
      </c>
      <c r="J27" s="76">
        <f t="shared" si="9"/>
        <v>-3586.3856093897089</v>
      </c>
      <c r="K27" s="300" t="s">
        <v>126</v>
      </c>
      <c r="L27" s="306"/>
      <c r="S27" s="76"/>
      <c r="T27" s="328"/>
      <c r="W27" s="306"/>
    </row>
    <row r="28" spans="2:24">
      <c r="B28" t="s">
        <v>372</v>
      </c>
      <c r="D28" s="318" t="s">
        <v>381</v>
      </c>
      <c r="E28" s="318">
        <f>'Authorized Rev Req'!K44</f>
        <v>401830.0859770244</v>
      </c>
      <c r="F28" t="s">
        <v>656</v>
      </c>
      <c r="G28" s="74">
        <f>E28</f>
        <v>401830.0859770244</v>
      </c>
      <c r="H28" s="74">
        <f t="shared" ref="H28:J29" si="10">G28</f>
        <v>401830.0859770244</v>
      </c>
      <c r="I28" s="74">
        <f t="shared" si="10"/>
        <v>401830.0859770244</v>
      </c>
      <c r="J28" s="76">
        <f t="shared" si="10"/>
        <v>401830.0859770244</v>
      </c>
      <c r="K28" s="300" t="s">
        <v>126</v>
      </c>
      <c r="S28" s="76"/>
      <c r="T28" s="328"/>
    </row>
    <row r="29" spans="2:24">
      <c r="B29" t="s">
        <v>84</v>
      </c>
      <c r="D29" s="318" t="s">
        <v>152</v>
      </c>
      <c r="E29" s="318">
        <f>'Authorized Rev Req'!K45</f>
        <v>2877.9122958559456</v>
      </c>
      <c r="F29" t="s">
        <v>3</v>
      </c>
      <c r="G29" s="74">
        <f>E29</f>
        <v>2877.9122958559456</v>
      </c>
      <c r="H29" s="74">
        <f t="shared" si="10"/>
        <v>2877.9122958559456</v>
      </c>
      <c r="I29" s="74">
        <f t="shared" si="10"/>
        <v>2877.9122958559456</v>
      </c>
      <c r="J29" s="76">
        <f t="shared" si="10"/>
        <v>2877.9122958559456</v>
      </c>
      <c r="K29" s="300" t="s">
        <v>126</v>
      </c>
      <c r="T29" s="306"/>
      <c r="U29" s="306"/>
    </row>
    <row r="30" spans="2:24">
      <c r="B30" t="s">
        <v>299</v>
      </c>
      <c r="D30" s="318" t="s">
        <v>615</v>
      </c>
      <c r="E30" s="318">
        <f>'Authorized Rev Req'!K52</f>
        <v>46451.843589221164</v>
      </c>
      <c r="F30" t="s">
        <v>275</v>
      </c>
      <c r="G30" s="74">
        <f t="shared" ref="G30:G34" si="11">E30</f>
        <v>46451.843589221164</v>
      </c>
      <c r="H30" s="153">
        <f>G30</f>
        <v>46451.843589221164</v>
      </c>
      <c r="I30" s="153">
        <f>H30</f>
        <v>46451.843589221164</v>
      </c>
      <c r="J30" s="99">
        <f>I30</f>
        <v>46451.843589221164</v>
      </c>
      <c r="K30" s="300" t="s">
        <v>126</v>
      </c>
      <c r="T30" s="306"/>
      <c r="U30" s="306"/>
    </row>
    <row r="31" spans="2:24">
      <c r="B31" t="s">
        <v>299</v>
      </c>
      <c r="D31" s="318" t="s">
        <v>615</v>
      </c>
      <c r="E31" s="318">
        <f>'Authorized Rev Req'!K53</f>
        <v>632.17442000000005</v>
      </c>
      <c r="F31" t="s">
        <v>292</v>
      </c>
      <c r="G31" s="153">
        <f t="shared" si="11"/>
        <v>632.17442000000005</v>
      </c>
      <c r="H31" s="74">
        <f t="shared" ref="H31:I33" si="12">G31</f>
        <v>632.17442000000005</v>
      </c>
      <c r="I31" s="74">
        <f t="shared" si="12"/>
        <v>632.17442000000005</v>
      </c>
      <c r="J31" s="99">
        <f>I31</f>
        <v>632.17442000000005</v>
      </c>
      <c r="K31" s="300" t="s">
        <v>126</v>
      </c>
      <c r="T31" s="306"/>
      <c r="U31" s="306"/>
    </row>
    <row r="32" spans="2:24">
      <c r="B32" t="s">
        <v>300</v>
      </c>
      <c r="D32" s="318" t="s">
        <v>616</v>
      </c>
      <c r="E32" s="318">
        <f>'Authorized Rev Req'!K54</f>
        <v>75991.608848547883</v>
      </c>
      <c r="F32" t="s">
        <v>275</v>
      </c>
      <c r="G32" s="74">
        <f t="shared" si="11"/>
        <v>75991.608848547883</v>
      </c>
      <c r="H32" s="74">
        <f t="shared" si="12"/>
        <v>75991.608848547883</v>
      </c>
      <c r="I32" s="74">
        <f t="shared" si="12"/>
        <v>75991.608848547883</v>
      </c>
      <c r="J32" s="99">
        <f>I32</f>
        <v>75991.608848547883</v>
      </c>
      <c r="K32" s="300" t="s">
        <v>126</v>
      </c>
      <c r="L32" s="76"/>
      <c r="M32" s="76"/>
      <c r="O32" s="76"/>
      <c r="P32" s="329"/>
    </row>
    <row r="33" spans="2:16">
      <c r="B33" t="s">
        <v>300</v>
      </c>
      <c r="D33" s="318" t="s">
        <v>616</v>
      </c>
      <c r="E33" s="318">
        <f>'Authorized Rev Req'!K55</f>
        <v>-405.22582</v>
      </c>
      <c r="F33" t="s">
        <v>292</v>
      </c>
      <c r="G33" s="74">
        <f t="shared" si="11"/>
        <v>-405.22582</v>
      </c>
      <c r="H33" s="74">
        <f t="shared" si="12"/>
        <v>-405.22582</v>
      </c>
      <c r="I33" s="74">
        <f t="shared" si="12"/>
        <v>-405.22582</v>
      </c>
      <c r="J33" s="99">
        <f>I33</f>
        <v>-405.22582</v>
      </c>
      <c r="K33" s="300" t="s">
        <v>126</v>
      </c>
      <c r="L33" s="76"/>
      <c r="M33" s="76"/>
      <c r="O33" s="72"/>
      <c r="P33" s="329"/>
    </row>
    <row r="34" spans="2:16">
      <c r="B34" t="s">
        <v>352</v>
      </c>
      <c r="D34" s="318" t="s">
        <v>617</v>
      </c>
      <c r="E34" s="76">
        <f>'Authorized Rev Req'!K56</f>
        <v>101139.42103296188</v>
      </c>
      <c r="F34" t="s">
        <v>275</v>
      </c>
      <c r="G34" s="74">
        <f t="shared" si="11"/>
        <v>101139.42103296188</v>
      </c>
      <c r="H34" s="74">
        <f>G34</f>
        <v>101139.42103296188</v>
      </c>
      <c r="I34" s="74">
        <f>H34</f>
        <v>101139.42103296188</v>
      </c>
      <c r="J34" s="76">
        <f>I34</f>
        <v>101139.42103296188</v>
      </c>
      <c r="K34" s="300" t="s">
        <v>125</v>
      </c>
      <c r="L34" s="76"/>
      <c r="M34" s="76"/>
      <c r="O34" s="76"/>
      <c r="P34" s="329"/>
    </row>
    <row r="35" spans="2:16">
      <c r="B35" t="s">
        <v>208</v>
      </c>
      <c r="D35" s="318" t="s">
        <v>270</v>
      </c>
      <c r="E35" s="318">
        <f>'Authorized Rev Req'!K61</f>
        <v>-35384.072458004637</v>
      </c>
      <c r="F35" t="s">
        <v>5</v>
      </c>
      <c r="G35" s="74">
        <f>E35</f>
        <v>-35384.072458004637</v>
      </c>
      <c r="H35" s="74">
        <f>G35</f>
        <v>-35384.072458004637</v>
      </c>
      <c r="I35" s="74">
        <v>0</v>
      </c>
      <c r="J35" s="76">
        <v>0</v>
      </c>
      <c r="K35" s="300" t="s">
        <v>126</v>
      </c>
    </row>
    <row r="36" spans="2:16">
      <c r="B36" t="s">
        <v>208</v>
      </c>
      <c r="D36" s="318" t="s">
        <v>270</v>
      </c>
      <c r="E36" s="318">
        <f>'Authorized Rev Req'!K62</f>
        <v>-21028.348501689987</v>
      </c>
      <c r="F36" t="s">
        <v>207</v>
      </c>
      <c r="G36" s="74">
        <f>E36</f>
        <v>-21028.348501689987</v>
      </c>
      <c r="H36" s="74">
        <v>-22823.387058155302</v>
      </c>
      <c r="I36" s="74">
        <v>0</v>
      </c>
      <c r="J36" s="76">
        <v>0</v>
      </c>
      <c r="K36" s="300" t="s">
        <v>126</v>
      </c>
    </row>
    <row r="37" spans="2:16">
      <c r="B37" t="s">
        <v>337</v>
      </c>
      <c r="C37" s="42"/>
      <c r="D37" s="318" t="s">
        <v>484</v>
      </c>
      <c r="E37" s="318">
        <f>'Authorized Rev Req'!K76</f>
        <v>0</v>
      </c>
      <c r="F37" t="s">
        <v>5</v>
      </c>
      <c r="G37" s="306">
        <f t="shared" ref="G37:G48" si="13">E37</f>
        <v>0</v>
      </c>
      <c r="H37" s="76">
        <v>0</v>
      </c>
      <c r="I37" s="76">
        <v>0</v>
      </c>
      <c r="J37" s="76">
        <v>0</v>
      </c>
      <c r="K37" s="300" t="s">
        <v>125</v>
      </c>
      <c r="L37" s="76"/>
      <c r="M37" s="76"/>
      <c r="N37" s="42"/>
      <c r="O37" s="76"/>
      <c r="P37" s="329"/>
    </row>
    <row r="38" spans="2:16">
      <c r="B38" t="s">
        <v>337</v>
      </c>
      <c r="C38" s="42"/>
      <c r="D38" s="318" t="s">
        <v>484</v>
      </c>
      <c r="E38" s="318">
        <f>'Authorized Rev Req'!K75</f>
        <v>0</v>
      </c>
      <c r="F38" t="s">
        <v>292</v>
      </c>
      <c r="G38" s="76">
        <f t="shared" si="13"/>
        <v>0</v>
      </c>
      <c r="H38" s="76">
        <v>0</v>
      </c>
      <c r="I38" s="76">
        <v>0</v>
      </c>
      <c r="J38" s="76">
        <v>0</v>
      </c>
      <c r="K38" s="300" t="s">
        <v>125</v>
      </c>
      <c r="L38" s="76"/>
      <c r="M38" s="76"/>
      <c r="N38" s="42"/>
      <c r="O38" s="76"/>
      <c r="P38" s="329"/>
    </row>
    <row r="39" spans="2:16">
      <c r="B39" t="s">
        <v>301</v>
      </c>
      <c r="C39" s="42"/>
      <c r="D39" s="318" t="s">
        <v>598</v>
      </c>
      <c r="E39" s="318">
        <f>'Authorized Rev Req'!K70</f>
        <v>8297.3251670670052</v>
      </c>
      <c r="F39" t="s">
        <v>292</v>
      </c>
      <c r="G39" s="76">
        <f>E39</f>
        <v>8297.3251670670052</v>
      </c>
      <c r="H39" s="76">
        <v>0</v>
      </c>
      <c r="I39" s="76">
        <v>0</v>
      </c>
      <c r="J39" s="76">
        <v>0</v>
      </c>
      <c r="K39" s="300" t="s">
        <v>125</v>
      </c>
      <c r="L39" s="76"/>
      <c r="M39" s="76"/>
      <c r="N39" s="42"/>
      <c r="O39" s="76"/>
      <c r="P39" s="329"/>
    </row>
    <row r="40" spans="2:16">
      <c r="B40" t="s">
        <v>301</v>
      </c>
      <c r="C40" s="42"/>
      <c r="D40" s="318" t="s">
        <v>598</v>
      </c>
      <c r="E40" s="318">
        <f>'Authorized Rev Req'!K71</f>
        <v>4806.2146421102079</v>
      </c>
      <c r="F40" t="s">
        <v>207</v>
      </c>
      <c r="G40" s="76">
        <f>E40</f>
        <v>4806.2146421102079</v>
      </c>
      <c r="H40" s="76">
        <v>0</v>
      </c>
      <c r="I40" s="76"/>
      <c r="J40" s="76"/>
      <c r="K40" s="300" t="s">
        <v>125</v>
      </c>
      <c r="L40" s="76"/>
      <c r="M40" s="76"/>
      <c r="N40" s="42"/>
      <c r="O40" s="76"/>
      <c r="P40" s="329"/>
    </row>
    <row r="41" spans="2:16">
      <c r="B41" t="s">
        <v>301</v>
      </c>
      <c r="C41" s="42"/>
      <c r="D41" s="318" t="s">
        <v>598</v>
      </c>
      <c r="E41" s="318">
        <f>'Authorized Rev Req'!K72</f>
        <v>3730.259924341538</v>
      </c>
      <c r="F41" t="s">
        <v>5</v>
      </c>
      <c r="G41" s="76">
        <f>E41</f>
        <v>3730.259924341538</v>
      </c>
      <c r="H41" s="76">
        <v>0</v>
      </c>
      <c r="I41" s="76">
        <v>0</v>
      </c>
      <c r="J41" s="76">
        <v>0</v>
      </c>
      <c r="K41" s="300" t="s">
        <v>125</v>
      </c>
      <c r="L41" s="76"/>
      <c r="M41" s="76"/>
      <c r="N41" s="42"/>
      <c r="O41" s="76"/>
      <c r="P41" s="329"/>
    </row>
    <row r="42" spans="2:16">
      <c r="B42" t="s">
        <v>440</v>
      </c>
      <c r="C42" s="42"/>
      <c r="D42" s="318" t="s">
        <v>441</v>
      </c>
      <c r="E42" s="312">
        <f>'Authorized Rev Req'!K77</f>
        <v>0</v>
      </c>
      <c r="F42" t="s">
        <v>292</v>
      </c>
      <c r="G42" s="306">
        <f t="shared" si="13"/>
        <v>0</v>
      </c>
      <c r="H42" s="76">
        <v>0</v>
      </c>
      <c r="I42" s="76">
        <v>0</v>
      </c>
      <c r="J42" s="76">
        <v>0</v>
      </c>
      <c r="K42" s="300" t="s">
        <v>125</v>
      </c>
      <c r="L42" s="76"/>
      <c r="M42" s="76"/>
      <c r="O42" s="76"/>
      <c r="P42" s="329"/>
    </row>
    <row r="43" spans="2:16">
      <c r="B43" t="s">
        <v>440</v>
      </c>
      <c r="C43" s="42"/>
      <c r="D43" s="318" t="s">
        <v>441</v>
      </c>
      <c r="E43" s="312">
        <f>'Authorized Rev Req'!K78</f>
        <v>0</v>
      </c>
      <c r="F43" t="s">
        <v>5</v>
      </c>
      <c r="G43" s="306">
        <f t="shared" si="13"/>
        <v>0</v>
      </c>
      <c r="H43" s="76">
        <v>0</v>
      </c>
      <c r="I43" s="76">
        <v>0</v>
      </c>
      <c r="J43" s="76">
        <v>0</v>
      </c>
      <c r="K43" s="300" t="s">
        <v>125</v>
      </c>
      <c r="L43" s="76"/>
      <c r="M43" s="76"/>
      <c r="O43" s="76"/>
      <c r="P43" s="329"/>
    </row>
    <row r="44" spans="2:16">
      <c r="B44" t="s">
        <v>648</v>
      </c>
      <c r="C44" s="42"/>
      <c r="D44" s="318" t="s">
        <v>646</v>
      </c>
      <c r="E44" s="318">
        <f>'Authorized Rev Req'!K79</f>
        <v>210135.89045181416</v>
      </c>
      <c r="F44" t="s">
        <v>5</v>
      </c>
      <c r="G44" s="306">
        <f>E44</f>
        <v>210135.89045181416</v>
      </c>
      <c r="H44" s="76">
        <v>0</v>
      </c>
      <c r="I44" s="76">
        <v>0</v>
      </c>
      <c r="J44" s="76">
        <v>0</v>
      </c>
      <c r="K44" s="300" t="s">
        <v>125</v>
      </c>
      <c r="L44" s="76"/>
      <c r="M44" s="76"/>
      <c r="O44" s="76"/>
      <c r="P44" s="329"/>
    </row>
    <row r="45" spans="2:16">
      <c r="B45" t="s">
        <v>648</v>
      </c>
      <c r="C45" s="42"/>
      <c r="D45" s="318" t="s">
        <v>646</v>
      </c>
      <c r="E45" s="318">
        <f>'Authorized Rev Req'!K80</f>
        <v>546636.98279374978</v>
      </c>
      <c r="F45" t="s">
        <v>292</v>
      </c>
      <c r="G45" s="306">
        <f>E45</f>
        <v>546636.98279374978</v>
      </c>
      <c r="H45" s="76">
        <v>0</v>
      </c>
      <c r="I45" s="76">
        <v>0</v>
      </c>
      <c r="J45" s="76">
        <v>0</v>
      </c>
      <c r="K45" s="300" t="s">
        <v>125</v>
      </c>
      <c r="L45" s="76"/>
      <c r="M45" s="76"/>
      <c r="O45" s="76"/>
      <c r="P45" s="329"/>
    </row>
    <row r="46" spans="2:16">
      <c r="B46" t="s">
        <v>648</v>
      </c>
      <c r="C46" s="42"/>
      <c r="D46" s="318" t="s">
        <v>646</v>
      </c>
      <c r="E46" s="318">
        <v>0</v>
      </c>
      <c r="F46" t="s">
        <v>207</v>
      </c>
      <c r="G46" s="306">
        <f>E46</f>
        <v>0</v>
      </c>
      <c r="H46" s="76">
        <v>7429.6140248375004</v>
      </c>
      <c r="I46" s="76"/>
      <c r="J46" s="76"/>
      <c r="K46" s="300" t="s">
        <v>125</v>
      </c>
      <c r="L46" s="76"/>
      <c r="M46" s="76"/>
      <c r="O46" s="76"/>
      <c r="P46" s="329"/>
    </row>
    <row r="47" spans="2:16">
      <c r="B47" t="s">
        <v>436</v>
      </c>
      <c r="C47" s="42"/>
      <c r="D47" s="318" t="s">
        <v>429</v>
      </c>
      <c r="E47" s="330">
        <f>'Authorized Rev Req'!K85</f>
        <v>48959.963379433757</v>
      </c>
      <c r="F47" t="s">
        <v>5</v>
      </c>
      <c r="G47" s="76">
        <f t="shared" si="13"/>
        <v>48959.963379433757</v>
      </c>
      <c r="H47" s="76">
        <v>0</v>
      </c>
      <c r="I47" s="76">
        <v>0</v>
      </c>
      <c r="J47" s="76">
        <v>0</v>
      </c>
      <c r="K47" s="300" t="s">
        <v>125</v>
      </c>
      <c r="L47" s="76"/>
      <c r="M47" s="76"/>
      <c r="O47" s="76"/>
      <c r="P47" s="329"/>
    </row>
    <row r="48" spans="2:16">
      <c r="B48" t="s">
        <v>436</v>
      </c>
      <c r="C48" s="42"/>
      <c r="D48" s="318" t="s">
        <v>429</v>
      </c>
      <c r="E48" s="330">
        <f>'Authorized Rev Req'!K86</f>
        <v>9285.9628682988223</v>
      </c>
      <c r="F48" t="s">
        <v>207</v>
      </c>
      <c r="G48" s="76">
        <f t="shared" si="13"/>
        <v>9285.9628682988223</v>
      </c>
      <c r="H48" s="76">
        <v>0</v>
      </c>
      <c r="I48" s="76">
        <v>0</v>
      </c>
      <c r="J48" s="76">
        <v>0</v>
      </c>
      <c r="K48" s="300" t="s">
        <v>125</v>
      </c>
      <c r="L48" s="76"/>
      <c r="M48" s="76"/>
      <c r="N48" s="311"/>
      <c r="O48" s="76"/>
      <c r="P48" s="329"/>
    </row>
    <row r="49" spans="2:21">
      <c r="B49" t="s">
        <v>467</v>
      </c>
      <c r="C49" s="42"/>
      <c r="D49" s="318" t="s">
        <v>469</v>
      </c>
      <c r="E49" s="331">
        <f>'Authorized Rev Req'!K57</f>
        <v>-74475.455835575223</v>
      </c>
      <c r="F49" t="s">
        <v>292</v>
      </c>
      <c r="G49" s="74">
        <f>E49</f>
        <v>-74475.455835575223</v>
      </c>
      <c r="H49" s="76">
        <v>0</v>
      </c>
      <c r="I49" s="76">
        <v>0</v>
      </c>
      <c r="J49" s="76">
        <v>0</v>
      </c>
      <c r="K49" s="300" t="s">
        <v>125</v>
      </c>
      <c r="L49" s="76"/>
      <c r="M49" s="76"/>
      <c r="N49" s="42"/>
      <c r="O49" s="76"/>
      <c r="P49" s="329"/>
    </row>
    <row r="50" spans="2:21">
      <c r="B50" t="s">
        <v>486</v>
      </c>
      <c r="C50" s="42"/>
      <c r="D50" s="318" t="s">
        <v>469</v>
      </c>
      <c r="E50" s="331">
        <f>'Authorized Rev Req'!K58</f>
        <v>0</v>
      </c>
      <c r="F50" t="s">
        <v>292</v>
      </c>
      <c r="G50" s="74">
        <f>E50</f>
        <v>0</v>
      </c>
      <c r="H50" s="76">
        <v>0</v>
      </c>
      <c r="I50" s="76">
        <v>0</v>
      </c>
      <c r="J50" s="76">
        <v>0</v>
      </c>
      <c r="K50" s="300" t="s">
        <v>125</v>
      </c>
      <c r="L50" s="76"/>
      <c r="M50" s="76"/>
      <c r="N50" s="42"/>
      <c r="O50" s="76"/>
      <c r="P50" s="329"/>
    </row>
    <row r="51" spans="2:21" ht="14.5" customHeight="1">
      <c r="B51" t="s">
        <v>504</v>
      </c>
      <c r="D51" s="318" t="s">
        <v>599</v>
      </c>
      <c r="E51" s="331">
        <f>'Authorized Rev Req'!K67</f>
        <v>95891.027258263915</v>
      </c>
      <c r="F51" t="s">
        <v>5</v>
      </c>
      <c r="G51" s="76">
        <v>95891.027258263915</v>
      </c>
      <c r="H51" s="306">
        <v>463000</v>
      </c>
      <c r="I51" s="76">
        <f>H51</f>
        <v>463000</v>
      </c>
      <c r="J51" s="76">
        <f>I51</f>
        <v>463000</v>
      </c>
      <c r="K51" s="300" t="s">
        <v>125</v>
      </c>
      <c r="L51" s="76"/>
      <c r="M51" s="76"/>
      <c r="N51" s="42"/>
      <c r="O51" s="76"/>
      <c r="P51" s="329"/>
    </row>
    <row r="52" spans="2:21" ht="14.5" customHeight="1">
      <c r="B52" t="s">
        <v>422</v>
      </c>
      <c r="D52" s="318" t="s">
        <v>612</v>
      </c>
      <c r="E52" s="331">
        <f>'Authorized Rev Req'!K89</f>
        <v>32278.309522205087</v>
      </c>
      <c r="F52" t="s">
        <v>423</v>
      </c>
      <c r="G52" s="76">
        <f>E52</f>
        <v>32278.309522205087</v>
      </c>
      <c r="H52" s="306">
        <v>0</v>
      </c>
      <c r="I52" s="76">
        <f>H52</f>
        <v>0</v>
      </c>
      <c r="J52" s="76">
        <f>I52</f>
        <v>0</v>
      </c>
      <c r="K52" s="300" t="s">
        <v>125</v>
      </c>
      <c r="L52" s="76"/>
      <c r="M52" s="76"/>
      <c r="N52" s="42"/>
      <c r="O52" s="76"/>
      <c r="P52" s="329"/>
    </row>
    <row r="53" spans="2:21" ht="14.5" customHeight="1">
      <c r="B53" t="s">
        <v>422</v>
      </c>
      <c r="D53" s="318" t="s">
        <v>612</v>
      </c>
      <c r="E53" s="331">
        <f>'Authorized Rev Req'!K90</f>
        <v>9846.2071269206372</v>
      </c>
      <c r="F53" t="s">
        <v>207</v>
      </c>
      <c r="G53" s="76">
        <f t="shared" ref="G53:G55" si="14">E53</f>
        <v>9846.2071269206372</v>
      </c>
      <c r="H53" s="306">
        <v>0</v>
      </c>
      <c r="I53" s="76">
        <f t="shared" ref="I53:J53" si="15">H53</f>
        <v>0</v>
      </c>
      <c r="J53" s="76">
        <f t="shared" si="15"/>
        <v>0</v>
      </c>
      <c r="K53" s="300" t="s">
        <v>125</v>
      </c>
      <c r="L53" s="76"/>
      <c r="M53" s="76"/>
      <c r="N53" s="42"/>
      <c r="O53" s="76"/>
      <c r="P53" s="329"/>
    </row>
    <row r="54" spans="2:21">
      <c r="B54" s="332" t="s">
        <v>439</v>
      </c>
      <c r="D54" s="318" t="s">
        <v>613</v>
      </c>
      <c r="E54" s="312">
        <f>'Authorized Rev Req'!K87</f>
        <v>158033.59433360386</v>
      </c>
      <c r="F54" t="s">
        <v>423</v>
      </c>
      <c r="G54" s="76">
        <f t="shared" si="14"/>
        <v>158033.59433360386</v>
      </c>
      <c r="H54" s="306">
        <v>0</v>
      </c>
      <c r="I54" s="76">
        <f t="shared" ref="I54:J54" si="16">H54</f>
        <v>0</v>
      </c>
      <c r="J54" s="76">
        <f t="shared" si="16"/>
        <v>0</v>
      </c>
      <c r="K54" s="300" t="s">
        <v>125</v>
      </c>
      <c r="L54" s="76"/>
      <c r="M54" s="76"/>
      <c r="O54" s="76"/>
      <c r="P54" s="329"/>
    </row>
    <row r="55" spans="2:21">
      <c r="B55" s="332" t="s">
        <v>439</v>
      </c>
      <c r="D55" s="318" t="s">
        <v>613</v>
      </c>
      <c r="E55" s="318">
        <f>'Authorized Rev Req'!K88</f>
        <v>107564.38815294557</v>
      </c>
      <c r="F55" t="s">
        <v>207</v>
      </c>
      <c r="G55" s="76">
        <f t="shared" si="14"/>
        <v>107564.38815294557</v>
      </c>
      <c r="H55" s="306">
        <v>0</v>
      </c>
      <c r="I55" s="76">
        <f t="shared" ref="I55:J55" si="17">H55</f>
        <v>0</v>
      </c>
      <c r="J55" s="76">
        <f t="shared" si="17"/>
        <v>0</v>
      </c>
      <c r="K55" s="300" t="s">
        <v>125</v>
      </c>
      <c r="L55" s="76"/>
      <c r="M55" s="76"/>
      <c r="O55" s="76"/>
      <c r="P55" s="329"/>
    </row>
    <row r="56" spans="2:21">
      <c r="B56" s="299"/>
      <c r="D56" s="42"/>
      <c r="E56" s="318"/>
      <c r="G56" s="76"/>
      <c r="H56" s="76"/>
      <c r="I56" s="76"/>
      <c r="J56" s="76"/>
      <c r="L56" s="76"/>
      <c r="M56" s="76"/>
      <c r="O56" s="76"/>
      <c r="P56" s="329"/>
    </row>
    <row r="57" spans="2:21">
      <c r="B57" s="299"/>
      <c r="D57" s="42"/>
      <c r="E57" s="318"/>
      <c r="G57" s="76"/>
      <c r="H57" s="76"/>
      <c r="I57" s="76"/>
      <c r="J57" s="76"/>
      <c r="L57" s="76"/>
      <c r="M57" s="76"/>
      <c r="O57" s="76"/>
      <c r="P57" s="329"/>
    </row>
    <row r="58" spans="2:21">
      <c r="B58" s="12" t="s">
        <v>7</v>
      </c>
      <c r="C58" s="12"/>
      <c r="E58" s="42"/>
      <c r="G58" s="68"/>
      <c r="H58" s="68"/>
      <c r="I58" s="76"/>
      <c r="J58" s="76"/>
      <c r="K58"/>
    </row>
    <row r="59" spans="2:21">
      <c r="B59" t="s">
        <v>709</v>
      </c>
      <c r="C59" s="12"/>
      <c r="D59" s="318" t="s">
        <v>396</v>
      </c>
      <c r="E59" s="318">
        <f>'Authorized Rev Req'!K97</f>
        <v>-475276.50099999999</v>
      </c>
      <c r="F59" t="s">
        <v>129</v>
      </c>
      <c r="G59" s="76">
        <f t="shared" ref="G59:G62" si="18">E59</f>
        <v>-475276.50099999999</v>
      </c>
      <c r="H59" s="76">
        <f t="shared" ref="H59:I61" si="19">G59</f>
        <v>-475276.50099999999</v>
      </c>
      <c r="I59" s="76">
        <f t="shared" si="19"/>
        <v>-475276.50099999999</v>
      </c>
      <c r="J59" s="76">
        <f>I59</f>
        <v>-475276.50099999999</v>
      </c>
      <c r="K59" s="300" t="s">
        <v>126</v>
      </c>
      <c r="T59" s="328"/>
      <c r="U59" s="328"/>
    </row>
    <row r="60" spans="2:21">
      <c r="B60" t="s">
        <v>710</v>
      </c>
      <c r="D60" s="318" t="s">
        <v>396</v>
      </c>
      <c r="E60" s="318">
        <f>'Authorized Rev Req'!K127</f>
        <v>34390.797931619658</v>
      </c>
      <c r="F60" t="s">
        <v>15</v>
      </c>
      <c r="G60" s="76">
        <f t="shared" si="18"/>
        <v>34390.797931619658</v>
      </c>
      <c r="H60" s="76">
        <f t="shared" si="19"/>
        <v>34390.797931619658</v>
      </c>
      <c r="I60" s="76">
        <f t="shared" si="19"/>
        <v>34390.797931619658</v>
      </c>
      <c r="J60" s="76">
        <f t="shared" ref="J60:J68" si="20">I60</f>
        <v>34390.797931619658</v>
      </c>
      <c r="K60" s="300" t="s">
        <v>126</v>
      </c>
      <c r="S60" s="301"/>
      <c r="T60" s="73"/>
      <c r="U60" s="74"/>
    </row>
    <row r="61" spans="2:21">
      <c r="B61" t="s">
        <v>75</v>
      </c>
      <c r="C61" s="12"/>
      <c r="D61" s="318" t="s">
        <v>386</v>
      </c>
      <c r="E61" s="318">
        <f>'Authorized Rev Req'!K100</f>
        <v>76117.978020134644</v>
      </c>
      <c r="F61" t="s">
        <v>5</v>
      </c>
      <c r="G61" s="76">
        <f t="shared" si="18"/>
        <v>76117.978020134644</v>
      </c>
      <c r="H61" s="76">
        <f>G61</f>
        <v>76117.978020134644</v>
      </c>
      <c r="I61" s="76">
        <f t="shared" si="19"/>
        <v>76117.978020134644</v>
      </c>
      <c r="J61" s="76">
        <f t="shared" si="20"/>
        <v>76117.978020134644</v>
      </c>
      <c r="K61" s="300" t="s">
        <v>126</v>
      </c>
      <c r="T61" s="328"/>
      <c r="U61" s="328"/>
    </row>
    <row r="62" spans="2:21">
      <c r="B62" t="s">
        <v>96</v>
      </c>
      <c r="C62" s="12"/>
      <c r="D62" s="318" t="s">
        <v>388</v>
      </c>
      <c r="E62" s="318">
        <f>'Authorized Rev Req'!K120</f>
        <v>120736.87385986045</v>
      </c>
      <c r="F62" t="s">
        <v>15</v>
      </c>
      <c r="G62" s="76">
        <f t="shared" si="18"/>
        <v>120736.87385986045</v>
      </c>
      <c r="H62" s="76">
        <f t="shared" ref="H62:I64" si="21">G62</f>
        <v>120736.87385986045</v>
      </c>
      <c r="I62" s="76">
        <f t="shared" si="21"/>
        <v>120736.87385986045</v>
      </c>
      <c r="J62" s="76">
        <f t="shared" si="20"/>
        <v>120736.87385986045</v>
      </c>
      <c r="K62" s="300" t="s">
        <v>126</v>
      </c>
      <c r="T62" s="73"/>
      <c r="U62" s="74"/>
    </row>
    <row r="63" spans="2:21">
      <c r="B63" t="s">
        <v>95</v>
      </c>
      <c r="C63" s="12"/>
      <c r="D63" s="318" t="s">
        <v>388</v>
      </c>
      <c r="E63" s="318">
        <f>'Authorized Rev Req'!K121</f>
        <v>73514.257494181598</v>
      </c>
      <c r="F63" t="s">
        <v>15</v>
      </c>
      <c r="G63" s="76">
        <f>E63</f>
        <v>73514.257494181598</v>
      </c>
      <c r="H63" s="76">
        <v>65337.176454259301</v>
      </c>
      <c r="I63" s="76">
        <f>H63</f>
        <v>65337.176454259301</v>
      </c>
      <c r="J63" s="76">
        <f t="shared" si="20"/>
        <v>65337.176454259301</v>
      </c>
      <c r="K63" s="300" t="s">
        <v>126</v>
      </c>
      <c r="S63" s="301"/>
      <c r="T63" s="73"/>
      <c r="U63" s="74"/>
    </row>
    <row r="64" spans="2:21">
      <c r="B64" t="s">
        <v>93</v>
      </c>
      <c r="D64" s="318" t="s">
        <v>707</v>
      </c>
      <c r="E64" s="318">
        <f>'Authorized Rev Req'!K105</f>
        <v>111052.18108000001</v>
      </c>
      <c r="F64" t="s">
        <v>5</v>
      </c>
      <c r="G64" s="76">
        <f>E64+6750</f>
        <v>117802.18108000001</v>
      </c>
      <c r="H64" s="76">
        <f>E64</f>
        <v>111052.18108000001</v>
      </c>
      <c r="I64" s="76">
        <f t="shared" si="21"/>
        <v>111052.18108000001</v>
      </c>
      <c r="J64" s="76">
        <f t="shared" si="20"/>
        <v>111052.18108000001</v>
      </c>
      <c r="K64" s="300" t="s">
        <v>126</v>
      </c>
      <c r="T64" s="73"/>
      <c r="U64" s="74"/>
    </row>
    <row r="65" spans="2:21" ht="14.25" customHeight="1">
      <c r="B65" t="s">
        <v>225</v>
      </c>
      <c r="D65" s="318" t="s">
        <v>405</v>
      </c>
      <c r="E65" s="318">
        <f>'Authorized Rev Req'!K102</f>
        <v>24996.146000000001</v>
      </c>
      <c r="F65" t="s">
        <v>5</v>
      </c>
      <c r="G65" s="76">
        <f>E65</f>
        <v>24996.146000000001</v>
      </c>
      <c r="H65" s="76">
        <v>24700</v>
      </c>
      <c r="I65" s="76">
        <f>H65</f>
        <v>24700</v>
      </c>
      <c r="J65" s="76">
        <f>I65</f>
        <v>24700</v>
      </c>
      <c r="K65" s="300" t="s">
        <v>126</v>
      </c>
      <c r="T65" s="73"/>
      <c r="U65" s="74"/>
    </row>
    <row r="66" spans="2:21">
      <c r="B66" t="s">
        <v>500</v>
      </c>
      <c r="D66" s="318" t="s">
        <v>502</v>
      </c>
      <c r="E66" s="318">
        <f>'Authorized Rev Req'!K91</f>
        <v>26342.400000000001</v>
      </c>
      <c r="F66" t="s">
        <v>5</v>
      </c>
      <c r="G66" s="76">
        <f>E66</f>
        <v>26342.400000000001</v>
      </c>
      <c r="H66" s="76"/>
      <c r="I66" s="76">
        <v>0</v>
      </c>
      <c r="J66" s="76">
        <v>0</v>
      </c>
      <c r="K66" s="300" t="s">
        <v>125</v>
      </c>
      <c r="T66" s="73"/>
      <c r="U66" s="74"/>
    </row>
    <row r="67" spans="2:21">
      <c r="B67" t="s">
        <v>94</v>
      </c>
      <c r="D67" s="318" t="s">
        <v>279</v>
      </c>
      <c r="E67" s="318">
        <f>'Authorized Rev Req'!K118</f>
        <v>90585.031000000003</v>
      </c>
      <c r="F67" t="s">
        <v>15</v>
      </c>
      <c r="G67" s="76">
        <f>E67</f>
        <v>90585.031000000003</v>
      </c>
      <c r="H67" s="76">
        <v>90585.031000000003</v>
      </c>
      <c r="I67" s="76">
        <f t="shared" ref="I67" si="22">H67</f>
        <v>90585.031000000003</v>
      </c>
      <c r="J67" s="76">
        <f t="shared" si="20"/>
        <v>90585.031000000003</v>
      </c>
      <c r="K67" s="300" t="s">
        <v>126</v>
      </c>
    </row>
    <row r="68" spans="2:21">
      <c r="B68" t="s">
        <v>387</v>
      </c>
      <c r="D68" s="318" t="s">
        <v>279</v>
      </c>
      <c r="E68" s="318">
        <f>'Authorized Rev Req'!K119</f>
        <v>-4800</v>
      </c>
      <c r="F68" t="s">
        <v>15</v>
      </c>
      <c r="G68" s="76">
        <f>E68</f>
        <v>-4800</v>
      </c>
      <c r="H68" s="76">
        <v>0</v>
      </c>
      <c r="I68" s="76">
        <v>0</v>
      </c>
      <c r="J68" s="76">
        <f t="shared" si="20"/>
        <v>0</v>
      </c>
      <c r="K68" s="300" t="s">
        <v>125</v>
      </c>
    </row>
    <row r="69" spans="2:21">
      <c r="B69" t="s">
        <v>74</v>
      </c>
      <c r="D69" s="318" t="s">
        <v>279</v>
      </c>
      <c r="E69" s="318">
        <f>'Authorized Rev Req'!K114</f>
        <v>11830.16</v>
      </c>
      <c r="F69" t="s">
        <v>15</v>
      </c>
      <c r="G69" s="76">
        <f>E69</f>
        <v>11830.16</v>
      </c>
      <c r="H69" s="76">
        <v>11830.16</v>
      </c>
      <c r="I69" s="76">
        <v>11830.16</v>
      </c>
      <c r="J69" s="76">
        <v>11830.16</v>
      </c>
      <c r="K69" s="300" t="s">
        <v>126</v>
      </c>
      <c r="M69" s="301"/>
    </row>
    <row r="70" spans="2:21">
      <c r="B70" t="s">
        <v>76</v>
      </c>
      <c r="D70" s="318" t="s">
        <v>687</v>
      </c>
      <c r="E70" s="318">
        <f>'Authorized Rev Req'!K116</f>
        <v>75156.70939199999</v>
      </c>
      <c r="F70" t="s">
        <v>15</v>
      </c>
      <c r="G70" s="76">
        <v>89657.372814575996</v>
      </c>
      <c r="H70" s="76">
        <v>93950.954760000008</v>
      </c>
      <c r="I70" s="76">
        <f>H70</f>
        <v>93950.954760000008</v>
      </c>
      <c r="J70" s="76">
        <f>I70</f>
        <v>93950.954760000008</v>
      </c>
      <c r="K70" s="300" t="s">
        <v>126</v>
      </c>
    </row>
    <row r="71" spans="2:21">
      <c r="B71" t="s">
        <v>280</v>
      </c>
      <c r="D71" s="318" t="s">
        <v>396</v>
      </c>
      <c r="E71" s="104">
        <f>'Authorized Rev Req'!K132</f>
        <v>10171.05098444241</v>
      </c>
      <c r="F71" t="s">
        <v>15</v>
      </c>
      <c r="G71" s="318">
        <f t="shared" ref="G71:G73" si="23">E71</f>
        <v>10171.05098444241</v>
      </c>
      <c r="H71" s="76">
        <f t="shared" ref="H71:J72" si="24">G71</f>
        <v>10171.05098444241</v>
      </c>
      <c r="I71" s="76">
        <f t="shared" si="24"/>
        <v>10171.05098444241</v>
      </c>
      <c r="J71" s="76">
        <f t="shared" si="24"/>
        <v>10171.05098444241</v>
      </c>
      <c r="K71" s="300" t="s">
        <v>126</v>
      </c>
      <c r="L71" s="76"/>
      <c r="M71" s="76"/>
      <c r="O71" s="76"/>
      <c r="P71" s="329"/>
    </row>
    <row r="72" spans="2:21">
      <c r="B72" t="s">
        <v>282</v>
      </c>
      <c r="D72" s="318" t="s">
        <v>396</v>
      </c>
      <c r="E72" s="104">
        <f>'Authorized Rev Req'!K134</f>
        <v>-1086.864128346406</v>
      </c>
      <c r="F72" t="s">
        <v>15</v>
      </c>
      <c r="G72" s="318">
        <f t="shared" si="23"/>
        <v>-1086.864128346406</v>
      </c>
      <c r="H72" s="76">
        <f t="shared" si="24"/>
        <v>-1086.864128346406</v>
      </c>
      <c r="I72" s="76">
        <f t="shared" si="24"/>
        <v>-1086.864128346406</v>
      </c>
      <c r="J72" s="76">
        <f t="shared" si="24"/>
        <v>-1086.864128346406</v>
      </c>
      <c r="K72" s="300" t="s">
        <v>126</v>
      </c>
      <c r="L72" s="76"/>
      <c r="M72" s="76"/>
      <c r="O72" s="76"/>
      <c r="P72" s="329"/>
    </row>
    <row r="73" spans="2:21">
      <c r="B73" t="s">
        <v>283</v>
      </c>
      <c r="D73" s="318" t="s">
        <v>396</v>
      </c>
      <c r="E73" s="104">
        <f>'Authorized Rev Req'!K136</f>
        <v>16263.798784086401</v>
      </c>
      <c r="F73" t="s">
        <v>15</v>
      </c>
      <c r="G73" s="318">
        <f t="shared" si="23"/>
        <v>16263.798784086401</v>
      </c>
      <c r="H73" s="76">
        <f>G73</f>
        <v>16263.798784086401</v>
      </c>
      <c r="I73" s="76">
        <v>0</v>
      </c>
      <c r="J73" s="76">
        <v>0</v>
      </c>
      <c r="K73" s="300" t="s">
        <v>126</v>
      </c>
      <c r="L73" s="76"/>
      <c r="M73" s="76"/>
      <c r="O73" s="76"/>
      <c r="P73" s="329"/>
    </row>
    <row r="74" spans="2:21">
      <c r="D74" s="318"/>
      <c r="E74" s="104"/>
      <c r="G74" s="318"/>
      <c r="H74" s="99"/>
      <c r="I74" s="76"/>
      <c r="J74" s="76"/>
      <c r="L74" s="76"/>
      <c r="M74" s="76"/>
      <c r="O74" s="76"/>
      <c r="P74" s="329"/>
    </row>
    <row r="75" spans="2:21">
      <c r="B75" s="299" t="s">
        <v>308</v>
      </c>
      <c r="D75" s="318" t="s">
        <v>389</v>
      </c>
      <c r="E75" s="312">
        <f>'Authorized Rev Req'!K123</f>
        <v>9611.7630000000008</v>
      </c>
      <c r="F75" t="s">
        <v>15</v>
      </c>
      <c r="G75" s="318">
        <f t="shared" ref="G75:G78" si="25">E75</f>
        <v>9611.7630000000008</v>
      </c>
      <c r="H75" s="76">
        <f>G75</f>
        <v>9611.7630000000008</v>
      </c>
      <c r="I75" s="76">
        <v>0</v>
      </c>
      <c r="J75" s="76">
        <v>0</v>
      </c>
      <c r="K75" s="300" t="s">
        <v>126</v>
      </c>
      <c r="L75" s="76"/>
      <c r="M75" s="76"/>
      <c r="N75" s="76"/>
      <c r="O75" s="76"/>
      <c r="P75" s="329"/>
    </row>
    <row r="76" spans="2:21">
      <c r="B76" t="s">
        <v>503</v>
      </c>
      <c r="D76" s="318" t="s">
        <v>454</v>
      </c>
      <c r="E76" s="318">
        <f>'Authorized Rev Req'!K140</f>
        <v>239073.677</v>
      </c>
      <c r="F76" t="s">
        <v>15</v>
      </c>
      <c r="G76" s="318">
        <f t="shared" si="25"/>
        <v>239073.677</v>
      </c>
      <c r="H76" s="76">
        <f>G76</f>
        <v>239073.677</v>
      </c>
      <c r="I76" s="76">
        <f t="shared" ref="I76:J76" si="26">H76</f>
        <v>239073.677</v>
      </c>
      <c r="J76" s="76">
        <f t="shared" si="26"/>
        <v>239073.677</v>
      </c>
      <c r="K76" s="300" t="s">
        <v>125</v>
      </c>
      <c r="L76" s="76"/>
      <c r="M76" s="76"/>
      <c r="N76" s="311"/>
      <c r="O76" s="76"/>
      <c r="P76" s="329"/>
    </row>
    <row r="77" spans="2:21">
      <c r="B77" s="299" t="s">
        <v>465</v>
      </c>
      <c r="D77" s="318" t="s">
        <v>477</v>
      </c>
      <c r="E77" s="318">
        <f>'Authorized Rev Req'!K143</f>
        <v>-4230.9560000000001</v>
      </c>
      <c r="F77" t="s">
        <v>15</v>
      </c>
      <c r="G77" s="318">
        <f t="shared" si="25"/>
        <v>-4230.9560000000001</v>
      </c>
      <c r="H77" s="76">
        <v>0</v>
      </c>
      <c r="I77" s="76">
        <v>0</v>
      </c>
      <c r="J77" s="76">
        <v>0</v>
      </c>
      <c r="K77" s="300" t="s">
        <v>125</v>
      </c>
    </row>
    <row r="78" spans="2:21">
      <c r="B78" s="299" t="s">
        <v>609</v>
      </c>
      <c r="D78" s="318" t="s">
        <v>620</v>
      </c>
      <c r="E78" s="318">
        <f>'Authorized Rev Req'!K145</f>
        <v>541.50780096000005</v>
      </c>
      <c r="F78" t="s">
        <v>15</v>
      </c>
      <c r="G78" s="68">
        <f t="shared" si="25"/>
        <v>541.50780096000005</v>
      </c>
      <c r="H78" s="76">
        <v>0</v>
      </c>
      <c r="I78" s="76">
        <v>0</v>
      </c>
      <c r="J78" s="76">
        <v>0</v>
      </c>
      <c r="K78" s="300" t="s">
        <v>125</v>
      </c>
    </row>
    <row r="79" spans="2:21">
      <c r="B79" s="299"/>
      <c r="E79" s="318"/>
      <c r="G79" s="68"/>
      <c r="H79" s="68"/>
      <c r="I79" s="76"/>
      <c r="J79" s="76"/>
    </row>
    <row r="80" spans="2:21">
      <c r="B80" s="333" t="s">
        <v>211</v>
      </c>
      <c r="E80" s="105"/>
      <c r="G80" s="68"/>
      <c r="H80" s="68"/>
      <c r="I80" s="76"/>
      <c r="J80" s="76"/>
    </row>
    <row r="81" spans="2:16">
      <c r="B81" s="301" t="s">
        <v>3</v>
      </c>
      <c r="D81" s="318" t="s">
        <v>314</v>
      </c>
      <c r="E81" s="318">
        <f>SUMIFS('Authorized Rev Req'!$K:$K,'Authorized Rev Req'!$L:$L,F81,'Authorized Rev Req'!$M:$M,"Y")</f>
        <v>0</v>
      </c>
      <c r="F81" t="s">
        <v>3</v>
      </c>
      <c r="G81" s="306">
        <f t="shared" ref="G81" si="27">E81</f>
        <v>0</v>
      </c>
      <c r="H81" s="300"/>
      <c r="I81" s="76"/>
      <c r="J81" s="76"/>
      <c r="K81" s="300" t="s">
        <v>126</v>
      </c>
    </row>
    <row r="82" spans="2:16">
      <c r="B82" s="301" t="s">
        <v>5</v>
      </c>
      <c r="D82" s="318" t="s">
        <v>382</v>
      </c>
      <c r="E82" s="318">
        <f>SUMIFS('Authorized Rev Req'!$K:$K,'Authorized Rev Req'!$L:$L,F82,'Authorized Rev Req'!$M:$M,"Y")</f>
        <v>1506159.8659514075</v>
      </c>
      <c r="F82" s="301" t="s">
        <v>5</v>
      </c>
      <c r="G82" s="300">
        <f>E82</f>
        <v>1506159.8659514075</v>
      </c>
      <c r="H82" s="318">
        <f>SUMIFS('Authorized Rev Req'!$K:$K,'Authorized Rev Req'!$L:$L,F82,'Authorized Rev Req'!$M:$M,"Y", 'Authorized Rev Req'!$N:$N, "Y")</f>
        <v>275524.73725355108</v>
      </c>
      <c r="I82" s="318">
        <f>H82</f>
        <v>275524.73725355108</v>
      </c>
      <c r="J82" s="318">
        <f>I82</f>
        <v>275524.73725355108</v>
      </c>
      <c r="K82" s="300" t="s">
        <v>126</v>
      </c>
      <c r="N82" s="301"/>
    </row>
    <row r="83" spans="2:16">
      <c r="B83" s="301" t="s">
        <v>292</v>
      </c>
      <c r="D83" s="318" t="s">
        <v>382</v>
      </c>
      <c r="E83" s="318">
        <f>SUMIFS('Authorized Rev Req'!$K:$K,'Authorized Rev Req'!$L:$L,F83,'Authorized Rev Req'!$M:$M,"Y")</f>
        <v>48167.444649081401</v>
      </c>
      <c r="F83" s="301" t="s">
        <v>292</v>
      </c>
      <c r="G83" s="300">
        <f t="shared" ref="G83:G89" si="28">E83</f>
        <v>48167.444649081401</v>
      </c>
      <c r="H83" s="318">
        <f>SUMIFS('Authorized Rev Req'!$K:$K,'Authorized Rev Req'!$L:$L,F83,'Authorized Rev Req'!$M:$M,"Y", 'Authorized Rev Req'!$N:$N, "Y")+ (-258989)</f>
        <v>-212339.7341609186</v>
      </c>
      <c r="I83" s="318">
        <f>SUMIFS('Authorized Rev Req'!$K:$K,'Authorized Rev Req'!$L:$L,F83,'Authorized Rev Req'!$M:$M,"Y", 'Authorized Rev Req'!$N:$N, "Y")</f>
        <v>46649.265839081403</v>
      </c>
      <c r="J83" s="318">
        <f t="shared" ref="J83" si="29">I83</f>
        <v>46649.265839081403</v>
      </c>
      <c r="K83" s="300" t="s">
        <v>126</v>
      </c>
      <c r="N83" s="301"/>
    </row>
    <row r="84" spans="2:16">
      <c r="B84" s="301" t="s">
        <v>14</v>
      </c>
      <c r="D84" s="318" t="s">
        <v>314</v>
      </c>
      <c r="E84" s="318">
        <f>SUMIFS('Authorized Rev Req'!$K:$K,'Authorized Rev Req'!$L:$L,F84,'Authorized Rev Req'!$M:$M,"Y")</f>
        <v>186758.54768650109</v>
      </c>
      <c r="F84" s="301" t="s">
        <v>14</v>
      </c>
      <c r="G84" s="300">
        <f t="shared" si="28"/>
        <v>186758.54768650109</v>
      </c>
      <c r="H84" s="318">
        <f>SUMIFS('Authorized Rev Req'!$K:$K,'Authorized Rev Req'!$L:$L,F84,'Authorized Rev Req'!$M:$M,"Y", 'Authorized Rev Req'!$N:$N, "Y")</f>
        <v>0</v>
      </c>
      <c r="I84" s="318">
        <f t="shared" ref="I84:J84" si="30">H84</f>
        <v>0</v>
      </c>
      <c r="J84" s="318">
        <f t="shared" si="30"/>
        <v>0</v>
      </c>
      <c r="K84" s="300" t="s">
        <v>126</v>
      </c>
      <c r="N84" s="301"/>
    </row>
    <row r="85" spans="2:16">
      <c r="B85" s="301" t="s">
        <v>15</v>
      </c>
      <c r="D85" s="318" t="s">
        <v>382</v>
      </c>
      <c r="E85" s="318">
        <f>SUMIFS('Authorized Rev Req'!$K:$K,'Authorized Rev Req'!$L:$L,F85,'Authorized Rev Req'!$M:$M,"Y")</f>
        <v>72548.007442019763</v>
      </c>
      <c r="F85" s="301" t="s">
        <v>15</v>
      </c>
      <c r="G85" s="300">
        <f t="shared" si="28"/>
        <v>72548.007442019763</v>
      </c>
      <c r="H85" s="318">
        <f>SUMIFS('Authorized Rev Req'!$K:$K,'Authorized Rev Req'!$L:$L,F85,'Authorized Rev Req'!$M:$M,"Y", 'Authorized Rev Req'!$N:$N, "Y")</f>
        <v>263091.59736561868</v>
      </c>
      <c r="I85" s="318">
        <f t="shared" ref="I85:J85" si="31">H85</f>
        <v>263091.59736561868</v>
      </c>
      <c r="J85" s="318">
        <f t="shared" si="31"/>
        <v>263091.59736561868</v>
      </c>
      <c r="K85" s="300" t="s">
        <v>126</v>
      </c>
      <c r="N85" s="301"/>
    </row>
    <row r="86" spans="2:16">
      <c r="B86" s="301" t="s">
        <v>16</v>
      </c>
      <c r="D86" s="318" t="s">
        <v>382</v>
      </c>
      <c r="E86" s="318">
        <f>SUMIFS('Authorized Rev Req'!$K:$K,'Authorized Rev Req'!$L:$L,F86,'Authorized Rev Req'!$M:$M,"Y")</f>
        <v>-1604.9394941091518</v>
      </c>
      <c r="F86" s="301" t="s">
        <v>16</v>
      </c>
      <c r="G86" s="300">
        <f t="shared" si="28"/>
        <v>-1604.9394941091518</v>
      </c>
      <c r="H86" s="318">
        <f>SUMIFS('Authorized Rev Req'!$K:$K,'Authorized Rev Req'!$L:$L,F86,'Authorized Rev Req'!$M:$M,"Y", 'Authorized Rev Req'!$N:$N, "Y")</f>
        <v>0</v>
      </c>
      <c r="I86" s="318">
        <f t="shared" ref="I86:J86" si="32">H86</f>
        <v>0</v>
      </c>
      <c r="J86" s="318">
        <f t="shared" si="32"/>
        <v>0</v>
      </c>
      <c r="K86" s="300" t="s">
        <v>126</v>
      </c>
      <c r="N86" s="301"/>
    </row>
    <row r="87" spans="2:16">
      <c r="B87" s="301" t="s">
        <v>127</v>
      </c>
      <c r="D87" s="318" t="s">
        <v>382</v>
      </c>
      <c r="E87" s="318">
        <f>SUMIFS('Authorized Rev Req'!$K:$K,'Authorized Rev Req'!$L:$L,F87,'Authorized Rev Req'!$M:$M,"Y")</f>
        <v>1685.3200572805854</v>
      </c>
      <c r="F87" s="301" t="s">
        <v>127</v>
      </c>
      <c r="G87" s="300">
        <f t="shared" si="28"/>
        <v>1685.3200572805854</v>
      </c>
      <c r="H87" s="318">
        <f>SUMIFS('Authorized Rev Req'!$K:$K,'Authorized Rev Req'!$L:$L,F87,'Authorized Rev Req'!$M:$M,"Y", 'Authorized Rev Req'!$N:$N, "Y")</f>
        <v>0</v>
      </c>
      <c r="I87" s="318">
        <f t="shared" ref="I87:J87" si="33">H87</f>
        <v>0</v>
      </c>
      <c r="J87" s="318">
        <f t="shared" si="33"/>
        <v>0</v>
      </c>
      <c r="K87" s="300" t="s">
        <v>126</v>
      </c>
      <c r="M87" s="306"/>
      <c r="N87" s="301"/>
    </row>
    <row r="88" spans="2:16">
      <c r="B88" s="301" t="s">
        <v>66</v>
      </c>
      <c r="D88" s="318" t="s">
        <v>314</v>
      </c>
      <c r="E88" s="318">
        <f>SUMIFS('Authorized Rev Req'!$K:$K,'Authorized Rev Req'!$L:$L,F88,'Authorized Rev Req'!$M:$M,"Y")</f>
        <v>23369.877054782319</v>
      </c>
      <c r="F88" s="301" t="s">
        <v>66</v>
      </c>
      <c r="G88" s="300">
        <f t="shared" si="28"/>
        <v>23369.877054782319</v>
      </c>
      <c r="H88" s="318">
        <f>SUMIFS('Authorized Rev Req'!$K:$K,'Authorized Rev Req'!$L:$L,F88,'Authorized Rev Req'!$M:$M,"Y", 'Authorized Rev Req'!$N:$N, "Y")</f>
        <v>0</v>
      </c>
      <c r="I88" s="318">
        <f t="shared" ref="I88:J88" si="34">H88</f>
        <v>0</v>
      </c>
      <c r="J88" s="318">
        <f t="shared" si="34"/>
        <v>0</v>
      </c>
      <c r="K88" s="300" t="s">
        <v>126</v>
      </c>
      <c r="N88" s="301"/>
    </row>
    <row r="89" spans="2:16">
      <c r="B89" s="301" t="s">
        <v>207</v>
      </c>
      <c r="D89" s="318" t="s">
        <v>314</v>
      </c>
      <c r="E89" s="318">
        <f>SUMIFS('Authorized Rev Req'!$K:$K,'Authorized Rev Req'!$L:$L,F89,'Authorized Rev Req'!$M:$M,"Y")</f>
        <v>629212.87142456218</v>
      </c>
      <c r="F89" s="301" t="s">
        <v>207</v>
      </c>
      <c r="G89" s="300">
        <f t="shared" si="28"/>
        <v>629212.87142456218</v>
      </c>
      <c r="H89" s="318">
        <f>SUMIFS('Authorized Rev Req'!$K:$K,'Authorized Rev Req'!$L:$L,F89,'Authorized Rev Req'!$M:$M,"Y", 'Authorized Rev Req'!$N:$N, "Y")</f>
        <v>654.55504240994981</v>
      </c>
      <c r="I89" s="318">
        <f t="shared" ref="I89:J89" si="35">H89</f>
        <v>654.55504240994981</v>
      </c>
      <c r="J89" s="318">
        <f t="shared" si="35"/>
        <v>654.55504240994981</v>
      </c>
      <c r="K89" s="300" t="s">
        <v>126</v>
      </c>
      <c r="L89" s="300"/>
      <c r="M89" s="306"/>
      <c r="N89" s="301"/>
    </row>
    <row r="90" spans="2:16">
      <c r="B90" s="301"/>
      <c r="D90" s="318"/>
      <c r="E90" s="104"/>
      <c r="G90" s="68"/>
      <c r="H90" s="68"/>
      <c r="I90" s="76"/>
      <c r="J90" s="76"/>
    </row>
    <row r="91" spans="2:16">
      <c r="B91" s="12" t="s">
        <v>9</v>
      </c>
      <c r="D91" s="318"/>
      <c r="E91" s="104"/>
      <c r="G91" s="68"/>
      <c r="H91" s="68"/>
      <c r="I91" s="76"/>
      <c r="J91" s="76"/>
      <c r="L91" s="300"/>
    </row>
    <row r="92" spans="2:16">
      <c r="B92" t="s">
        <v>151</v>
      </c>
      <c r="D92" s="318" t="s">
        <v>618</v>
      </c>
      <c r="E92" s="318">
        <f>'Authorized Rev Req'!K151</f>
        <v>2580189.8596306657</v>
      </c>
      <c r="F92" t="s">
        <v>10</v>
      </c>
      <c r="G92" s="76">
        <f>E92</f>
        <v>2580189.8596306657</v>
      </c>
      <c r="H92" s="76">
        <f t="shared" ref="H92:J93" si="36">G92</f>
        <v>2580189.8596306657</v>
      </c>
      <c r="I92" s="76">
        <f t="shared" si="36"/>
        <v>2580189.8596306657</v>
      </c>
      <c r="J92" s="76">
        <f t="shared" si="36"/>
        <v>2580189.8596306657</v>
      </c>
      <c r="K92" s="300" t="s">
        <v>126</v>
      </c>
      <c r="M92" s="76"/>
      <c r="N92" s="76"/>
      <c r="P92" s="329"/>
    </row>
    <row r="93" spans="2:16">
      <c r="B93" s="301" t="s">
        <v>128</v>
      </c>
      <c r="D93" s="318" t="s">
        <v>487</v>
      </c>
      <c r="E93" s="318">
        <f>SUM('Authorized Rev Req'!K152:K155)</f>
        <v>355331.38588014222</v>
      </c>
      <c r="F93" t="s">
        <v>134</v>
      </c>
      <c r="G93" s="76">
        <f>E93</f>
        <v>355331.38588014222</v>
      </c>
      <c r="H93" s="76">
        <f>G93-'Authorized Rev Req'!K155</f>
        <v>379071.98008906806</v>
      </c>
      <c r="I93" s="76">
        <f t="shared" si="36"/>
        <v>379071.98008906806</v>
      </c>
      <c r="J93" s="76">
        <f t="shared" si="36"/>
        <v>379071.98008906806</v>
      </c>
      <c r="K93" s="300" t="s">
        <v>126</v>
      </c>
      <c r="M93" s="306"/>
      <c r="N93" s="311"/>
      <c r="O93" s="306"/>
      <c r="P93" s="306"/>
    </row>
    <row r="94" spans="2:16">
      <c r="E94" s="104"/>
      <c r="G94" s="76"/>
      <c r="H94" s="76"/>
      <c r="I94" s="76"/>
      <c r="J94" s="76"/>
      <c r="L94" s="76"/>
      <c r="M94" s="76"/>
      <c r="N94" s="68"/>
      <c r="O94" s="68"/>
      <c r="P94" s="89"/>
    </row>
    <row r="95" spans="2:16" ht="15" thickBot="1">
      <c r="B95" s="12" t="s">
        <v>57</v>
      </c>
      <c r="E95" s="334">
        <f>SUM(E10:E94)</f>
        <v>20085486.222601485</v>
      </c>
      <c r="F95" s="328"/>
      <c r="G95" s="335">
        <f>SUM(G10:G93)</f>
        <v>20103627.208580799</v>
      </c>
      <c r="H95" s="335">
        <f>SUM(H10:H93)</f>
        <v>17109893.666600928</v>
      </c>
      <c r="I95" s="335">
        <f>SUM(I10:I93)</f>
        <v>17393784.950308163</v>
      </c>
      <c r="J95" s="335">
        <f>SUM(J10:J93)</f>
        <v>17393784.950308163</v>
      </c>
      <c r="K95"/>
      <c r="M95" s="328"/>
      <c r="N95" s="311"/>
      <c r="O95" s="306"/>
      <c r="P95" s="311"/>
    </row>
    <row r="96" spans="2:16" ht="15" thickTop="1">
      <c r="E96" s="104">
        <f>E95-C5</f>
        <v>0</v>
      </c>
      <c r="F96" s="328"/>
      <c r="G96" s="328"/>
      <c r="H96" s="328"/>
      <c r="I96" s="328"/>
      <c r="J96" s="328"/>
    </row>
    <row r="97" spans="2:30">
      <c r="E97" s="336"/>
    </row>
    <row r="98" spans="2:30" ht="30.75" customHeight="1">
      <c r="B98" s="531" t="s">
        <v>12</v>
      </c>
      <c r="C98" s="531"/>
      <c r="D98" s="531"/>
      <c r="E98" s="531"/>
      <c r="F98" s="531"/>
      <c r="G98" s="531"/>
      <c r="H98" s="531"/>
      <c r="I98" s="531"/>
      <c r="J98" s="531"/>
      <c r="K98" s="531"/>
      <c r="L98" s="531"/>
      <c r="M98" s="531"/>
      <c r="N98" s="531"/>
      <c r="O98" s="337"/>
      <c r="P98" s="337"/>
      <c r="R98" s="325" t="s">
        <v>133</v>
      </c>
      <c r="S98" s="325"/>
    </row>
    <row r="99" spans="2:30" ht="75" customHeight="1">
      <c r="B99" s="13" t="s">
        <v>0</v>
      </c>
      <c r="C99" s="13" t="s">
        <v>206</v>
      </c>
      <c r="D99" s="338" t="s">
        <v>193</v>
      </c>
      <c r="E99" s="338" t="s">
        <v>606</v>
      </c>
      <c r="F99" s="338" t="s">
        <v>55</v>
      </c>
      <c r="G99" s="323"/>
      <c r="H99" s="323"/>
      <c r="I99" s="323"/>
      <c r="J99" s="339"/>
      <c r="K99" s="338" t="s">
        <v>59</v>
      </c>
      <c r="L99" s="532" t="s">
        <v>60</v>
      </c>
      <c r="M99" s="532"/>
      <c r="N99" s="532"/>
      <c r="O99" s="532"/>
      <c r="S99" s="13">
        <f>L100</f>
        <v>2026</v>
      </c>
      <c r="T99" s="13">
        <f>M100</f>
        <v>2027</v>
      </c>
      <c r="U99" s="13">
        <f>N100</f>
        <v>2028</v>
      </c>
      <c r="V99" s="13">
        <f>O100</f>
        <v>2029</v>
      </c>
    </row>
    <row r="100" spans="2:30">
      <c r="B100" s="12" t="s">
        <v>2</v>
      </c>
      <c r="D100" s="122"/>
      <c r="E100" s="122"/>
      <c r="F100" s="122"/>
      <c r="G100">
        <f>G9</f>
        <v>2026</v>
      </c>
      <c r="H100">
        <f>G100+1</f>
        <v>2027</v>
      </c>
      <c r="I100">
        <f>H100+1</f>
        <v>2028</v>
      </c>
      <c r="J100">
        <f>I100+1</f>
        <v>2029</v>
      </c>
      <c r="K100"/>
      <c r="L100">
        <f>G9</f>
        <v>2026</v>
      </c>
      <c r="M100">
        <f>L100+1</f>
        <v>2027</v>
      </c>
      <c r="N100">
        <f>M100+1</f>
        <v>2028</v>
      </c>
      <c r="O100">
        <f>N100+1</f>
        <v>2029</v>
      </c>
      <c r="P100" s="311"/>
      <c r="R100" t="s">
        <v>3</v>
      </c>
      <c r="S100" s="73">
        <f t="shared" ref="S100:S113" si="37">SUM(S10,SUMIFS(L$101:L$136,$F$101:$F$136,$R100,$P$101:$P$136,"y"))</f>
        <v>3075727.8217516071</v>
      </c>
      <c r="T100" s="73">
        <f t="shared" ref="T100:T113" si="38">SUM(T10,SUMIFS(M$101:M$136,$F$101:$F$136,$R100,$P$101:$P$136,"y"))</f>
        <v>2932561.1370325433</v>
      </c>
      <c r="U100" s="73">
        <f t="shared" ref="U100:U113" si="39">SUM(U10,SUMIFS(N$101:N$136,$F$101:$F$136,$R100,$P$101:$P$136,"y"))</f>
        <v>3075764.2988703456</v>
      </c>
      <c r="V100" s="73">
        <f t="shared" ref="V100:V113" si="40">SUM(V10,SUMIFS(O$101:O$136,$F$101:$F$136,$R100,$P$101:$P$136,"y"))</f>
        <v>3075763.4970791722</v>
      </c>
    </row>
    <row r="101" spans="2:30" ht="15" customHeight="1">
      <c r="B101" t="s">
        <v>334</v>
      </c>
      <c r="C101" t="s">
        <v>426</v>
      </c>
      <c r="D101" t="s">
        <v>427</v>
      </c>
      <c r="E101" s="76">
        <v>0</v>
      </c>
      <c r="F101" t="s">
        <v>292</v>
      </c>
      <c r="G101" s="76">
        <v>0</v>
      </c>
      <c r="H101" s="76">
        <v>169268.28832762563</v>
      </c>
      <c r="I101" s="76">
        <v>0</v>
      </c>
      <c r="J101" s="76">
        <v>0</v>
      </c>
      <c r="K101" s="300" t="s">
        <v>125</v>
      </c>
      <c r="L101" s="76">
        <f t="shared" ref="L101:N106" si="41">G101</f>
        <v>0</v>
      </c>
      <c r="M101" s="76">
        <f t="shared" si="41"/>
        <v>169268.28832762563</v>
      </c>
      <c r="N101" s="76">
        <f t="shared" si="41"/>
        <v>0</v>
      </c>
      <c r="O101" s="76">
        <f t="shared" ref="O101:O102" si="42">J101</f>
        <v>0</v>
      </c>
      <c r="P101" s="329" t="str">
        <f>VLOOKUP(B101,Summary!$B$8:$E$22,3,FALSE)</f>
        <v>Y</v>
      </c>
      <c r="R101" t="s">
        <v>14</v>
      </c>
      <c r="S101" s="73">
        <f t="shared" si="37"/>
        <v>431130.2253517076</v>
      </c>
      <c r="T101" s="73">
        <f t="shared" si="38"/>
        <v>658567.08674802619</v>
      </c>
      <c r="U101" s="73">
        <f t="shared" si="39"/>
        <v>244371.67766520652</v>
      </c>
      <c r="V101" s="73">
        <f t="shared" si="40"/>
        <v>244371.67766520652</v>
      </c>
    </row>
    <row r="102" spans="2:30" ht="19.5" customHeight="1">
      <c r="B102" t="s">
        <v>334</v>
      </c>
      <c r="C102" t="s">
        <v>426</v>
      </c>
      <c r="D102" t="s">
        <v>428</v>
      </c>
      <c r="E102" s="76">
        <v>0</v>
      </c>
      <c r="F102" t="s">
        <v>207</v>
      </c>
      <c r="G102" s="76">
        <v>0</v>
      </c>
      <c r="H102" s="76">
        <v>36606.402981008279</v>
      </c>
      <c r="I102" s="76">
        <v>36606.402981008279</v>
      </c>
      <c r="J102" s="76">
        <v>0</v>
      </c>
      <c r="K102" s="300" t="s">
        <v>125</v>
      </c>
      <c r="L102" s="76">
        <f t="shared" si="41"/>
        <v>0</v>
      </c>
      <c r="M102" s="76">
        <f t="shared" si="41"/>
        <v>36606.402981008279</v>
      </c>
      <c r="N102" s="76">
        <f t="shared" si="41"/>
        <v>36606.402981008279</v>
      </c>
      <c r="O102" s="76">
        <f t="shared" si="42"/>
        <v>0</v>
      </c>
      <c r="P102" s="329" t="str">
        <f>VLOOKUP(B102,Summary!$B$8:$E$22,3,FALSE)</f>
        <v>Y</v>
      </c>
      <c r="R102" t="s">
        <v>5</v>
      </c>
      <c r="S102" s="73">
        <f t="shared" si="37"/>
        <v>9542526.8965199254</v>
      </c>
      <c r="T102" s="73">
        <f t="shared" si="38"/>
        <v>9420105.1260379218</v>
      </c>
      <c r="U102" s="73">
        <f t="shared" si="39"/>
        <v>9822789.49717943</v>
      </c>
      <c r="V102" s="73">
        <f t="shared" si="40"/>
        <v>10481110.386925217</v>
      </c>
    </row>
    <row r="103" spans="2:30">
      <c r="B103" s="332" t="s">
        <v>445</v>
      </c>
      <c r="C103" t="s">
        <v>443</v>
      </c>
      <c r="D103" t="s">
        <v>452</v>
      </c>
      <c r="E103" s="76">
        <v>0</v>
      </c>
      <c r="F103" t="s">
        <v>5</v>
      </c>
      <c r="G103" s="76">
        <v>0</v>
      </c>
      <c r="H103" s="328">
        <v>35860.538402437938</v>
      </c>
      <c r="I103" s="76">
        <v>34019.172839575942</v>
      </c>
      <c r="J103" s="76">
        <v>31781.76496018999</v>
      </c>
      <c r="K103" s="300" t="s">
        <v>125</v>
      </c>
      <c r="L103" s="76">
        <f t="shared" si="41"/>
        <v>0</v>
      </c>
      <c r="M103" s="76">
        <f t="shared" si="41"/>
        <v>35860.538402437938</v>
      </c>
      <c r="N103" s="76">
        <f t="shared" si="41"/>
        <v>34019.172839575942</v>
      </c>
      <c r="O103" s="76">
        <f t="shared" ref="O103:O104" si="43">J103</f>
        <v>31781.76496018999</v>
      </c>
      <c r="P103" s="329" t="str">
        <f>VLOOKUP(B103,Summary!$B$8:$E$22,3,FALSE)</f>
        <v>Y</v>
      </c>
      <c r="R103" t="s">
        <v>129</v>
      </c>
      <c r="S103" s="73">
        <f t="shared" si="37"/>
        <v>-475276.50099999999</v>
      </c>
      <c r="T103" s="73">
        <f t="shared" si="38"/>
        <v>-530136.75837605388</v>
      </c>
      <c r="U103" s="73">
        <f t="shared" si="39"/>
        <v>-475276.50099999999</v>
      </c>
      <c r="V103" s="73">
        <f t="shared" si="40"/>
        <v>-475276.50099999999</v>
      </c>
    </row>
    <row r="104" spans="2:30" ht="14.25" customHeight="1">
      <c r="B104" s="332" t="s">
        <v>445</v>
      </c>
      <c r="C104" t="s">
        <v>443</v>
      </c>
      <c r="D104" t="s">
        <v>451</v>
      </c>
      <c r="E104" s="76">
        <v>0</v>
      </c>
      <c r="F104" t="s">
        <v>207</v>
      </c>
      <c r="G104" s="76">
        <v>0</v>
      </c>
      <c r="H104" s="328">
        <v>9332.7036237896464</v>
      </c>
      <c r="I104" s="76">
        <v>6533.4099648773927</v>
      </c>
      <c r="J104" s="76">
        <v>6103.7139518788108</v>
      </c>
      <c r="K104" s="300" t="s">
        <v>125</v>
      </c>
      <c r="L104" s="76">
        <f t="shared" si="41"/>
        <v>0</v>
      </c>
      <c r="M104" s="76">
        <f t="shared" si="41"/>
        <v>9332.7036237896464</v>
      </c>
      <c r="N104" s="76">
        <f t="shared" si="41"/>
        <v>6533.4099648773927</v>
      </c>
      <c r="O104" s="76">
        <f t="shared" si="43"/>
        <v>6103.7139518788108</v>
      </c>
      <c r="P104" s="329" t="str">
        <f>VLOOKUP(B104,Summary!$B$8:$E$22,3,FALSE)</f>
        <v>Y</v>
      </c>
      <c r="R104" t="s">
        <v>66</v>
      </c>
      <c r="S104" s="73">
        <f t="shared" si="37"/>
        <v>19992.065902402835</v>
      </c>
      <c r="T104" s="73">
        <f t="shared" si="38"/>
        <v>-19903.176819083128</v>
      </c>
      <c r="U104" s="73">
        <f t="shared" si="39"/>
        <v>-3377.8111523794842</v>
      </c>
      <c r="V104" s="73">
        <f t="shared" si="40"/>
        <v>-3377.8111523794842</v>
      </c>
      <c r="AD104" s="340"/>
    </row>
    <row r="105" spans="2:30">
      <c r="B105" s="332" t="s">
        <v>446</v>
      </c>
      <c r="C105" t="s">
        <v>447</v>
      </c>
      <c r="D105" t="s">
        <v>448</v>
      </c>
      <c r="E105" s="76">
        <v>0</v>
      </c>
      <c r="F105" t="s">
        <v>5</v>
      </c>
      <c r="G105" s="76">
        <v>0</v>
      </c>
      <c r="H105" s="328">
        <v>8351.0913413177768</v>
      </c>
      <c r="I105" s="76">
        <v>1575.6346127997931</v>
      </c>
      <c r="J105" s="76">
        <v>1520.3615523477238</v>
      </c>
      <c r="K105" s="300" t="s">
        <v>125</v>
      </c>
      <c r="L105" s="76">
        <f t="shared" si="41"/>
        <v>0</v>
      </c>
      <c r="M105" s="76">
        <f t="shared" si="41"/>
        <v>8351.0913413177768</v>
      </c>
      <c r="N105" s="76">
        <f t="shared" si="41"/>
        <v>1575.6346127997931</v>
      </c>
      <c r="O105" s="76">
        <f>J105</f>
        <v>1520.3615523477238</v>
      </c>
      <c r="P105" s="329" t="str">
        <f>VLOOKUP(B105,Summary!$B$8:$E$22,3,FALSE)</f>
        <v>Y</v>
      </c>
      <c r="R105" t="s">
        <v>16</v>
      </c>
      <c r="S105" s="73">
        <f t="shared" si="37"/>
        <v>-1604.9394941091518</v>
      </c>
      <c r="T105" s="73">
        <f t="shared" si="38"/>
        <v>0</v>
      </c>
      <c r="U105" s="73">
        <f t="shared" si="39"/>
        <v>0</v>
      </c>
      <c r="V105" s="73">
        <f t="shared" si="40"/>
        <v>0</v>
      </c>
      <c r="AD105" s="340"/>
    </row>
    <row r="106" spans="2:30">
      <c r="B106" s="332" t="s">
        <v>446</v>
      </c>
      <c r="C106" t="s">
        <v>447</v>
      </c>
      <c r="D106" t="s">
        <v>448</v>
      </c>
      <c r="E106" s="76">
        <v>0</v>
      </c>
      <c r="F106" t="s">
        <v>292</v>
      </c>
      <c r="G106" s="76">
        <v>0</v>
      </c>
      <c r="H106" s="328">
        <v>156458.90106895272</v>
      </c>
      <c r="I106" s="328">
        <v>29519.741783348694</v>
      </c>
      <c r="J106" s="76">
        <v>28484.19302168427</v>
      </c>
      <c r="K106" s="300" t="s">
        <v>125</v>
      </c>
      <c r="L106" s="76">
        <f t="shared" si="41"/>
        <v>0</v>
      </c>
      <c r="M106" s="76">
        <f t="shared" si="41"/>
        <v>156458.90106895272</v>
      </c>
      <c r="N106" s="76">
        <f t="shared" si="41"/>
        <v>29519.741783348694</v>
      </c>
      <c r="O106" s="76">
        <f t="shared" ref="O106:O107" si="44">J106</f>
        <v>28484.19302168427</v>
      </c>
      <c r="P106" s="329" t="str">
        <f>VLOOKUP(B106,Summary!$B$8:$E$22,3,FALSE)</f>
        <v>Y</v>
      </c>
      <c r="R106" t="s">
        <v>15</v>
      </c>
      <c r="S106" s="73">
        <f t="shared" si="37"/>
        <v>758806.47798339988</v>
      </c>
      <c r="T106" s="73">
        <f t="shared" si="38"/>
        <v>1044477.8272193385</v>
      </c>
      <c r="U106" s="73">
        <f t="shared" si="39"/>
        <v>1012063.5072494335</v>
      </c>
      <c r="V106" s="73">
        <f t="shared" si="40"/>
        <v>1026345.6548407136</v>
      </c>
      <c r="AD106" s="340"/>
    </row>
    <row r="107" spans="2:30">
      <c r="B107" s="332" t="s">
        <v>446</v>
      </c>
      <c r="C107" t="s">
        <v>447</v>
      </c>
      <c r="D107" t="s">
        <v>448</v>
      </c>
      <c r="E107" s="76">
        <v>0</v>
      </c>
      <c r="F107" t="s">
        <v>207</v>
      </c>
      <c r="G107" s="76">
        <v>0</v>
      </c>
      <c r="H107" s="328">
        <v>5262.4030377508752</v>
      </c>
      <c r="I107" s="76">
        <v>473.14423595502808</v>
      </c>
      <c r="J107" s="76">
        <v>313.01799212374129</v>
      </c>
      <c r="K107" s="300" t="s">
        <v>125</v>
      </c>
      <c r="L107" s="76">
        <f t="shared" ref="L107:N110" si="45">G107</f>
        <v>0</v>
      </c>
      <c r="M107" s="76">
        <f t="shared" si="45"/>
        <v>5262.4030377508752</v>
      </c>
      <c r="N107" s="76">
        <f t="shared" si="45"/>
        <v>473.14423595502808</v>
      </c>
      <c r="O107" s="76">
        <f t="shared" si="44"/>
        <v>313.01799212374129</v>
      </c>
      <c r="P107" s="329" t="str">
        <f>VLOOKUP(B107,Summary!$B$8:$E$22,3,FALSE)</f>
        <v>Y</v>
      </c>
      <c r="R107" t="s">
        <v>656</v>
      </c>
      <c r="S107" s="73">
        <f t="shared" si="37"/>
        <v>401830.0859770244</v>
      </c>
      <c r="T107" s="73">
        <f t="shared" si="38"/>
        <v>401830.0859770244</v>
      </c>
      <c r="U107" s="73">
        <f t="shared" si="39"/>
        <v>401830.0859770244</v>
      </c>
      <c r="V107" s="73">
        <f t="shared" si="40"/>
        <v>401830.0859770244</v>
      </c>
    </row>
    <row r="108" spans="2:30">
      <c r="B108" t="s">
        <v>501</v>
      </c>
      <c r="C108" t="s">
        <v>505</v>
      </c>
      <c r="D108" t="s">
        <v>428</v>
      </c>
      <c r="E108" s="76">
        <f t="shared" ref="E108:E126" si="46">G108</f>
        <v>0</v>
      </c>
      <c r="F108" t="s">
        <v>207</v>
      </c>
      <c r="G108" s="76">
        <v>0</v>
      </c>
      <c r="H108" s="76">
        <v>1509586.469847593</v>
      </c>
      <c r="I108" s="76">
        <v>1523754.6825696924</v>
      </c>
      <c r="J108" s="76">
        <v>1573607.0504686588</v>
      </c>
      <c r="K108" s="300" t="s">
        <v>126</v>
      </c>
      <c r="L108" s="76">
        <f t="shared" si="45"/>
        <v>0</v>
      </c>
      <c r="M108" s="76">
        <f>H108-H12</f>
        <v>303909.28730642353</v>
      </c>
      <c r="N108" s="76">
        <f>I108-I12</f>
        <v>318077.50002852292</v>
      </c>
      <c r="O108" s="76">
        <f>J108-J12</f>
        <v>367929.86792748934</v>
      </c>
      <c r="P108" s="329" t="str">
        <f>VLOOKUP(B108,Summary!$B$8:$E$22,3,FALSE)</f>
        <v>Y</v>
      </c>
      <c r="R108" t="s">
        <v>127</v>
      </c>
      <c r="S108" s="73">
        <f t="shared" si="37"/>
        <v>1685.3200572805854</v>
      </c>
      <c r="T108" s="73">
        <f t="shared" si="38"/>
        <v>0</v>
      </c>
      <c r="U108" s="73">
        <f t="shared" si="39"/>
        <v>0</v>
      </c>
      <c r="V108" s="73">
        <f t="shared" si="40"/>
        <v>0</v>
      </c>
    </row>
    <row r="109" spans="2:30">
      <c r="B109" t="s">
        <v>501</v>
      </c>
      <c r="C109" t="s">
        <v>505</v>
      </c>
      <c r="D109" t="s">
        <v>428</v>
      </c>
      <c r="E109" s="76">
        <f t="shared" si="46"/>
        <v>0</v>
      </c>
      <c r="F109" t="s">
        <v>292</v>
      </c>
      <c r="G109" s="76">
        <v>0</v>
      </c>
      <c r="H109" s="76">
        <v>1321439.204610883</v>
      </c>
      <c r="I109" s="76">
        <v>1427919.5248459708</v>
      </c>
      <c r="J109" s="76">
        <v>1535976.335609799</v>
      </c>
      <c r="K109" s="300" t="s">
        <v>126</v>
      </c>
      <c r="L109" s="76">
        <f t="shared" si="45"/>
        <v>0</v>
      </c>
      <c r="M109" s="76">
        <f>H109-H11</f>
        <v>139367.78094133851</v>
      </c>
      <c r="N109" s="76">
        <f>I109-I11</f>
        <v>245848.10117642628</v>
      </c>
      <c r="O109" s="76">
        <f>J109-J11</f>
        <v>353904.9119402545</v>
      </c>
      <c r="P109" s="329" t="str">
        <f>VLOOKUP(B109,Summary!$B$8:$E$22,3,FALSE)</f>
        <v>Y</v>
      </c>
      <c r="R109" t="s">
        <v>10</v>
      </c>
      <c r="S109" s="73">
        <f t="shared" si="37"/>
        <v>2580189.8596306657</v>
      </c>
      <c r="T109" s="73">
        <f t="shared" si="38"/>
        <v>2580189.8596306657</v>
      </c>
      <c r="U109" s="73">
        <f t="shared" si="39"/>
        <v>2580189.8596306657</v>
      </c>
      <c r="V109" s="73">
        <f t="shared" si="40"/>
        <v>2580189.8596306657</v>
      </c>
    </row>
    <row r="110" spans="2:30">
      <c r="B110" t="s">
        <v>501</v>
      </c>
      <c r="C110" t="s">
        <v>505</v>
      </c>
      <c r="D110" t="s">
        <v>428</v>
      </c>
      <c r="E110" s="76">
        <f t="shared" si="46"/>
        <v>0</v>
      </c>
      <c r="F110" t="s">
        <v>5</v>
      </c>
      <c r="G110" s="76">
        <v>0</v>
      </c>
      <c r="H110" s="328">
        <v>8113809.5213229498</v>
      </c>
      <c r="I110" s="76">
        <v>8764776.3355631195</v>
      </c>
      <c r="J110" s="76">
        <v>9425381.0154192876</v>
      </c>
      <c r="K110" s="300" t="s">
        <v>126</v>
      </c>
      <c r="L110" s="76">
        <f t="shared" si="45"/>
        <v>0</v>
      </c>
      <c r="M110" s="76">
        <f>H110-H10</f>
        <v>852024.11268866155</v>
      </c>
      <c r="N110" s="76">
        <f>I110-I10</f>
        <v>1502990.9269288313</v>
      </c>
      <c r="O110" s="76">
        <f>J110-J10</f>
        <v>2163595.6067849994</v>
      </c>
      <c r="P110" s="329" t="str">
        <f>VLOOKUP(B110,Summary!$B$8:$E$22,3,FALSE)</f>
        <v>Y</v>
      </c>
      <c r="R110" t="s">
        <v>134</v>
      </c>
      <c r="S110" s="73">
        <f t="shared" si="37"/>
        <v>355331.38588014222</v>
      </c>
      <c r="T110" s="73">
        <f t="shared" si="38"/>
        <v>379071.98008906806</v>
      </c>
      <c r="U110" s="73">
        <f t="shared" si="39"/>
        <v>379071.98008906806</v>
      </c>
      <c r="V110" s="73">
        <f t="shared" si="40"/>
        <v>379071.98008906806</v>
      </c>
    </row>
    <row r="111" spans="2:30" ht="29">
      <c r="B111" s="122" t="s">
        <v>596</v>
      </c>
      <c r="C111" t="s">
        <v>597</v>
      </c>
      <c r="D111" t="s">
        <v>600</v>
      </c>
      <c r="E111" s="76">
        <v>0</v>
      </c>
      <c r="F111" t="s">
        <v>5</v>
      </c>
      <c r="G111" s="76">
        <v>0</v>
      </c>
      <c r="H111" s="76">
        <v>283354.25289723289</v>
      </c>
      <c r="I111" s="76">
        <v>8304.5596319474298</v>
      </c>
      <c r="J111" s="76">
        <v>8313.4504614036668</v>
      </c>
      <c r="K111" s="300" t="s">
        <v>125</v>
      </c>
      <c r="L111" s="76">
        <v>0</v>
      </c>
      <c r="M111" s="76">
        <f>H111</f>
        <v>283354.25289723289</v>
      </c>
      <c r="N111" s="76">
        <f>I111</f>
        <v>8304.5596319474298</v>
      </c>
      <c r="O111" s="76">
        <f>J111</f>
        <v>8313.4504614036668</v>
      </c>
      <c r="P111" s="329" t="str">
        <f>VLOOKUP(B111,Summary!$B$8:$E$22,3,FALSE)</f>
        <v>Y</v>
      </c>
      <c r="R111" t="s">
        <v>207</v>
      </c>
      <c r="S111" s="73">
        <f t="shared" si="37"/>
        <v>1288469.063650345</v>
      </c>
      <c r="T111" s="73">
        <f t="shared" si="38"/>
        <v>1161850.8939920722</v>
      </c>
      <c r="U111" s="73">
        <f t="shared" si="39"/>
        <v>896428.12458425213</v>
      </c>
      <c r="V111" s="73">
        <f t="shared" si="40"/>
        <v>909084.26724538044</v>
      </c>
    </row>
    <row r="112" spans="2:30" ht="31" customHeight="1">
      <c r="B112" s="122" t="s">
        <v>596</v>
      </c>
      <c r="C112" t="s">
        <v>597</v>
      </c>
      <c r="D112" t="s">
        <v>600</v>
      </c>
      <c r="E112" s="76">
        <v>0</v>
      </c>
      <c r="F112" t="s">
        <v>3</v>
      </c>
      <c r="G112" s="76">
        <v>0</v>
      </c>
      <c r="H112" s="76">
        <v>34598.979996176342</v>
      </c>
      <c r="I112" s="76">
        <v>36.477118738489622</v>
      </c>
      <c r="J112" s="76">
        <v>35.675327565212818</v>
      </c>
      <c r="K112" s="300" t="s">
        <v>125</v>
      </c>
      <c r="L112" s="76">
        <v>0</v>
      </c>
      <c r="M112" s="76">
        <f t="shared" ref="M112:M113" si="47">H112</f>
        <v>34598.979996176342</v>
      </c>
      <c r="N112" s="76">
        <f>I112</f>
        <v>36.477118738489622</v>
      </c>
      <c r="O112" s="76">
        <f>J112</f>
        <v>35.675327565212818</v>
      </c>
      <c r="P112" s="329" t="str">
        <f>VLOOKUP(B112,Summary!$B$8:$E$22,3,FALSE)</f>
        <v>Y</v>
      </c>
      <c r="R112" t="s">
        <v>275</v>
      </c>
      <c r="S112" s="73">
        <f t="shared" si="37"/>
        <v>223582.8734707309</v>
      </c>
      <c r="T112" s="73">
        <f t="shared" si="38"/>
        <v>223582.8734707309</v>
      </c>
      <c r="U112" s="73">
        <f t="shared" si="39"/>
        <v>340137.03170729481</v>
      </c>
      <c r="V112" s="73">
        <f t="shared" si="40"/>
        <v>340137.03170729481</v>
      </c>
    </row>
    <row r="113" spans="2:22" ht="33.65" customHeight="1">
      <c r="B113" s="122" t="s">
        <v>596</v>
      </c>
      <c r="C113" t="s">
        <v>597</v>
      </c>
      <c r="D113" t="s">
        <v>601</v>
      </c>
      <c r="E113" s="76">
        <v>0</v>
      </c>
      <c r="F113" t="s">
        <v>275</v>
      </c>
      <c r="G113" s="76">
        <v>0</v>
      </c>
      <c r="H113" s="76">
        <v>0</v>
      </c>
      <c r="I113" s="76">
        <v>116554.15823656389</v>
      </c>
      <c r="J113" s="76">
        <v>116554.15823656389</v>
      </c>
      <c r="K113" s="300" t="s">
        <v>125</v>
      </c>
      <c r="L113" s="76">
        <f>G113</f>
        <v>0</v>
      </c>
      <c r="M113" s="76">
        <f t="shared" si="47"/>
        <v>0</v>
      </c>
      <c r="N113" s="76">
        <f t="shared" ref="N113" si="48">I113</f>
        <v>116554.15823656389</v>
      </c>
      <c r="O113" s="76">
        <f t="shared" ref="O113" si="49">J113</f>
        <v>116554.15823656389</v>
      </c>
      <c r="P113" s="329" t="str">
        <f>VLOOKUP(B113,Summary!$B$8:$E$22,3,FALSE)</f>
        <v>Y</v>
      </c>
      <c r="R113" t="s">
        <v>292</v>
      </c>
      <c r="S113" s="73">
        <f t="shared" si="37"/>
        <v>1710924.6690438676</v>
      </c>
      <c r="T113" s="73">
        <f t="shared" si="38"/>
        <v>1435053.6084465426</v>
      </c>
      <c r="U113" s="73">
        <f t="shared" si="39"/>
        <v>1504315.4810684009</v>
      </c>
      <c r="V113" s="73">
        <f t="shared" si="40"/>
        <v>1611336.7430705647</v>
      </c>
    </row>
    <row r="114" spans="2:22" ht="15" customHeight="1">
      <c r="B114" t="s">
        <v>688</v>
      </c>
      <c r="C114" t="s">
        <v>702</v>
      </c>
      <c r="D114" t="s">
        <v>703</v>
      </c>
      <c r="E114" s="76">
        <f t="shared" ref="E114:E122" si="50">G114</f>
        <v>0</v>
      </c>
      <c r="F114" t="s">
        <v>14</v>
      </c>
      <c r="G114" s="76">
        <v>0</v>
      </c>
      <c r="H114" s="76">
        <v>658567.08674802619</v>
      </c>
      <c r="I114" s="76">
        <v>0</v>
      </c>
      <c r="J114" s="76">
        <v>0</v>
      </c>
      <c r="K114" s="300" t="s">
        <v>126</v>
      </c>
      <c r="L114" s="76">
        <f t="shared" ref="L114:L122" si="51">G114</f>
        <v>0</v>
      </c>
      <c r="M114" s="76">
        <f>H114-H23</f>
        <v>414195.40908281971</v>
      </c>
      <c r="N114" s="76">
        <v>0</v>
      </c>
      <c r="O114" s="76">
        <v>0</v>
      </c>
      <c r="P114" s="329" t="str">
        <f>VLOOKUP(B114,Summary!$B$8:$E$22,3,FALSE)</f>
        <v>Y</v>
      </c>
      <c r="R114" t="s">
        <v>132</v>
      </c>
      <c r="S114" s="327">
        <f>SUM(S100:S113)</f>
        <v>19913315.304724991</v>
      </c>
      <c r="T114" s="327">
        <f>SUM(T100:T113)</f>
        <v>19687250.543448798</v>
      </c>
      <c r="U114" s="327">
        <f>SUM(U100:U113)</f>
        <v>19778307.231868744</v>
      </c>
      <c r="V114" s="327">
        <f>SUM(V100:V113)</f>
        <v>20570586.872077931</v>
      </c>
    </row>
    <row r="115" spans="2:22" ht="15" customHeight="1">
      <c r="B115" t="s">
        <v>688</v>
      </c>
      <c r="C115" t="s">
        <v>702</v>
      </c>
      <c r="D115" t="s">
        <v>703</v>
      </c>
      <c r="E115" s="76">
        <f t="shared" si="50"/>
        <v>0</v>
      </c>
      <c r="F115" t="s">
        <v>207</v>
      </c>
      <c r="G115" s="76">
        <v>0</v>
      </c>
      <c r="H115" s="76">
        <v>524.39278966844086</v>
      </c>
      <c r="I115" s="76">
        <v>0</v>
      </c>
      <c r="J115" s="76">
        <v>0</v>
      </c>
      <c r="K115" s="300" t="s">
        <v>126</v>
      </c>
      <c r="L115" s="76">
        <f t="shared" si="51"/>
        <v>0</v>
      </c>
      <c r="M115" s="76">
        <f>H115-'Authorized Rev Req'!$K$26</f>
        <v>-130.16225274150895</v>
      </c>
      <c r="N115" s="76">
        <v>0</v>
      </c>
      <c r="O115" s="76">
        <v>0</v>
      </c>
      <c r="P115" s="329" t="str">
        <f>VLOOKUP(B115,Summary!$B$8:$E$22,3,FALSE)</f>
        <v>Y</v>
      </c>
      <c r="S115" s="311"/>
      <c r="T115" s="311"/>
      <c r="U115" s="311"/>
      <c r="V115" s="311"/>
    </row>
    <row r="116" spans="2:22" ht="15" customHeight="1">
      <c r="B116" t="s">
        <v>688</v>
      </c>
      <c r="C116" t="s">
        <v>702</v>
      </c>
      <c r="D116" t="s">
        <v>703</v>
      </c>
      <c r="E116" s="76">
        <f t="shared" si="50"/>
        <v>0</v>
      </c>
      <c r="F116" t="s">
        <v>207</v>
      </c>
      <c r="G116" s="76">
        <v>0</v>
      </c>
      <c r="H116" s="76">
        <v>-397957.22842365596</v>
      </c>
      <c r="I116" s="76">
        <v>0</v>
      </c>
      <c r="J116" s="76">
        <v>0</v>
      </c>
      <c r="K116" s="300" t="s">
        <v>126</v>
      </c>
      <c r="L116" s="76">
        <f t="shared" si="51"/>
        <v>0</v>
      </c>
      <c r="M116" s="76">
        <f>H116-H21</f>
        <v>287526.36495527066</v>
      </c>
      <c r="N116" s="76">
        <v>0</v>
      </c>
      <c r="O116" s="76">
        <v>0</v>
      </c>
      <c r="P116" s="329" t="str">
        <f>VLOOKUP(B116,Summary!$B$8:$E$22,3,FALSE)</f>
        <v>Y</v>
      </c>
      <c r="S116" s="311"/>
      <c r="T116" s="311"/>
      <c r="U116" s="311"/>
      <c r="V116" s="311"/>
    </row>
    <row r="117" spans="2:22" ht="15" customHeight="1">
      <c r="B117" t="s">
        <v>688</v>
      </c>
      <c r="C117" t="s">
        <v>702</v>
      </c>
      <c r="D117" t="s">
        <v>703</v>
      </c>
      <c r="E117" s="76">
        <f t="shared" si="50"/>
        <v>0</v>
      </c>
      <c r="F117" t="s">
        <v>66</v>
      </c>
      <c r="G117" s="76">
        <v>0</v>
      </c>
      <c r="H117" s="76">
        <v>-19903.176819083128</v>
      </c>
      <c r="I117" s="76">
        <v>0</v>
      </c>
      <c r="J117" s="76">
        <v>0</v>
      </c>
      <c r="K117" s="300" t="s">
        <v>126</v>
      </c>
      <c r="L117" s="76">
        <f t="shared" si="51"/>
        <v>0</v>
      </c>
      <c r="M117" s="76">
        <f>H117-H22</f>
        <v>-16525.365666703645</v>
      </c>
      <c r="N117" s="76">
        <v>0</v>
      </c>
      <c r="O117" s="76">
        <v>0</v>
      </c>
      <c r="P117" s="329" t="str">
        <f>VLOOKUP(B117,Summary!$B$8:$E$22,3,FALSE)</f>
        <v>Y</v>
      </c>
      <c r="S117" s="311"/>
      <c r="T117" s="311"/>
      <c r="U117" s="311"/>
      <c r="V117" s="311"/>
    </row>
    <row r="118" spans="2:22" ht="15" customHeight="1">
      <c r="B118" t="s">
        <v>688</v>
      </c>
      <c r="C118" t="s">
        <v>702</v>
      </c>
      <c r="D118" t="s">
        <v>703</v>
      </c>
      <c r="E118" s="76">
        <f t="shared" si="50"/>
        <v>0</v>
      </c>
      <c r="F118" t="s">
        <v>3</v>
      </c>
      <c r="G118" s="76">
        <v>0</v>
      </c>
      <c r="H118" s="76">
        <v>2895084.2447405108</v>
      </c>
      <c r="I118" s="76">
        <v>0</v>
      </c>
      <c r="J118" s="76">
        <v>0</v>
      </c>
      <c r="K118" s="300" t="s">
        <v>126</v>
      </c>
      <c r="L118" s="76">
        <f t="shared" si="51"/>
        <v>0</v>
      </c>
      <c r="M118" s="76">
        <f>H118-H20</f>
        <v>-177765.66471524024</v>
      </c>
      <c r="N118" s="76">
        <v>0</v>
      </c>
      <c r="O118" s="76">
        <v>0</v>
      </c>
      <c r="P118" s="329" t="str">
        <f>VLOOKUP(B118,Summary!$B$8:$E$22,3,FALSE)</f>
        <v>Y</v>
      </c>
      <c r="R118" s="306"/>
      <c r="S118" s="311"/>
      <c r="T118" s="311"/>
      <c r="U118" s="311"/>
      <c r="V118" s="311"/>
    </row>
    <row r="119" spans="2:22" ht="15" customHeight="1">
      <c r="B119" t="s">
        <v>688</v>
      </c>
      <c r="C119" t="s">
        <v>702</v>
      </c>
      <c r="D119" t="s">
        <v>703</v>
      </c>
      <c r="E119" s="76">
        <f t="shared" si="50"/>
        <v>0</v>
      </c>
      <c r="F119" t="s">
        <v>15</v>
      </c>
      <c r="G119" s="76">
        <v>0</v>
      </c>
      <c r="H119" s="76">
        <v>-796.17486520224895</v>
      </c>
      <c r="I119" s="76">
        <v>0</v>
      </c>
      <c r="J119" s="76">
        <v>0</v>
      </c>
      <c r="K119" s="300" t="s">
        <v>126</v>
      </c>
      <c r="L119" s="76">
        <f t="shared" si="51"/>
        <v>0</v>
      </c>
      <c r="M119" s="76">
        <f>H119-H72</f>
        <v>290.68926314415705</v>
      </c>
      <c r="N119" s="76">
        <v>0</v>
      </c>
      <c r="O119" s="76">
        <v>0</v>
      </c>
      <c r="P119" s="329" t="str">
        <f>VLOOKUP(B119,Summary!$B$8:$E$22,3,FALSE)</f>
        <v>Y</v>
      </c>
      <c r="S119" s="311"/>
      <c r="T119" s="311"/>
      <c r="U119" s="311"/>
      <c r="V119" s="311"/>
    </row>
    <row r="120" spans="2:22" ht="15" customHeight="1">
      <c r="B120" t="s">
        <v>688</v>
      </c>
      <c r="C120" t="s">
        <v>702</v>
      </c>
      <c r="D120" t="s">
        <v>703</v>
      </c>
      <c r="E120" s="76">
        <f t="shared" si="50"/>
        <v>0</v>
      </c>
      <c r="F120" t="s">
        <v>15</v>
      </c>
      <c r="G120" s="76">
        <v>0</v>
      </c>
      <c r="H120" s="76">
        <v>30086.595899980926</v>
      </c>
      <c r="I120" s="76">
        <v>0</v>
      </c>
      <c r="J120" s="76">
        <v>0</v>
      </c>
      <c r="K120" s="300" t="s">
        <v>126</v>
      </c>
      <c r="L120" s="76">
        <f t="shared" si="51"/>
        <v>0</v>
      </c>
      <c r="M120" s="76">
        <f>H120-H60</f>
        <v>-4304.2020316387316</v>
      </c>
      <c r="N120" s="76">
        <v>0</v>
      </c>
      <c r="O120" s="76">
        <v>0</v>
      </c>
      <c r="P120" s="329" t="str">
        <f>VLOOKUP(B120,Summary!$B$8:$E$22,3,FALSE)</f>
        <v>Y</v>
      </c>
      <c r="S120" s="311"/>
      <c r="T120" s="311"/>
      <c r="U120" s="311"/>
      <c r="V120" s="311"/>
    </row>
    <row r="121" spans="2:22" ht="15" customHeight="1">
      <c r="B121" t="s">
        <v>688</v>
      </c>
      <c r="C121" t="s">
        <v>702</v>
      </c>
      <c r="D121" t="s">
        <v>703</v>
      </c>
      <c r="E121" s="76">
        <f t="shared" si="50"/>
        <v>0</v>
      </c>
      <c r="F121" t="s">
        <v>15</v>
      </c>
      <c r="G121" s="76">
        <v>0</v>
      </c>
      <c r="H121" s="76">
        <v>10799.541990656233</v>
      </c>
      <c r="I121" s="76">
        <v>0</v>
      </c>
      <c r="J121" s="76">
        <v>0</v>
      </c>
      <c r="K121" s="300" t="s">
        <v>126</v>
      </c>
      <c r="L121" s="76">
        <f t="shared" si="51"/>
        <v>0</v>
      </c>
      <c r="M121" s="76">
        <f>H121-H71</f>
        <v>628.4910062138224</v>
      </c>
      <c r="N121" s="76">
        <v>0</v>
      </c>
      <c r="O121" s="76">
        <v>0</v>
      </c>
      <c r="P121" s="329" t="str">
        <f>VLOOKUP(B121,Summary!$B$8:$E$22,3,FALSE)</f>
        <v>Y</v>
      </c>
      <c r="S121" s="311"/>
      <c r="T121" s="311"/>
      <c r="U121" s="311"/>
      <c r="V121" s="311"/>
    </row>
    <row r="122" spans="2:22" ht="15" customHeight="1">
      <c r="B122" t="s">
        <v>688</v>
      </c>
      <c r="C122" t="s">
        <v>702</v>
      </c>
      <c r="D122" t="s">
        <v>704</v>
      </c>
      <c r="E122" s="76">
        <f t="shared" si="50"/>
        <v>0</v>
      </c>
      <c r="F122" t="s">
        <v>129</v>
      </c>
      <c r="H122" s="300">
        <v>-530136.75837605388</v>
      </c>
      <c r="I122" s="76">
        <v>0</v>
      </c>
      <c r="J122" s="76">
        <v>0</v>
      </c>
      <c r="K122" s="300" t="s">
        <v>126</v>
      </c>
      <c r="L122" s="76">
        <f t="shared" si="51"/>
        <v>0</v>
      </c>
      <c r="M122" s="306">
        <f>H122-H59</f>
        <v>-54860.257376053894</v>
      </c>
      <c r="N122" s="76">
        <v>0</v>
      </c>
      <c r="O122" s="76">
        <v>0</v>
      </c>
      <c r="P122" s="329" t="str">
        <f>VLOOKUP(B122,Summary!$B$8:$E$22,3,FALSE)</f>
        <v>Y</v>
      </c>
      <c r="S122" s="311"/>
      <c r="T122" s="311"/>
      <c r="U122" s="311"/>
      <c r="V122" s="311"/>
    </row>
    <row r="123" spans="2:22" ht="15" customHeight="1">
      <c r="E123" s="76"/>
      <c r="G123" s="76"/>
      <c r="H123" s="76"/>
      <c r="I123" s="76"/>
      <c r="J123" s="76"/>
      <c r="L123" s="76"/>
      <c r="M123" s="76"/>
      <c r="N123" s="76"/>
      <c r="O123" s="76"/>
      <c r="P123" s="329"/>
      <c r="S123" s="311"/>
      <c r="T123" s="311"/>
      <c r="U123" s="311"/>
      <c r="V123" s="311"/>
    </row>
    <row r="124" spans="2:22" ht="15" customHeight="1">
      <c r="E124" s="76"/>
      <c r="G124" s="76"/>
      <c r="H124" s="76"/>
      <c r="I124" s="76"/>
      <c r="J124" s="76"/>
      <c r="L124" s="76"/>
      <c r="M124" s="76"/>
      <c r="N124" s="76"/>
      <c r="O124" s="76"/>
      <c r="P124" s="329"/>
      <c r="S124" s="311"/>
      <c r="T124" s="311"/>
      <c r="U124" s="311"/>
      <c r="V124" s="311"/>
    </row>
    <row r="125" spans="2:22" ht="15" customHeight="1">
      <c r="B125" s="12" t="s">
        <v>7</v>
      </c>
      <c r="E125" s="76"/>
      <c r="G125" s="76"/>
      <c r="I125" s="76"/>
      <c r="J125" s="76"/>
      <c r="L125" s="76"/>
      <c r="M125" s="76"/>
      <c r="N125" s="76"/>
      <c r="O125" s="76"/>
      <c r="P125" s="329"/>
      <c r="S125" s="311"/>
      <c r="T125" s="311"/>
      <c r="U125" s="311"/>
      <c r="V125" s="311"/>
    </row>
    <row r="126" spans="2:22" ht="15.65" customHeight="1">
      <c r="B126" s="332" t="s">
        <v>658</v>
      </c>
      <c r="C126" t="s">
        <v>509</v>
      </c>
      <c r="D126" t="s">
        <v>547</v>
      </c>
      <c r="E126" s="76">
        <f t="shared" si="46"/>
        <v>0</v>
      </c>
      <c r="F126" s="301" t="s">
        <v>15</v>
      </c>
      <c r="G126" s="76">
        <v>0</v>
      </c>
      <c r="H126" s="328">
        <v>6811.8386976942393</v>
      </c>
      <c r="I126" s="76">
        <v>0</v>
      </c>
      <c r="J126" s="76">
        <v>0</v>
      </c>
      <c r="K126" s="300" t="s">
        <v>126</v>
      </c>
      <c r="L126" s="76">
        <v>0</v>
      </c>
      <c r="M126" s="76">
        <v>-3522.1880000000001</v>
      </c>
      <c r="N126" s="76">
        <f t="shared" ref="N126:N127" si="52">I126</f>
        <v>0</v>
      </c>
      <c r="O126" s="76">
        <v>0</v>
      </c>
      <c r="P126" s="329" t="str">
        <f>VLOOKUP(B126,Summary!$B$8:$E$22,3,FALSE)</f>
        <v>Y</v>
      </c>
      <c r="S126" s="311"/>
      <c r="T126" s="311"/>
      <c r="U126" s="311"/>
      <c r="V126" s="311"/>
    </row>
    <row r="127" spans="2:22" ht="15.65" customHeight="1">
      <c r="B127" s="332" t="s">
        <v>659</v>
      </c>
      <c r="C127" t="s">
        <v>509</v>
      </c>
      <c r="D127" t="s">
        <v>547</v>
      </c>
      <c r="E127" s="76">
        <f t="shared" ref="E127" si="53">G127</f>
        <v>0</v>
      </c>
      <c r="F127" s="301" t="s">
        <v>15</v>
      </c>
      <c r="G127" s="76">
        <v>0</v>
      </c>
      <c r="H127" s="328">
        <v>11433.257893886353</v>
      </c>
      <c r="I127" s="76">
        <v>0</v>
      </c>
      <c r="J127" s="76">
        <v>0</v>
      </c>
      <c r="K127" s="300" t="s">
        <v>126</v>
      </c>
      <c r="L127" s="76">
        <v>0</v>
      </c>
      <c r="M127" s="76">
        <v>-3594.08</v>
      </c>
      <c r="N127" s="76">
        <f t="shared" si="52"/>
        <v>0</v>
      </c>
      <c r="O127" s="76">
        <v>0</v>
      </c>
      <c r="P127" s="329" t="str">
        <f>VLOOKUP(B127,Summary!$B$8:$E$22,3,FALSE)</f>
        <v>Y</v>
      </c>
      <c r="S127" s="311"/>
      <c r="T127" s="311"/>
      <c r="U127" s="311"/>
      <c r="V127" s="311"/>
    </row>
    <row r="128" spans="2:22" ht="15" customHeight="1">
      <c r="B128" s="332" t="s">
        <v>661</v>
      </c>
      <c r="C128" t="s">
        <v>663</v>
      </c>
      <c r="D128" t="s">
        <v>664</v>
      </c>
      <c r="E128" s="76">
        <f>G128</f>
        <v>0</v>
      </c>
      <c r="F128" s="301" t="s">
        <v>15</v>
      </c>
      <c r="G128" s="76">
        <v>0</v>
      </c>
      <c r="H128" s="76">
        <v>0</v>
      </c>
      <c r="I128" s="76">
        <v>74146.082235039998</v>
      </c>
      <c r="J128" s="76">
        <v>82592.619251919998</v>
      </c>
      <c r="K128" s="300" t="s">
        <v>126</v>
      </c>
      <c r="L128" s="76">
        <f>G128</f>
        <v>0</v>
      </c>
      <c r="M128" s="76">
        <f t="shared" ref="M128:M130" si="54">H128</f>
        <v>0</v>
      </c>
      <c r="N128" s="76">
        <f>I128-I67</f>
        <v>-16438.948764960005</v>
      </c>
      <c r="O128" s="76">
        <f>J128-J67</f>
        <v>-7992.4117480800051</v>
      </c>
      <c r="P128" s="329" t="str">
        <f>VLOOKUP(B128,Summary!$B$8:$E$22,3,FALSE)</f>
        <v>Y</v>
      </c>
      <c r="R128" s="306"/>
      <c r="S128" s="311"/>
      <c r="T128" s="311"/>
      <c r="U128" s="311"/>
      <c r="V128" s="311"/>
    </row>
    <row r="129" spans="2:22" ht="15" customHeight="1">
      <c r="B129" s="332" t="s">
        <v>660</v>
      </c>
      <c r="C129" t="s">
        <v>663</v>
      </c>
      <c r="D129" t="s">
        <v>665</v>
      </c>
      <c r="E129" s="76">
        <f>G129</f>
        <v>0</v>
      </c>
      <c r="F129" s="301" t="s">
        <v>15</v>
      </c>
      <c r="G129" s="76">
        <v>0</v>
      </c>
      <c r="H129" s="76">
        <v>0</v>
      </c>
      <c r="I129" s="76">
        <v>12556.3516468</v>
      </c>
      <c r="J129" s="76">
        <v>13117.004221200001</v>
      </c>
      <c r="K129" s="300" t="s">
        <v>126</v>
      </c>
      <c r="L129" s="76">
        <f>G129</f>
        <v>0</v>
      </c>
      <c r="M129" s="76">
        <f t="shared" si="54"/>
        <v>0</v>
      </c>
      <c r="N129" s="76">
        <f>I129-I69</f>
        <v>726.19164679999994</v>
      </c>
      <c r="O129" s="76">
        <f>J129-J69</f>
        <v>1286.8442212000009</v>
      </c>
      <c r="P129" s="329" t="str">
        <f>VLOOKUP(B129,Summary!$B$8:$E$22,3,FALSE)</f>
        <v>Y</v>
      </c>
      <c r="S129" s="311"/>
      <c r="T129" s="311"/>
      <c r="U129" s="311"/>
      <c r="V129" s="311"/>
    </row>
    <row r="130" spans="2:22" ht="15" customHeight="1">
      <c r="B130" s="332" t="s">
        <v>695</v>
      </c>
      <c r="C130" t="s">
        <v>696</v>
      </c>
      <c r="D130" t="s">
        <v>700</v>
      </c>
      <c r="E130" s="76">
        <f t="shared" ref="E130:E131" si="55">G130</f>
        <v>0</v>
      </c>
      <c r="F130" t="s">
        <v>15</v>
      </c>
      <c r="G130" s="76">
        <v>0</v>
      </c>
      <c r="H130" s="76">
        <v>0</v>
      </c>
      <c r="I130" s="76">
        <v>220432.68299999999</v>
      </c>
      <c r="J130" s="76">
        <v>225707.641</v>
      </c>
      <c r="K130" s="300" t="s">
        <v>126</v>
      </c>
      <c r="L130" s="76">
        <f>G130</f>
        <v>0</v>
      </c>
      <c r="M130" s="76">
        <f t="shared" si="54"/>
        <v>0</v>
      </c>
      <c r="N130" s="306">
        <f>I130-I62</f>
        <v>99695.809140139536</v>
      </c>
      <c r="O130" s="306">
        <f>J130-J62</f>
        <v>104970.76714013955</v>
      </c>
      <c r="P130" s="329" t="str">
        <f>VLOOKUP(B130,Summary!$B$8:$E$22,3,FALSE)</f>
        <v>Y</v>
      </c>
      <c r="S130" s="311"/>
      <c r="T130" s="311"/>
      <c r="U130" s="311"/>
      <c r="V130" s="311"/>
    </row>
    <row r="131" spans="2:22" ht="15" customHeight="1">
      <c r="B131" t="s">
        <v>698</v>
      </c>
      <c r="C131" t="s">
        <v>699</v>
      </c>
      <c r="D131" t="s">
        <v>701</v>
      </c>
      <c r="E131" s="76">
        <f t="shared" si="55"/>
        <v>0</v>
      </c>
      <c r="F131" t="s">
        <v>15</v>
      </c>
      <c r="G131" s="76">
        <v>0</v>
      </c>
      <c r="H131" s="76">
        <v>340096.77697007876</v>
      </c>
      <c r="I131" s="76">
        <v>0</v>
      </c>
      <c r="J131" s="76">
        <v>0</v>
      </c>
      <c r="K131" s="300" t="s">
        <v>126</v>
      </c>
      <c r="L131" s="76">
        <f>G131</f>
        <v>0</v>
      </c>
      <c r="M131" s="76">
        <f>H131-H76</f>
        <v>101023.09997007877</v>
      </c>
      <c r="N131" s="306">
        <f>I131</f>
        <v>0</v>
      </c>
      <c r="O131" s="306">
        <f>J131</f>
        <v>0</v>
      </c>
      <c r="P131" s="329" t="str">
        <f>VLOOKUP(B131,Summary!$B$8:$E$22,3,FALSE)</f>
        <v>Y</v>
      </c>
      <c r="S131" s="311"/>
      <c r="T131" s="311"/>
      <c r="U131" s="311"/>
      <c r="V131" s="311"/>
    </row>
    <row r="132" spans="2:22" ht="15" customHeight="1">
      <c r="B132" s="332"/>
      <c r="E132" s="76"/>
      <c r="G132" s="76"/>
      <c r="H132" s="76"/>
      <c r="I132" s="76"/>
      <c r="J132" s="76"/>
      <c r="L132" s="76"/>
      <c r="M132" s="76"/>
      <c r="P132" s="329"/>
      <c r="S132" s="311"/>
      <c r="T132" s="311"/>
      <c r="U132" s="311"/>
      <c r="V132" s="311"/>
    </row>
    <row r="133" spans="2:22" ht="15" customHeight="1">
      <c r="B133" s="332"/>
      <c r="E133" s="76"/>
      <c r="G133" s="76"/>
      <c r="H133" s="76"/>
      <c r="I133" s="76"/>
      <c r="J133" s="76"/>
      <c r="L133" s="76"/>
      <c r="M133" s="76"/>
      <c r="P133" s="329"/>
      <c r="S133" s="311"/>
      <c r="T133" s="311"/>
      <c r="U133" s="311"/>
      <c r="V133" s="311"/>
    </row>
    <row r="134" spans="2:22">
      <c r="B134" s="332"/>
      <c r="E134" s="76"/>
      <c r="F134" s="301"/>
      <c r="G134" s="76"/>
      <c r="H134" s="76"/>
      <c r="I134" s="76"/>
      <c r="J134" s="76"/>
      <c r="L134" s="76"/>
      <c r="M134" s="76"/>
      <c r="N134" s="76"/>
      <c r="O134" s="76"/>
      <c r="P134" s="329"/>
      <c r="S134" s="311"/>
      <c r="T134" s="311"/>
      <c r="U134" s="311"/>
      <c r="V134" s="311"/>
    </row>
    <row r="135" spans="2:22">
      <c r="B135" s="12" t="s">
        <v>9</v>
      </c>
      <c r="E135" s="76"/>
      <c r="F135" s="76"/>
      <c r="G135" s="68"/>
      <c r="H135" s="68"/>
      <c r="I135" s="68"/>
      <c r="J135" s="68"/>
      <c r="L135" s="76"/>
      <c r="M135" s="76"/>
      <c r="N135" s="76"/>
      <c r="O135" s="76"/>
      <c r="P135" s="329"/>
      <c r="S135" s="311"/>
      <c r="T135" s="311"/>
      <c r="U135" s="311"/>
      <c r="V135" s="311"/>
    </row>
    <row r="136" spans="2:22">
      <c r="E136" s="104"/>
      <c r="F136" s="76"/>
      <c r="G136" s="68"/>
      <c r="H136" s="68"/>
      <c r="I136" s="68"/>
      <c r="J136" s="68"/>
      <c r="L136" s="68"/>
      <c r="M136" s="68"/>
      <c r="N136" s="68"/>
      <c r="O136" s="68"/>
      <c r="P136" s="68"/>
      <c r="S136" s="311"/>
      <c r="T136" s="311"/>
      <c r="U136" s="311"/>
      <c r="V136" s="311"/>
    </row>
    <row r="137" spans="2:22" ht="15" thickBot="1">
      <c r="B137" s="12" t="s">
        <v>54</v>
      </c>
      <c r="E137" s="334">
        <f>SUM(E101:E135)</f>
        <v>0</v>
      </c>
      <c r="G137" s="335">
        <f>SUM(G101:G135)</f>
        <v>0</v>
      </c>
      <c r="H137" s="335">
        <f>SUM(H101:H135)</f>
        <v>14688539.154704226</v>
      </c>
      <c r="I137" s="335">
        <f>SUM(I101:I135)</f>
        <v>12257208.361265436</v>
      </c>
      <c r="J137" s="335">
        <f>SUM(J101:J135)</f>
        <v>13049488.001474623</v>
      </c>
      <c r="K137"/>
      <c r="L137" s="335">
        <f>SUM(L101:L135)</f>
        <v>0</v>
      </c>
      <c r="M137" s="335">
        <f>SUM(M101:M135)</f>
        <v>2577356.8768478641</v>
      </c>
      <c r="N137" s="335">
        <f>SUM(N101:N135)</f>
        <v>2384522.2815605751</v>
      </c>
      <c r="O137" s="335">
        <f>SUM(O101:O135)</f>
        <v>3176801.9217697592</v>
      </c>
      <c r="P137" s="341"/>
      <c r="S137" s="311"/>
      <c r="T137" s="311"/>
      <c r="U137" s="311"/>
      <c r="V137" s="311"/>
    </row>
    <row r="138" spans="2:22" ht="15" thickTop="1">
      <c r="S138" s="311"/>
      <c r="T138" s="311"/>
      <c r="U138" s="311"/>
      <c r="V138" s="311"/>
    </row>
    <row r="139" spans="2:22">
      <c r="S139" s="311"/>
      <c r="T139" s="311"/>
      <c r="U139" s="311"/>
      <c r="V139" s="311"/>
    </row>
    <row r="140" spans="2:22">
      <c r="S140" s="311"/>
      <c r="T140" s="311"/>
      <c r="U140" s="311"/>
      <c r="V140" s="311"/>
    </row>
    <row r="141" spans="2:22">
      <c r="B141" t="s">
        <v>317</v>
      </c>
      <c r="C141" s="342">
        <v>1.0869E-2</v>
      </c>
      <c r="S141" s="311"/>
      <c r="T141" s="311"/>
      <c r="U141" s="311"/>
      <c r="V141" s="311"/>
    </row>
    <row r="142" spans="2:22">
      <c r="B142" t="s">
        <v>271</v>
      </c>
      <c r="C142" s="343">
        <v>1.0810999999999999E-2</v>
      </c>
      <c r="G142" s="76"/>
      <c r="H142" s="76"/>
      <c r="I142" s="76"/>
      <c r="S142" s="311"/>
      <c r="T142" s="311"/>
      <c r="U142" s="311"/>
      <c r="V142" s="311"/>
    </row>
    <row r="143" spans="2:22">
      <c r="B143" t="s">
        <v>416</v>
      </c>
      <c r="C143" s="343">
        <v>1.1245E-2</v>
      </c>
      <c r="F143" s="309"/>
      <c r="G143" s="76"/>
      <c r="H143" s="76"/>
      <c r="I143" s="76"/>
      <c r="S143" s="311"/>
      <c r="T143" s="311"/>
      <c r="U143" s="311"/>
      <c r="V143" s="311"/>
    </row>
    <row r="144" spans="2:22">
      <c r="B144" t="s">
        <v>444</v>
      </c>
      <c r="C144" s="344">
        <v>1.252E-2</v>
      </c>
      <c r="G144" s="76"/>
      <c r="H144" s="76"/>
      <c r="I144" s="76"/>
      <c r="S144" s="311"/>
      <c r="T144" s="311"/>
      <c r="U144" s="311"/>
      <c r="V144" s="311"/>
    </row>
    <row r="145" spans="2:22">
      <c r="B145" t="s">
        <v>595</v>
      </c>
      <c r="C145" s="344">
        <v>1.3604E-2</v>
      </c>
      <c r="G145" s="76"/>
      <c r="H145" s="76"/>
      <c r="I145" s="76"/>
      <c r="S145" s="311"/>
      <c r="T145" s="311"/>
      <c r="U145" s="311"/>
      <c r="V145" s="311"/>
    </row>
    <row r="146" spans="2:22">
      <c r="D146" s="76"/>
      <c r="G146" s="76"/>
      <c r="H146" s="76"/>
      <c r="I146" s="76"/>
      <c r="S146" s="311"/>
      <c r="T146" s="311"/>
      <c r="U146" s="311"/>
      <c r="V146" s="311"/>
    </row>
    <row r="147" spans="2:22">
      <c r="S147" s="311"/>
      <c r="T147" s="311"/>
      <c r="U147" s="311"/>
      <c r="V147" s="311"/>
    </row>
    <row r="148" spans="2:22">
      <c r="C148" s="345"/>
      <c r="D148" s="72"/>
      <c r="S148" s="311"/>
      <c r="T148" s="311"/>
      <c r="U148" s="311"/>
      <c r="V148" s="311"/>
    </row>
    <row r="149" spans="2:22">
      <c r="D149" s="346"/>
      <c r="S149" s="311"/>
      <c r="T149" s="311"/>
      <c r="U149" s="311"/>
      <c r="V149" s="311"/>
    </row>
    <row r="150" spans="2:22" ht="15.65" customHeight="1">
      <c r="S150" s="311"/>
      <c r="T150" s="311"/>
      <c r="U150" s="311"/>
      <c r="V150" s="311"/>
    </row>
    <row r="151" spans="2:22" ht="27.75" customHeight="1">
      <c r="S151" s="311"/>
      <c r="T151" s="311"/>
      <c r="U151" s="311"/>
      <c r="V151" s="311"/>
    </row>
    <row r="152" spans="2:22" ht="15.65" customHeight="1">
      <c r="S152" s="311"/>
      <c r="T152" s="311"/>
      <c r="U152" s="311"/>
      <c r="V152" s="311"/>
    </row>
    <row r="153" spans="2:22" ht="15.65" customHeight="1">
      <c r="S153" s="311"/>
      <c r="T153" s="311"/>
      <c r="U153" s="311"/>
      <c r="V153" s="311"/>
    </row>
    <row r="154" spans="2:22" ht="15.65" customHeight="1">
      <c r="S154" s="311"/>
      <c r="T154" s="311"/>
      <c r="U154" s="311"/>
      <c r="V154" s="311"/>
    </row>
    <row r="155" spans="2:22" ht="15.65" customHeight="1">
      <c r="S155" s="311"/>
      <c r="T155" s="311"/>
      <c r="U155" s="311"/>
      <c r="V155" s="311"/>
    </row>
    <row r="156" spans="2:22" ht="15.65" customHeight="1">
      <c r="S156" s="311"/>
      <c r="T156" s="311"/>
      <c r="U156" s="311"/>
      <c r="V156" s="311"/>
    </row>
    <row r="157" spans="2:22" ht="15.65" customHeight="1">
      <c r="S157" s="311"/>
      <c r="T157" s="311"/>
      <c r="U157" s="311"/>
      <c r="V157" s="311"/>
    </row>
    <row r="158" spans="2:22" ht="15.65" customHeight="1">
      <c r="S158" s="311"/>
      <c r="T158" s="311"/>
      <c r="U158" s="311"/>
      <c r="V158" s="311"/>
    </row>
    <row r="159" spans="2:22" ht="15.65" customHeight="1">
      <c r="S159" s="311"/>
      <c r="T159" s="311"/>
      <c r="U159" s="311"/>
      <c r="V159" s="311"/>
    </row>
    <row r="160" spans="2:22" ht="15.65" customHeight="1">
      <c r="S160" s="311"/>
      <c r="T160" s="311"/>
      <c r="U160" s="311"/>
      <c r="V160" s="311"/>
    </row>
    <row r="161" spans="18:22" ht="15.65" customHeight="1">
      <c r="S161" s="311"/>
      <c r="T161" s="311"/>
      <c r="U161" s="311"/>
      <c r="V161" s="311"/>
    </row>
    <row r="162" spans="18:22" ht="15.65" customHeight="1"/>
    <row r="163" spans="18:22" ht="15.65" customHeight="1"/>
    <row r="164" spans="18:22">
      <c r="R164" s="347"/>
    </row>
    <row r="242" spans="6:13">
      <c r="F242" s="303"/>
      <c r="G242" s="303"/>
      <c r="H242" s="303"/>
      <c r="I242" s="303"/>
      <c r="J242" s="303"/>
      <c r="K242" s="303"/>
      <c r="L242" s="303"/>
      <c r="M242" s="303"/>
    </row>
    <row r="243" spans="6:13">
      <c r="F243" s="303"/>
      <c r="G243" s="303"/>
      <c r="H243" s="303"/>
      <c r="I243" s="303"/>
      <c r="J243" s="303"/>
      <c r="K243" s="303"/>
      <c r="L243" s="303"/>
      <c r="M243" s="303"/>
    </row>
    <row r="244" spans="6:13">
      <c r="F244" s="303"/>
      <c r="G244" s="303"/>
      <c r="H244" s="303"/>
      <c r="I244" s="303"/>
      <c r="J244" s="303"/>
      <c r="K244" s="303"/>
      <c r="L244" s="303"/>
      <c r="M244" s="303"/>
    </row>
    <row r="245" spans="6:13">
      <c r="F245" s="303"/>
      <c r="G245" s="303"/>
      <c r="H245" s="303"/>
      <c r="I245" s="303"/>
      <c r="J245" s="303"/>
      <c r="K245" s="303"/>
      <c r="L245" s="303"/>
      <c r="M245" s="303"/>
    </row>
    <row r="246" spans="6:13">
      <c r="F246" s="303"/>
      <c r="G246" s="303"/>
      <c r="H246" s="303"/>
      <c r="I246" s="303"/>
      <c r="J246" s="303"/>
      <c r="K246" s="303"/>
      <c r="L246" s="303"/>
      <c r="M246" s="303"/>
    </row>
    <row r="247" spans="6:13">
      <c r="F247" s="303"/>
      <c r="G247" s="303"/>
      <c r="H247" s="303"/>
      <c r="I247" s="303"/>
      <c r="J247" s="303"/>
      <c r="K247" s="303"/>
      <c r="L247" s="303"/>
      <c r="M247" s="303"/>
    </row>
    <row r="248" spans="6:13">
      <c r="F248" s="303"/>
      <c r="G248" s="303"/>
      <c r="H248" s="303"/>
      <c r="I248" s="303"/>
      <c r="J248" s="303"/>
      <c r="K248" s="303"/>
      <c r="L248" s="303"/>
      <c r="M248" s="303"/>
    </row>
    <row r="249" spans="6:13">
      <c r="F249" s="303"/>
      <c r="G249" s="303"/>
      <c r="H249" s="303"/>
      <c r="I249" s="303"/>
      <c r="J249" s="303"/>
      <c r="K249" s="303"/>
      <c r="L249" s="303"/>
      <c r="M249" s="303"/>
    </row>
    <row r="250" spans="6:13">
      <c r="F250" s="303"/>
      <c r="G250" s="303"/>
      <c r="H250" s="303"/>
      <c r="I250" s="303"/>
      <c r="J250" s="303"/>
      <c r="K250" s="303"/>
      <c r="L250" s="303"/>
      <c r="M250" s="303"/>
    </row>
    <row r="251" spans="6:13">
      <c r="F251" s="303"/>
      <c r="G251" s="303"/>
      <c r="H251" s="303"/>
      <c r="I251" s="303"/>
      <c r="J251" s="303"/>
      <c r="K251" s="303"/>
      <c r="L251" s="303"/>
      <c r="M251" s="303"/>
    </row>
    <row r="252" spans="6:13">
      <c r="F252" s="303"/>
      <c r="G252" s="303"/>
      <c r="H252" s="303"/>
      <c r="I252" s="303"/>
      <c r="J252" s="303"/>
      <c r="K252" s="303"/>
      <c r="L252" s="303"/>
      <c r="M252" s="303"/>
    </row>
    <row r="253" spans="6:13">
      <c r="F253" s="303"/>
      <c r="G253" s="303"/>
      <c r="H253" s="303"/>
      <c r="I253" s="303"/>
      <c r="J253" s="303"/>
      <c r="K253" s="303"/>
      <c r="L253" s="303"/>
      <c r="M253" s="303"/>
    </row>
    <row r="254" spans="6:13">
      <c r="F254" s="303"/>
      <c r="G254" s="303"/>
      <c r="H254" s="303"/>
      <c r="I254" s="303"/>
      <c r="J254" s="303"/>
      <c r="K254" s="303"/>
      <c r="L254" s="303"/>
      <c r="M254" s="303"/>
    </row>
  </sheetData>
  <autoFilter ref="F2:F254" xr:uid="{428F7DA5-8F2A-447A-9B23-06CD6D8B0E1D}"/>
  <mergeCells count="3">
    <mergeCell ref="B7:K7"/>
    <mergeCell ref="B98:N98"/>
    <mergeCell ref="L99:O99"/>
  </mergeCells>
  <phoneticPr fontId="34" type="noConversion"/>
  <conditionalFormatting sqref="F49:F50">
    <cfRule type="containsText" dxfId="2" priority="3" operator="containsText" text="Public">
      <formula>NOT(ISERROR(SEARCH("Public",F49)))</formula>
    </cfRule>
    <cfRule type="cellIs" dxfId="1" priority="4" operator="equal">
      <formula>"""Public Purpose Program"""</formula>
    </cfRule>
  </conditionalFormatting>
  <conditionalFormatting sqref="M64:M70 M60">
    <cfRule type="duplicateValues" dxfId="0" priority="21"/>
  </conditionalFormatting>
  <dataValidations disablePrompts="1" count="1">
    <dataValidation type="list" allowBlank="1" showInputMessage="1" showErrorMessage="1" sqref="K100:L100 G100" xr:uid="{6088A891-38B4-4D34-91E9-49BBED0B39DE}">
      <formula1>"2019,2020,2021,2022,2023,2024,2025"</formula1>
    </dataValidation>
  </dataValidations>
  <pageMargins left="0.7" right="0.7" top="0.75" bottom="0.75" header="0.3" footer="0.3"/>
  <pageSetup orientation="portrait" horizontalDpi="1200" verticalDpi="1200" r:id="rId1"/>
  <headerFooter>
    <oddHeader>&amp;R&amp;F</oddHeader>
    <oddFooter xml:space="preserve">&amp;C_x000D_&amp;1#&amp;"Aptos"&amp;12&amp;K000000 Public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5583C-BC29-4C0A-9DD4-F45D9C5A9712}">
  <sheetPr codeName="Sheet5">
    <pageSetUpPr autoPageBreaks="0"/>
  </sheetPr>
  <dimension ref="B1:AN74"/>
  <sheetViews>
    <sheetView tabSelected="1" topLeftCell="A29" workbookViewId="0"/>
  </sheetViews>
  <sheetFormatPr defaultColWidth="8.81640625" defaultRowHeight="15.5"/>
  <cols>
    <col min="1" max="1" width="3.54296875" style="139" customWidth="1"/>
    <col min="2" max="2" width="20.54296875" style="139" customWidth="1"/>
    <col min="3" max="3" width="19.453125" style="139" customWidth="1"/>
    <col min="4" max="4" width="17.453125" style="139" customWidth="1"/>
    <col min="5" max="5" width="10.54296875" style="139" customWidth="1"/>
    <col min="6" max="6" width="25.453125" style="139" customWidth="1"/>
    <col min="7" max="7" width="18.26953125" style="139" customWidth="1"/>
    <col min="8" max="8" width="18.54296875" style="139" customWidth="1"/>
    <col min="9" max="9" width="13.54296875" style="139" customWidth="1"/>
    <col min="10" max="10" width="15.81640625" style="139" customWidth="1"/>
    <col min="11" max="11" width="16.81640625" style="139" customWidth="1"/>
    <col min="12" max="14" width="15.453125" style="139" customWidth="1"/>
    <col min="15" max="15" width="16.1796875" style="139" customWidth="1"/>
    <col min="16" max="16" width="15.54296875" style="139" customWidth="1"/>
    <col min="17" max="17" width="13" style="139" customWidth="1"/>
    <col min="18" max="18" width="14" style="139" customWidth="1"/>
    <col min="19" max="19" width="15.81640625" style="139" customWidth="1"/>
    <col min="20" max="20" width="13.26953125" style="139" customWidth="1"/>
    <col min="21" max="21" width="15" style="139" customWidth="1"/>
    <col min="22" max="22" width="16.26953125" style="139" bestFit="1" customWidth="1"/>
    <col min="23" max="23" width="11.54296875" style="139" bestFit="1" customWidth="1"/>
    <col min="24" max="24" width="15.453125" style="139" customWidth="1"/>
    <col min="25" max="26" width="20.1796875" style="139" customWidth="1"/>
    <col min="27" max="27" width="15.7265625" style="139" bestFit="1" customWidth="1"/>
    <col min="28" max="28" width="16.1796875" style="139" bestFit="1" customWidth="1"/>
    <col min="29" max="29" width="16.1796875" style="139" customWidth="1"/>
    <col min="30" max="30" width="12.81640625" style="139" bestFit="1" customWidth="1"/>
    <col min="31" max="31" width="12.81640625" style="139" customWidth="1"/>
    <col min="32" max="32" width="13.81640625" style="139" customWidth="1"/>
    <col min="33" max="34" width="8.81640625" style="139"/>
    <col min="35" max="35" width="14.7265625" style="139" bestFit="1" customWidth="1"/>
    <col min="36" max="36" width="16.26953125" style="139" bestFit="1" customWidth="1"/>
    <col min="37" max="37" width="9.54296875" style="139" bestFit="1" customWidth="1"/>
    <col min="38" max="38" width="8.81640625" style="139"/>
    <col min="39" max="39" width="15.81640625" style="139" bestFit="1" customWidth="1"/>
    <col min="40" max="40" width="11.81640625" style="139" customWidth="1"/>
    <col min="41" max="16384" width="8.81640625" style="139"/>
  </cols>
  <sheetData>
    <row r="1" spans="2:29" ht="53.9" customHeight="1">
      <c r="B1" s="348"/>
      <c r="C1" s="348"/>
      <c r="D1" s="348"/>
      <c r="E1" s="348"/>
      <c r="F1" s="348"/>
      <c r="G1" s="348"/>
      <c r="H1" s="348"/>
      <c r="I1" s="348"/>
      <c r="J1" s="348"/>
      <c r="K1" s="348"/>
      <c r="L1" s="348"/>
      <c r="M1" s="348"/>
      <c r="N1" s="348"/>
      <c r="O1" s="348"/>
      <c r="P1" s="348"/>
      <c r="Q1" s="348"/>
      <c r="R1" s="348"/>
      <c r="S1" s="348"/>
      <c r="T1" s="348"/>
      <c r="U1" s="348"/>
      <c r="V1" s="348"/>
      <c r="W1" s="348"/>
    </row>
    <row r="2" spans="2:29">
      <c r="B2" s="57"/>
      <c r="C2" s="542" t="s">
        <v>13</v>
      </c>
      <c r="D2" s="542"/>
      <c r="E2" s="57"/>
      <c r="F2" s="57"/>
      <c r="H2" s="205"/>
      <c r="J2" s="205"/>
      <c r="R2" s="57"/>
      <c r="S2" s="57"/>
      <c r="T2" s="57"/>
      <c r="U2" s="57"/>
      <c r="V2" s="57"/>
      <c r="W2" s="57"/>
    </row>
    <row r="3" spans="2:29">
      <c r="B3" s="206"/>
      <c r="C3" s="207" t="s">
        <v>169</v>
      </c>
      <c r="D3" s="207" t="s">
        <v>171</v>
      </c>
      <c r="R3" s="208"/>
      <c r="S3" s="208"/>
      <c r="T3" s="208"/>
      <c r="U3" s="208"/>
      <c r="V3" s="208"/>
      <c r="W3" s="208"/>
    </row>
    <row r="4" spans="2:29">
      <c r="B4" s="209" t="s">
        <v>3</v>
      </c>
      <c r="C4" s="210">
        <f>INDEX('Incremental Rev Req'!$R$9:$V$24,MATCH(B4,'Incremental Rev Req'!$R$9:$R$24,0),MATCH(Summary!$D$3,'Incremental Rev Req'!$R$9:$V$9,0))</f>
        <v>3075727.8217516071</v>
      </c>
      <c r="D4" s="210">
        <f>INDEX('Incremental Rev Req'!$R$99:$V$114,MATCH(B4,'Incremental Rev Req'!$R$99:$R$114,0),MATCH(Summary!$D$3,'Incremental Rev Req'!$R$99:$V$99,0))</f>
        <v>3075763.4970791722</v>
      </c>
      <c r="G4" s="545" t="s">
        <v>172</v>
      </c>
      <c r="H4" s="545"/>
      <c r="I4" s="545"/>
      <c r="J4" s="545"/>
      <c r="K4" s="545"/>
      <c r="L4" s="545"/>
      <c r="M4" s="545"/>
      <c r="N4" s="545"/>
      <c r="O4" s="545"/>
      <c r="P4" s="545"/>
      <c r="Q4" s="545"/>
      <c r="R4" s="545"/>
      <c r="S4" s="545"/>
      <c r="T4" s="545"/>
      <c r="U4" s="211"/>
      <c r="V4" s="211"/>
      <c r="W4" s="211"/>
      <c r="X4" s="211"/>
      <c r="Y4" s="211"/>
    </row>
    <row r="5" spans="2:29" ht="31">
      <c r="B5" s="209" t="s">
        <v>14</v>
      </c>
      <c r="C5" s="210">
        <f>INDEX('Incremental Rev Req'!$R$9:$V$24,MATCH(B5,'Incremental Rev Req'!$R$9:$R$24,0),MATCH(Summary!$D$3,'Incremental Rev Req'!$R$9:$V$9,0))</f>
        <v>244371.67766520652</v>
      </c>
      <c r="D5" s="210">
        <f>INDEX('Incremental Rev Req'!$R$99:$V$114,MATCH(B5,'Incremental Rev Req'!$R$99:$R$114,0),MATCH(Summary!$D$3,'Incremental Rev Req'!$R$99:$V$99,0))</f>
        <v>244371.67766520652</v>
      </c>
      <c r="F5" s="5"/>
      <c r="G5" s="6" t="s">
        <v>3</v>
      </c>
      <c r="H5" s="6" t="s">
        <v>5</v>
      </c>
      <c r="I5" s="6" t="s">
        <v>16</v>
      </c>
      <c r="J5" s="6" t="s">
        <v>173</v>
      </c>
      <c r="K5" s="6" t="s">
        <v>14</v>
      </c>
      <c r="L5" s="6" t="s">
        <v>10</v>
      </c>
      <c r="M5" s="6" t="s">
        <v>66</v>
      </c>
      <c r="N5" s="6" t="s">
        <v>127</v>
      </c>
      <c r="O5" s="6" t="s">
        <v>134</v>
      </c>
      <c r="P5" s="6" t="s">
        <v>174</v>
      </c>
      <c r="Q5" s="58" t="s">
        <v>656</v>
      </c>
      <c r="R5" s="6" t="s">
        <v>275</v>
      </c>
      <c r="S5" s="58" t="s">
        <v>207</v>
      </c>
      <c r="T5" s="349" t="s">
        <v>292</v>
      </c>
      <c r="AB5" s="350"/>
    </row>
    <row r="6" spans="2:29">
      <c r="B6" s="209" t="s">
        <v>5</v>
      </c>
      <c r="C6" s="210">
        <f>INDEX('Incremental Rev Req'!$R$9:$V$24,MATCH(B6,'Incremental Rev Req'!$R$9:$R$24,0),MATCH(Summary!$D$3,'Incremental Rev Req'!$R$9:$V$9,0))</f>
        <v>8275899.2031662753</v>
      </c>
      <c r="D6" s="210">
        <f>INDEX('Incremental Rev Req'!$R$99:$V$114,MATCH(B6,'Incremental Rev Req'!$R$99:$R$114,0),MATCH(Summary!$D$3,'Incremental Rev Req'!$R$99:$V$99,0))</f>
        <v>10481110.386925217</v>
      </c>
      <c r="F6" s="5" t="s">
        <v>18</v>
      </c>
      <c r="G6" s="71">
        <f>VLOOKUP(Summary!$D$3,$F$35:$T$38,G$33,FALSE)</f>
        <v>0.43002922607397048</v>
      </c>
      <c r="H6" s="71">
        <f>VLOOKUP(Summary!$D$3,$F$35:$T$38,H$33,FALSE)</f>
        <v>0.40292282400376112</v>
      </c>
      <c r="I6" s="71">
        <f>VLOOKUP(Summary!$D$3,$F$35:$T$38,I$33,FALSE)</f>
        <v>0.34239546338225313</v>
      </c>
      <c r="J6" s="71">
        <f>VLOOKUP(Summary!$D$3,$F$35:$T$38,J$33,FALSE)</f>
        <v>0.33883276808919272</v>
      </c>
      <c r="K6" s="71">
        <f>VLOOKUP(Summary!$D$3,$F$35:$T$38,K$33,FALSE)</f>
        <v>0.48768036339609455</v>
      </c>
      <c r="L6" s="71">
        <f>VLOOKUP(Summary!$D$3,$F$35:$T$38,L$33,FALSE)</f>
        <v>0.47700509598271423</v>
      </c>
      <c r="M6" s="71">
        <f>VLOOKUP(Summary!$D$3,$F$35:$T$38,M$33,FALSE)</f>
        <v>0.36222602887535721</v>
      </c>
      <c r="N6" s="71">
        <f>VLOOKUP(Summary!$D$3,$F$35:$T$38,N$33,FALSE)</f>
        <v>0.35051136171955549</v>
      </c>
      <c r="O6" s="71">
        <f>VLOOKUP(Summary!$D$3,$F$35:$T$38,O$33,FALSE)</f>
        <v>0.34777168759653521</v>
      </c>
      <c r="P6" s="71">
        <f>VLOOKUP(Summary!$D$3,$F$35:$T$38,P$33,FALSE)</f>
        <v>0.83472389049415474</v>
      </c>
      <c r="Q6" s="71">
        <f>VLOOKUP(Summary!$D$3,$F$35:$T$38,Q$33,FALSE)</f>
        <v>0.27230327335928306</v>
      </c>
      <c r="R6" s="71">
        <f>VLOOKUP(Summary!$D$3,$F$35:$T$38,R$33,FALSE)</f>
        <v>0.33853498987417907</v>
      </c>
      <c r="S6" s="71">
        <f>VLOOKUP(Summary!$D$3,$F$35:$T$38,S$33,FALSE)</f>
        <v>0.35064423154799867</v>
      </c>
      <c r="T6" s="71">
        <f>VLOOKUP(Summary!$D$3,$F$35:$T$38,T$33,FALSE)</f>
        <v>0.3950781842860891</v>
      </c>
      <c r="U6" s="351"/>
    </row>
    <row r="7" spans="2:29">
      <c r="B7" s="209" t="s">
        <v>129</v>
      </c>
      <c r="C7" s="210">
        <f>INDEX('Incremental Rev Req'!$R$9:$V$24,MATCH(B7,'Incremental Rev Req'!$R$9:$R$24,0),MATCH(Summary!$D$3,'Incremental Rev Req'!$R$9:$V$9,0))</f>
        <v>-475276.50099999999</v>
      </c>
      <c r="D7" s="210">
        <f>INDEX('Incremental Rev Req'!$R$99:$V$114,MATCH(B7,'Incremental Rev Req'!$R$99:$R$114,0),MATCH(Summary!$D$3,'Incremental Rev Req'!$R$99:$V$99,0))</f>
        <v>-475276.50099999999</v>
      </c>
      <c r="F7" s="5"/>
      <c r="G7" s="80"/>
      <c r="H7" s="80"/>
      <c r="I7" s="80"/>
      <c r="J7" s="80"/>
      <c r="K7" s="80"/>
      <c r="L7" s="80"/>
      <c r="M7" s="80"/>
      <c r="N7" s="80"/>
      <c r="O7" s="80"/>
      <c r="P7" s="80"/>
      <c r="Q7" s="80"/>
    </row>
    <row r="8" spans="2:29" ht="15.75" customHeight="1">
      <c r="B8" s="209" t="s">
        <v>66</v>
      </c>
      <c r="C8" s="210">
        <f>INDEX('Incremental Rev Req'!$R$9:$V$24,MATCH(B8,'Incremental Rev Req'!$R$9:$R$24,0),MATCH(Summary!$D$3,'Incremental Rev Req'!$R$9:$V$9,0))</f>
        <v>-3377.8111523794842</v>
      </c>
      <c r="D8" s="210">
        <f>INDEX('Incremental Rev Req'!$R$99:$V$114,MATCH(B8,'Incremental Rev Req'!$R$99:$R$114,0),MATCH(Summary!$D$3,'Incremental Rev Req'!$R$99:$V$99,0))</f>
        <v>-3377.8111523794842</v>
      </c>
      <c r="F8" s="211"/>
      <c r="G8" s="545" t="s">
        <v>175</v>
      </c>
      <c r="H8" s="545"/>
      <c r="I8" s="545"/>
      <c r="J8" s="545"/>
      <c r="K8" s="545"/>
      <c r="L8" s="545"/>
      <c r="M8" s="545"/>
      <c r="N8" s="545"/>
      <c r="O8" s="545"/>
      <c r="P8" s="545"/>
      <c r="Q8" s="545"/>
      <c r="R8" s="545"/>
      <c r="S8" s="545"/>
      <c r="T8" s="545"/>
    </row>
    <row r="9" spans="2:29" ht="34.5" customHeight="1">
      <c r="B9" s="209" t="s">
        <v>16</v>
      </c>
      <c r="C9" s="210">
        <f>INDEX('Incremental Rev Req'!$R$9:$V$24,MATCH(B9,'Incremental Rev Req'!$R$9:$R$24,0),MATCH(Summary!$D$3,'Incremental Rev Req'!$R$9:$V$9,0))</f>
        <v>0</v>
      </c>
      <c r="D9" s="210">
        <f>INDEX('Incremental Rev Req'!$R$99:$V$114,MATCH(B9,'Incremental Rev Req'!$R$99:$R$114,0),MATCH(Summary!$D$3,'Incremental Rev Req'!$R$99:$V$99,0))</f>
        <v>0</v>
      </c>
      <c r="F9" s="59" t="s">
        <v>169</v>
      </c>
      <c r="G9" s="6" t="s">
        <v>3</v>
      </c>
      <c r="H9" s="6" t="s">
        <v>5</v>
      </c>
      <c r="I9" s="6" t="s">
        <v>16</v>
      </c>
      <c r="J9" s="6" t="s">
        <v>15</v>
      </c>
      <c r="K9" s="6" t="s">
        <v>14</v>
      </c>
      <c r="L9" s="6" t="s">
        <v>10</v>
      </c>
      <c r="M9" s="6" t="s">
        <v>66</v>
      </c>
      <c r="N9" s="6" t="s">
        <v>127</v>
      </c>
      <c r="O9" s="6" t="s">
        <v>134</v>
      </c>
      <c r="P9" s="6" t="s">
        <v>129</v>
      </c>
      <c r="Q9" s="6" t="s">
        <v>656</v>
      </c>
      <c r="R9" s="6" t="s">
        <v>275</v>
      </c>
      <c r="S9" s="58" t="s">
        <v>207</v>
      </c>
      <c r="T9" s="349" t="s">
        <v>292</v>
      </c>
      <c r="U9" s="6" t="s">
        <v>132</v>
      </c>
    </row>
    <row r="10" spans="2:29">
      <c r="B10" s="209" t="s">
        <v>15</v>
      </c>
      <c r="C10" s="210">
        <f>INDEX('Incremental Rev Req'!$R$9:$V$24,MATCH(B10,'Incremental Rev Req'!$R$9:$R$24,0),MATCH(Summary!$D$3,'Incremental Rev Req'!$R$9:$V$9,0))</f>
        <v>928080.45522745408</v>
      </c>
      <c r="D10" s="210">
        <f>INDEX('Incremental Rev Req'!$R$99:$V$114,MATCH(B10,'Incremental Rev Req'!$R$99:$R$114,0),MATCH(Summary!$D$3,'Incremental Rev Req'!$R$99:$V$99,0))</f>
        <v>1026345.6548407136</v>
      </c>
      <c r="F10" s="5" t="s">
        <v>18</v>
      </c>
      <c r="G10" s="60">
        <f t="shared" ref="G10:Q10" si="0">G6*G11</f>
        <v>1322652.8548020227</v>
      </c>
      <c r="H10" s="60">
        <f t="shared" si="0"/>
        <v>3334548.6781102321</v>
      </c>
      <c r="I10" s="60">
        <f t="shared" si="0"/>
        <v>0</v>
      </c>
      <c r="J10" s="60">
        <f t="shared" si="0"/>
        <v>314464.06965419633</v>
      </c>
      <c r="K10" s="60">
        <f t="shared" si="0"/>
        <v>119175.26856748119</v>
      </c>
      <c r="L10" s="60">
        <f t="shared" si="0"/>
        <v>1230763.7116467517</v>
      </c>
      <c r="M10" s="60">
        <f t="shared" si="0"/>
        <v>-1223.5311200173146</v>
      </c>
      <c r="N10" s="60">
        <f t="shared" si="0"/>
        <v>0</v>
      </c>
      <c r="O10" s="60">
        <f t="shared" si="0"/>
        <v>131830.50223613539</v>
      </c>
      <c r="P10" s="60">
        <f t="shared" si="0"/>
        <v>-396724.64997516904</v>
      </c>
      <c r="Q10" s="60">
        <f t="shared" si="0"/>
        <v>109419.64774578589</v>
      </c>
      <c r="R10" s="60">
        <f>R6*R11</f>
        <v>75690.625806453754</v>
      </c>
      <c r="S10" s="60">
        <f>S6*S11</f>
        <v>187502.67845608646</v>
      </c>
      <c r="T10" s="60">
        <f>T6*T11</f>
        <v>485530.40144663368</v>
      </c>
      <c r="U10" s="352">
        <f>SUM(G10:T10)</f>
        <v>6913630.2573765926</v>
      </c>
      <c r="W10" s="212"/>
      <c r="X10" s="212"/>
    </row>
    <row r="11" spans="2:29">
      <c r="B11" s="209" t="s">
        <v>656</v>
      </c>
      <c r="C11" s="210">
        <f>INDEX('Incremental Rev Req'!$R$9:$V$24,MATCH(B11,'Incremental Rev Req'!$R$9:$R$24,0),MATCH(Summary!$D$3,'Incremental Rev Req'!$R$9:$V$9,0))</f>
        <v>401830.0859770244</v>
      </c>
      <c r="D11" s="210">
        <f>INDEX('Incremental Rev Req'!$R$99:$V$114,MATCH(B11,'Incremental Rev Req'!$R$99:$R$114,0),MATCH(Summary!$D$3,'Incremental Rev Req'!$R$99:$V$99,0))</f>
        <v>401830.0859770244</v>
      </c>
      <c r="F11" s="5" t="s">
        <v>22</v>
      </c>
      <c r="G11" s="61">
        <f t="shared" ref="G11:M11" si="1">VLOOKUP(G9,$B$4:$D$17,2,FALSE)</f>
        <v>3075727.8217516071</v>
      </c>
      <c r="H11" s="61">
        <f t="shared" si="1"/>
        <v>8275899.2031662753</v>
      </c>
      <c r="I11" s="61">
        <f t="shared" si="1"/>
        <v>0</v>
      </c>
      <c r="J11" s="61">
        <f t="shared" si="1"/>
        <v>928080.45522745408</v>
      </c>
      <c r="K11" s="61">
        <f t="shared" si="1"/>
        <v>244371.67766520652</v>
      </c>
      <c r="L11" s="61">
        <f t="shared" si="1"/>
        <v>2580189.8596306657</v>
      </c>
      <c r="M11" s="61">
        <f t="shared" si="1"/>
        <v>-3377.8111523794842</v>
      </c>
      <c r="N11" s="61">
        <f>VLOOKUP(N9,$B$4:$D$16,2,FALSE)</f>
        <v>0</v>
      </c>
      <c r="O11" s="61">
        <f>VLOOKUP(O9,$B$4:$D$16,2,FALSE)</f>
        <v>379071.98008906806</v>
      </c>
      <c r="P11" s="61">
        <f>VLOOKUP(P9,$B$4:$D$17,2,FALSE)</f>
        <v>-475276.50099999999</v>
      </c>
      <c r="Q11" s="61">
        <f>VLOOKUP(Q9,$B$4:$D$17,2,FALSE)</f>
        <v>401830.0859770244</v>
      </c>
      <c r="R11" s="61">
        <f>VLOOKUP(R9,$B$4:$D$17,2,FALSE)</f>
        <v>223582.8734707309</v>
      </c>
      <c r="S11" s="63">
        <f>VLOOKUP(S9,$B$4:$D$17,2,FALSE)</f>
        <v>534737.66737388854</v>
      </c>
      <c r="T11" s="61">
        <f>VLOOKUP(T9,$B$4:$D$17,2,FALSE)</f>
        <v>1228947.638108626</v>
      </c>
      <c r="U11" s="84">
        <f>SUM(G11:T11)</f>
        <v>17393784.950308163</v>
      </c>
      <c r="X11" s="205"/>
    </row>
    <row r="12" spans="2:29">
      <c r="B12" s="209" t="s">
        <v>127</v>
      </c>
      <c r="C12" s="210">
        <f>INDEX('Incremental Rev Req'!$R$9:$V$24,MATCH(B12,'Incremental Rev Req'!$R$9:$R$24,0),MATCH(Summary!$D$3,'Incremental Rev Req'!$R$9:$V$9,0))</f>
        <v>0</v>
      </c>
      <c r="D12" s="210">
        <f>INDEX('Incremental Rev Req'!$R$99:$V$114,MATCH(B12,'Incremental Rev Req'!$R$99:$R$114,0),MATCH(Summary!$D$3,'Incremental Rev Req'!$R$99:$V$99,0))</f>
        <v>0</v>
      </c>
      <c r="F12" s="59" t="s">
        <v>170</v>
      </c>
      <c r="U12" s="351"/>
    </row>
    <row r="13" spans="2:29" ht="15.65" customHeight="1">
      <c r="B13" s="209" t="s">
        <v>10</v>
      </c>
      <c r="C13" s="210">
        <f>INDEX('Incremental Rev Req'!$R$9:$V$24,MATCH(B13,'Incremental Rev Req'!$R$9:$R$24,0),MATCH(Summary!$D$3,'Incremental Rev Req'!$R$9:$V$9,0))</f>
        <v>2580189.8596306657</v>
      </c>
      <c r="D13" s="210">
        <f>INDEX('Incremental Rev Req'!$R$99:$V$114,MATCH(B13,'Incremental Rev Req'!$R$99:$R$114,0),MATCH(Summary!$D$3,'Incremental Rev Req'!$R$99:$V$99,0))</f>
        <v>2580189.8596306657</v>
      </c>
      <c r="F13" s="5" t="s">
        <v>18</v>
      </c>
      <c r="G13" s="60">
        <f>G6*G14</f>
        <v>1322668.1962355254</v>
      </c>
      <c r="H13" s="60">
        <f t="shared" ref="H13:Q13" si="2">H6*H14</f>
        <v>4223078.5957950614</v>
      </c>
      <c r="I13" s="60">
        <f t="shared" si="2"/>
        <v>0</v>
      </c>
      <c r="J13" s="60">
        <f t="shared" si="2"/>
        <v>347759.53924599412</v>
      </c>
      <c r="K13" s="60">
        <f t="shared" si="2"/>
        <v>119175.26856748119</v>
      </c>
      <c r="L13" s="60">
        <f t="shared" si="2"/>
        <v>1230763.7116467517</v>
      </c>
      <c r="M13" s="60">
        <f>M6*M14</f>
        <v>-1223.5311200173146</v>
      </c>
      <c r="N13" s="60">
        <f>N6*N14</f>
        <v>0</v>
      </c>
      <c r="O13" s="60">
        <f t="shared" si="2"/>
        <v>131830.50223613539</v>
      </c>
      <c r="P13" s="60">
        <f t="shared" si="2"/>
        <v>-396724.64997516904</v>
      </c>
      <c r="Q13" s="60">
        <f t="shared" si="2"/>
        <v>109419.64774578589</v>
      </c>
      <c r="R13" s="60">
        <f>R6*R14</f>
        <v>115148.28658486238</v>
      </c>
      <c r="S13" s="60">
        <f>S6*S14</f>
        <v>318765.1543006319</v>
      </c>
      <c r="T13" s="60">
        <f>T6*T14</f>
        <v>636603.99472577916</v>
      </c>
      <c r="U13" s="352">
        <f>SUM(G13:T13)</f>
        <v>8157264.7159888223</v>
      </c>
    </row>
    <row r="14" spans="2:29" ht="15.65" customHeight="1">
      <c r="B14" s="209" t="s">
        <v>134</v>
      </c>
      <c r="C14" s="210">
        <f>INDEX('Incremental Rev Req'!$R$9:$V$24,MATCH(B14,'Incremental Rev Req'!$R$9:$R$24,0),MATCH(Summary!$D$3,'Incremental Rev Req'!$R$9:$V$9,0))</f>
        <v>379071.98008906806</v>
      </c>
      <c r="D14" s="210">
        <f>INDEX('Incremental Rev Req'!$R$99:$V$114,MATCH(B14,'Incremental Rev Req'!$R$99:$R$114,0),MATCH(Summary!$D$3,'Incremental Rev Req'!$R$99:$V$99,0))</f>
        <v>379071.98008906806</v>
      </c>
      <c r="F14" s="5" t="s">
        <v>22</v>
      </c>
      <c r="G14" s="61">
        <f>VLOOKUP(G9,$B$4:$D$16,3,FALSE)</f>
        <v>3075763.4970791722</v>
      </c>
      <c r="H14" s="61">
        <f t="shared" ref="H14:S14" si="3">VLOOKUP(H9,$B$4:$D$16,3,FALSE)</f>
        <v>10481110.386925217</v>
      </c>
      <c r="I14" s="61">
        <f t="shared" si="3"/>
        <v>0</v>
      </c>
      <c r="J14" s="61">
        <f t="shared" si="3"/>
        <v>1026345.6548407136</v>
      </c>
      <c r="K14" s="61">
        <f t="shared" si="3"/>
        <v>244371.67766520652</v>
      </c>
      <c r="L14" s="61">
        <f t="shared" si="3"/>
        <v>2580189.8596306657</v>
      </c>
      <c r="M14" s="61">
        <f t="shared" si="3"/>
        <v>-3377.8111523794842</v>
      </c>
      <c r="N14" s="61">
        <f>VLOOKUP(N9,$B$4:$D$16,3,FALSE)</f>
        <v>0</v>
      </c>
      <c r="O14" s="61">
        <f t="shared" si="3"/>
        <v>379071.98008906806</v>
      </c>
      <c r="P14" s="61">
        <f t="shared" si="3"/>
        <v>-475276.50099999999</v>
      </c>
      <c r="Q14" s="61">
        <f t="shared" si="3"/>
        <v>401830.0859770244</v>
      </c>
      <c r="R14" s="61">
        <f t="shared" si="3"/>
        <v>340137.03170729481</v>
      </c>
      <c r="S14" s="61">
        <f t="shared" si="3"/>
        <v>909084.26724538044</v>
      </c>
      <c r="T14" s="61">
        <f>VLOOKUP(T9,$B$4:$D$17,3,FALSE)</f>
        <v>1611336.7430705647</v>
      </c>
      <c r="U14" s="84">
        <f>SUM(G14:T14)</f>
        <v>20570586.872077931</v>
      </c>
    </row>
    <row r="15" spans="2:29">
      <c r="B15" s="209" t="s">
        <v>207</v>
      </c>
      <c r="C15" s="86">
        <f>INDEX('Incremental Rev Req'!$R$9:$V$24,MATCH(B15,'Incremental Rev Req'!$R$9:$R$24,0),MATCH(Summary!$D$3,'Incremental Rev Req'!$R$9:$V$9,0))</f>
        <v>534737.66737388854</v>
      </c>
      <c r="D15" s="210">
        <f>INDEX('Incremental Rev Req'!$R$99:$V$114,MATCH(B15,'Incremental Rev Req'!$R$99:$R$114,0),MATCH(Summary!$D$3,'Incremental Rev Req'!$R$99:$V$99,0))</f>
        <v>909084.26724538044</v>
      </c>
      <c r="F15" s="228"/>
      <c r="G15" s="213"/>
      <c r="H15" s="213"/>
      <c r="I15" s="213"/>
      <c r="J15" s="211"/>
      <c r="AA15" s="5"/>
      <c r="AB15" s="62" t="s">
        <v>169</v>
      </c>
      <c r="AC15" s="62" t="s">
        <v>170</v>
      </c>
    </row>
    <row r="16" spans="2:29">
      <c r="B16" s="209" t="s">
        <v>275</v>
      </c>
      <c r="C16" s="86">
        <f>INDEX('Incremental Rev Req'!$R$9:$V$24,MATCH(B16,'Incremental Rev Req'!$R$9:$R$24,0),MATCH(Summary!$D$3,'Incremental Rev Req'!$R$9:$V$9,0))</f>
        <v>223582.8734707309</v>
      </c>
      <c r="D16" s="210">
        <f>INDEX('Incremental Rev Req'!$R$99:$V$114,MATCH(B16,'Incremental Rev Req'!$R$99:$R$114,0),MATCH(Summary!$D$3,'Incremental Rev Req'!$R$99:$V$99,0))</f>
        <v>340137.03170729481</v>
      </c>
      <c r="U16" s="540" t="s">
        <v>169</v>
      </c>
      <c r="V16" s="541"/>
      <c r="W16" s="540" t="s">
        <v>170</v>
      </c>
      <c r="X16" s="541"/>
      <c r="AA16" s="82" t="s">
        <v>228</v>
      </c>
      <c r="AB16" s="83">
        <f>((VLOOKUP(Summary!$D$3,N51:O54,2,FALSE))-(VLOOKUP(Summary!$D$3,F51:G54,2,FALSE)))/(VLOOKUP(Summary!$D$3,N51:O54,2,FALSE))</f>
        <v>0.27045122760591045</v>
      </c>
      <c r="AC16" s="83">
        <f>AB16</f>
        <v>0.27045122760591045</v>
      </c>
    </row>
    <row r="17" spans="2:40">
      <c r="B17" s="139" t="s">
        <v>292</v>
      </c>
      <c r="C17" s="86">
        <f>INDEX('Incremental Rev Req'!$R$9:$V$24,MATCH(B17,'Incremental Rev Req'!$R$9:$R$24,0),MATCH(Summary!$D$3,'Incremental Rev Req'!$R$9:$V$9,0))</f>
        <v>1228947.638108626</v>
      </c>
      <c r="D17" s="210">
        <f>INDEX('Incremental Rev Req'!$R$99:$V$114,MATCH(B17,'Incremental Rev Req'!$R$99:$R$114,0),MATCH(Summary!$D$3,'Incremental Rev Req'!$R$99:$V$99,0))</f>
        <v>1611336.7430705647</v>
      </c>
      <c r="F17" s="211"/>
      <c r="G17" s="546" t="s">
        <v>176</v>
      </c>
      <c r="H17" s="546"/>
      <c r="I17" s="546"/>
      <c r="J17" s="546"/>
      <c r="K17" s="546"/>
      <c r="L17" s="546"/>
      <c r="M17" s="546"/>
      <c r="N17" s="546"/>
      <c r="O17" s="546"/>
      <c r="P17" s="546"/>
      <c r="Q17" s="546"/>
      <c r="R17" s="546"/>
      <c r="S17" s="546"/>
      <c r="T17" s="544"/>
      <c r="U17" s="543" t="s">
        <v>177</v>
      </c>
      <c r="V17" s="544"/>
      <c r="W17" s="543" t="s">
        <v>177</v>
      </c>
      <c r="X17" s="544"/>
      <c r="AA17" s="82" t="s">
        <v>229</v>
      </c>
      <c r="AB17" s="83">
        <v>0.35</v>
      </c>
      <c r="AC17" s="83">
        <f>AB17</f>
        <v>0.35</v>
      </c>
      <c r="AF17" s="350"/>
    </row>
    <row r="18" spans="2:40" ht="31.5" customHeight="1">
      <c r="B18" s="209" t="s">
        <v>132</v>
      </c>
      <c r="C18" s="214">
        <f>SUM(C4:C17)</f>
        <v>17393784.950308166</v>
      </c>
      <c r="D18" s="214">
        <f>SUM(D4:D17)</f>
        <v>20570586.872077931</v>
      </c>
      <c r="E18" s="211"/>
      <c r="G18" s="58" t="s">
        <v>3</v>
      </c>
      <c r="H18" s="6" t="s">
        <v>5</v>
      </c>
      <c r="I18" s="6" t="s">
        <v>16</v>
      </c>
      <c r="J18" s="6" t="s">
        <v>173</v>
      </c>
      <c r="K18" s="6" t="s">
        <v>14</v>
      </c>
      <c r="L18" s="6" t="s">
        <v>10</v>
      </c>
      <c r="M18" s="6" t="s">
        <v>66</v>
      </c>
      <c r="N18" s="6" t="s">
        <v>127</v>
      </c>
      <c r="O18" s="6" t="s">
        <v>134</v>
      </c>
      <c r="P18" s="6" t="s">
        <v>174</v>
      </c>
      <c r="Q18" s="58" t="s">
        <v>656</v>
      </c>
      <c r="R18" s="6" t="s">
        <v>275</v>
      </c>
      <c r="S18" s="58" t="s">
        <v>207</v>
      </c>
      <c r="T18" s="353" t="s">
        <v>292</v>
      </c>
      <c r="U18" s="43" t="s">
        <v>132</v>
      </c>
      <c r="V18" s="43" t="s">
        <v>178</v>
      </c>
      <c r="W18" s="354" t="s">
        <v>132</v>
      </c>
      <c r="X18" s="355" t="s">
        <v>178</v>
      </c>
      <c r="AA18" s="82" t="s">
        <v>192</v>
      </c>
      <c r="AB18" s="61">
        <f>SUM(H10:O10,S10:T10,G10/H19)*AB16*AB17</f>
        <v>871381.32786013244</v>
      </c>
      <c r="AC18" s="61">
        <f>SUM(H13:O13,S13:T13,G13/H19)*AB16*AB17</f>
        <v>985368.49456763663</v>
      </c>
    </row>
    <row r="19" spans="2:40">
      <c r="B19" s="7"/>
      <c r="C19" s="210"/>
      <c r="D19" s="5"/>
      <c r="F19" s="5" t="s">
        <v>18</v>
      </c>
      <c r="G19" s="106">
        <f>VLOOKUP(Summary!$D$3,$F$41:$Q$44,G$33,FALSE)</f>
        <v>1</v>
      </c>
      <c r="H19" s="106">
        <f>VLOOKUP(Summary!$D$3,$F$41:$T$44,H$33,FALSE)</f>
        <v>0.3886737227775372</v>
      </c>
      <c r="I19" s="106">
        <f>VLOOKUP(Summary!$D$3,$F$41:$T$44,I$33,FALSE)</f>
        <v>0.3886737227775372</v>
      </c>
      <c r="J19" s="106">
        <f>VLOOKUP(Summary!$D$3,$F$41:$T$44,J$33,FALSE)</f>
        <v>0.3886737227775372</v>
      </c>
      <c r="K19" s="106">
        <f>VLOOKUP(Summary!$D$3,$F$41:$T$44,K$33,FALSE)</f>
        <v>0.3886737227775372</v>
      </c>
      <c r="L19" s="106">
        <f>VLOOKUP(Summary!$D$3,$F$41:$T$44,L$33,FALSE)</f>
        <v>0.3886737227775372</v>
      </c>
      <c r="M19" s="106">
        <f>VLOOKUP(Summary!$D$3,$F$41:$T$44,M$33,FALSE)</f>
        <v>0.3886737227775372</v>
      </c>
      <c r="N19" s="106">
        <f>VLOOKUP(Summary!$D$3,$F$41:$T$44,N$33,FALSE)</f>
        <v>0.3886737227775372</v>
      </c>
      <c r="O19" s="106">
        <f>VLOOKUP(Summary!$D$3,$F$41:$T$44,O$33,FALSE)</f>
        <v>0.3886737227775372</v>
      </c>
      <c r="P19" s="106">
        <f>VLOOKUP(Summary!$D$3,$F$41:$T$44,P$33,FALSE)</f>
        <v>0.3886737227775372</v>
      </c>
      <c r="Q19" s="106">
        <f>VLOOKUP(Summary!$D$3,$F$41:$T$44,Q$33,FALSE)</f>
        <v>0.3886737227775372</v>
      </c>
      <c r="R19" s="106">
        <f>VLOOKUP(Summary!$D$3,$F$41:$T$44,R$33,FALSE)</f>
        <v>0.3886737227775372</v>
      </c>
      <c r="S19" s="106">
        <f>VLOOKUP(Summary!$D$3,$F$41:$T$44,S$33,FALSE)</f>
        <v>0.31485609588383029</v>
      </c>
      <c r="T19" s="81">
        <f>VLOOKUP(Summary!$D$3,$F$41:$T$44,T$33,FALSE)</f>
        <v>0.3886737227775372</v>
      </c>
      <c r="U19" s="63">
        <f>SUMPRODUCT(G10:T10,G19:T19)</f>
        <v>3481877.8530659243</v>
      </c>
      <c r="V19" s="63">
        <f>U19-(($AB$18-$AB$21)*H19)</f>
        <v>3239901.8808968677</v>
      </c>
      <c r="W19" s="84">
        <f>SUMPRODUCT(G13:T13,G19:T19)</f>
        <v>3955565.7820235603</v>
      </c>
      <c r="X19" s="85">
        <f>W19-(($AC$18-$AC$21)*H19)</f>
        <v>3681936.4399727108</v>
      </c>
      <c r="AA19" s="82" t="s">
        <v>230</v>
      </c>
      <c r="AB19" s="60">
        <f>VLOOKUP(Summary!$D$3,$F$51:$G$54,2,FALSE)</f>
        <v>19358300.385786124</v>
      </c>
      <c r="AC19" s="86">
        <f>AB19</f>
        <v>19358300.385786124</v>
      </c>
      <c r="AF19" s="350"/>
    </row>
    <row r="20" spans="2:40">
      <c r="B20" s="7"/>
      <c r="C20" s="7"/>
      <c r="D20" s="5"/>
      <c r="F20" s="5" t="s">
        <v>22</v>
      </c>
      <c r="G20" s="106">
        <f>VLOOKUP(Summary!$D$3,$F$45:$T$48,G$33,FALSE)</f>
        <v>1</v>
      </c>
      <c r="H20" s="106">
        <f>VLOOKUP(Summary!$D$3,$F$45:$T$48,H$33,FALSE)</f>
        <v>0.32886186544742674</v>
      </c>
      <c r="I20" s="106">
        <f>VLOOKUP(Summary!$D$3,$F$45:$T$48,I$33,FALSE)</f>
        <v>0.32886186544742674</v>
      </c>
      <c r="J20" s="106">
        <f>VLOOKUP(Summary!$D$3,$F$45:$T$48,J$33,FALSE)</f>
        <v>0.32886186544742674</v>
      </c>
      <c r="K20" s="106">
        <f>VLOOKUP(Summary!$D$3,$F$45:$T$48,K$33,FALSE)</f>
        <v>0.32886186544742674</v>
      </c>
      <c r="L20" s="106">
        <f>VLOOKUP(Summary!$D$3,$F$45:$T$48,L$33,FALSE)</f>
        <v>0.32886186544742674</v>
      </c>
      <c r="M20" s="106">
        <f>VLOOKUP(Summary!$D$3,$F$45:$T$48,M$33,FALSE)</f>
        <v>0.32886186544742674</v>
      </c>
      <c r="N20" s="106">
        <f>VLOOKUP(Summary!$D$3,$F$45:$T$48,N$33,FALSE)</f>
        <v>0.32886186544742674</v>
      </c>
      <c r="O20" s="106">
        <f>VLOOKUP(Summary!$D$3,$F$45:$T$48,O$33,FALSE)</f>
        <v>0.32886186544742674</v>
      </c>
      <c r="P20" s="106">
        <f>VLOOKUP(Summary!$D$3,$F$45:$T$48,P$33,FALSE)</f>
        <v>0.32886186544742674</v>
      </c>
      <c r="Q20" s="106">
        <f>VLOOKUP(Summary!$D$3,$F$45:$T$48,Q$33,FALSE)</f>
        <v>0.32886186544742674</v>
      </c>
      <c r="R20" s="106">
        <f>VLOOKUP(Summary!$D$3,$F$45:$T$48,R$33,FALSE)</f>
        <v>0.32886186544742674</v>
      </c>
      <c r="S20" s="106">
        <f>VLOOKUP(Summary!$D$3,$F$45:$T$48,S$33,FALSE)</f>
        <v>0.28144412281858089</v>
      </c>
      <c r="T20" s="81">
        <f>VLOOKUP(Summary!$D$3,$F$45:$T$48,T$33,FALSE)</f>
        <v>0.32886186544742674</v>
      </c>
      <c r="U20" s="63">
        <f>SUMPRODUCT(G11:T11,G20:T20)</f>
        <v>7759034.7455460588</v>
      </c>
      <c r="V20" s="63">
        <f>U20</f>
        <v>7759034.7455460588</v>
      </c>
      <c r="W20" s="84">
        <f>SUMPRODUCT(G14:T14,G20:T20)</f>
        <v>8786037.0240423344</v>
      </c>
      <c r="X20" s="85">
        <f>W20</f>
        <v>8786037.0240423344</v>
      </c>
      <c r="AA20" s="82" t="s">
        <v>227</v>
      </c>
      <c r="AB20" s="60">
        <f>VLOOKUP(Summary!$D$3,$F$55:$G$58,2,FALSE)</f>
        <v>67795755.926224142</v>
      </c>
      <c r="AC20" s="86">
        <f>AB20</f>
        <v>67795755.926224142</v>
      </c>
    </row>
    <row r="21" spans="2:40">
      <c r="B21" s="7"/>
      <c r="C21" s="7"/>
      <c r="D21" s="5"/>
      <c r="G21" s="205"/>
      <c r="H21" s="205"/>
      <c r="I21" s="205"/>
      <c r="J21" s="205"/>
      <c r="K21" s="205"/>
      <c r="L21" s="205"/>
      <c r="M21" s="205"/>
      <c r="N21" s="205"/>
      <c r="O21" s="205"/>
      <c r="P21" s="205"/>
      <c r="Q21" s="205"/>
      <c r="S21" s="205"/>
      <c r="U21" s="5"/>
      <c r="V21" s="63"/>
      <c r="AA21" s="82" t="s">
        <v>179</v>
      </c>
      <c r="AB21" s="61">
        <f>AB18*AB19/AB20</f>
        <v>248812.94212041851</v>
      </c>
      <c r="AC21" s="61">
        <f>AC18*AC19/AC20</f>
        <v>281360.66997007595</v>
      </c>
    </row>
    <row r="22" spans="2:40">
      <c r="B22" s="7"/>
      <c r="C22" s="7"/>
      <c r="D22" s="5"/>
      <c r="F22" s="211" t="str">
        <f>"Notes: Allocation and bundled/unbundled split based on "&amp;Summary!L4&amp;" sales forecast"</f>
        <v>Notes: Allocation and bundled/unbundled split based on 2029 sales forecast</v>
      </c>
      <c r="R22" s="205"/>
      <c r="S22" s="6"/>
      <c r="T22" s="5"/>
      <c r="V22" s="139" t="s">
        <v>432</v>
      </c>
      <c r="W22" s="212">
        <f>P10*P19</f>
        <v>-154196.44662346432</v>
      </c>
      <c r="X22" s="212">
        <f>P13*P19</f>
        <v>-154196.44662346432</v>
      </c>
      <c r="Y22" s="356"/>
    </row>
    <row r="23" spans="2:40">
      <c r="B23" s="7"/>
      <c r="C23" s="7"/>
      <c r="E23" s="5"/>
      <c r="F23" s="5"/>
      <c r="G23" s="7"/>
      <c r="H23" s="7"/>
      <c r="I23" s="7"/>
      <c r="J23" s="7"/>
      <c r="K23" s="7"/>
      <c r="L23" s="7"/>
      <c r="M23" s="7"/>
      <c r="N23" s="7"/>
      <c r="O23" s="7"/>
      <c r="P23" s="7"/>
      <c r="Q23" s="7"/>
      <c r="R23" s="7"/>
      <c r="S23" s="11"/>
      <c r="T23" s="11"/>
      <c r="U23" s="5"/>
      <c r="V23" s="225" t="s">
        <v>575</v>
      </c>
      <c r="W23" s="212">
        <f>P11*P20</f>
        <v>-156300.31672218579</v>
      </c>
      <c r="X23" s="70">
        <f>P14*P20</f>
        <v>-156300.31672218579</v>
      </c>
      <c r="Y23" s="5"/>
    </row>
    <row r="24" spans="2:40" ht="16" thickBot="1">
      <c r="B24" s="7"/>
      <c r="C24" s="7"/>
      <c r="E24" s="43"/>
      <c r="F24" s="43"/>
      <c r="G24" s="64"/>
      <c r="H24" s="43"/>
      <c r="I24" s="43"/>
      <c r="J24" s="43"/>
      <c r="K24" s="43"/>
      <c r="L24" s="43"/>
      <c r="M24" s="43"/>
      <c r="N24" s="43"/>
      <c r="O24" s="43"/>
      <c r="P24" s="43"/>
      <c r="Q24" s="43"/>
      <c r="R24" s="43"/>
      <c r="S24" s="11"/>
      <c r="T24" s="11"/>
      <c r="U24" s="215"/>
      <c r="V24" s="215"/>
      <c r="X24" s="5"/>
      <c r="Y24" s="129"/>
    </row>
    <row r="25" spans="2:40" ht="16" thickBot="1">
      <c r="B25" s="7"/>
      <c r="C25" s="7"/>
      <c r="E25" s="43"/>
      <c r="F25" s="43"/>
      <c r="G25" s="43"/>
      <c r="H25" s="43"/>
      <c r="I25" s="43"/>
      <c r="J25" s="43"/>
      <c r="K25" s="43"/>
      <c r="L25" s="43"/>
      <c r="M25" s="43"/>
      <c r="N25" s="43"/>
      <c r="O25" s="43"/>
      <c r="P25" s="43"/>
      <c r="Q25" s="43"/>
      <c r="R25" s="43"/>
      <c r="S25" s="216"/>
      <c r="T25" s="5"/>
      <c r="U25" s="5"/>
      <c r="V25" s="5"/>
      <c r="X25" s="5"/>
      <c r="Y25" s="357"/>
      <c r="AA25" s="533">
        <v>2026</v>
      </c>
      <c r="AB25" s="534"/>
      <c r="AC25" s="534"/>
      <c r="AD25" s="534"/>
      <c r="AE25" s="534"/>
      <c r="AF25" s="535"/>
      <c r="AI25" s="533">
        <v>2027</v>
      </c>
      <c r="AJ25" s="534"/>
      <c r="AK25" s="534"/>
      <c r="AL25" s="534"/>
      <c r="AM25" s="534"/>
      <c r="AN25" s="535"/>
    </row>
    <row r="26" spans="2:40">
      <c r="B26" s="7"/>
      <c r="C26" s="7"/>
      <c r="D26" s="5"/>
      <c r="E26" s="5"/>
      <c r="F26" s="537" t="s">
        <v>23</v>
      </c>
      <c r="G26" s="538"/>
      <c r="H26" s="538"/>
      <c r="I26" s="538"/>
      <c r="J26" s="538"/>
      <c r="K26" s="539"/>
      <c r="O26" s="5"/>
      <c r="P26" s="537" t="s">
        <v>25</v>
      </c>
      <c r="Q26" s="538"/>
      <c r="R26" s="538"/>
      <c r="S26" s="538"/>
      <c r="T26" s="538"/>
      <c r="U26" s="539"/>
      <c r="V26" s="217"/>
      <c r="Z26" s="5"/>
      <c r="AA26" s="358"/>
      <c r="AB26" s="218">
        <v>500000000</v>
      </c>
      <c r="AC26" s="359"/>
      <c r="AF26" s="359"/>
      <c r="AI26" s="360"/>
      <c r="AJ26" s="219">
        <v>500000000</v>
      </c>
      <c r="AK26" s="361"/>
      <c r="AN26" s="359"/>
    </row>
    <row r="27" spans="2:40" ht="46.5">
      <c r="B27" s="7"/>
      <c r="C27" s="7"/>
      <c r="D27" s="5"/>
      <c r="E27" s="5"/>
      <c r="F27" s="6" t="str">
        <f>Summary!D3&amp;" Sales"</f>
        <v>2029 Sales</v>
      </c>
      <c r="G27" s="6" t="str">
        <f>TEXT(Summary!L3,"mm/d/yyyy")&amp;" Avg Rates"</f>
        <v>03/1/2026 Avg Rates</v>
      </c>
      <c r="H27" s="6" t="s">
        <v>180</v>
      </c>
      <c r="I27" s="6" t="s">
        <v>181</v>
      </c>
      <c r="J27" s="6" t="s">
        <v>182</v>
      </c>
      <c r="K27" s="6" t="s">
        <v>183</v>
      </c>
      <c r="O27" s="5"/>
      <c r="P27" s="6" t="str">
        <f>F27</f>
        <v>2029 Sales</v>
      </c>
      <c r="Q27" s="6" t="str">
        <f>G27</f>
        <v>03/1/2026 Avg Rates</v>
      </c>
      <c r="R27" s="6" t="s">
        <v>180</v>
      </c>
      <c r="S27" s="6" t="s">
        <v>181</v>
      </c>
      <c r="T27" s="6" t="s">
        <v>182</v>
      </c>
      <c r="U27" s="6" t="s">
        <v>183</v>
      </c>
      <c r="V27" s="217"/>
      <c r="Z27" s="5"/>
      <c r="AA27" s="362" t="s">
        <v>295</v>
      </c>
      <c r="AB27" s="218">
        <f>(SUMIF('Authorized Rev Req'!L:L, "Distribution (Wildfire)", 'Authorized Rev Req'!H:H)+SUMIF('Authorized Rev Req'!L:L, "WHC", 'Authorized Rev Req'!H:H))*1000</f>
        <v>2216164203.6611958</v>
      </c>
      <c r="AC27" s="359"/>
      <c r="AF27" s="359"/>
      <c r="AI27" s="362" t="s">
        <v>295</v>
      </c>
      <c r="AJ27" s="218">
        <f>('Incremental Rev Req'!T113+'Incremental Rev Req'!T112)*1000</f>
        <v>1658636481.9172735</v>
      </c>
      <c r="AK27" s="359"/>
      <c r="AN27" s="359"/>
    </row>
    <row r="28" spans="2:40" ht="16" thickBot="1">
      <c r="B28" s="7"/>
      <c r="C28" s="7"/>
      <c r="D28" s="5"/>
      <c r="E28" s="363" t="s">
        <v>18</v>
      </c>
      <c r="F28" s="111">
        <f>VLOOKUP(Summary!$D$3,$J$51:$K$54,2,FALSE)</f>
        <v>10313310.03806413</v>
      </c>
      <c r="G28" s="64">
        <f>IF(Summary!$I$3="Y",AB50,AC50)</f>
        <v>32.340654762006949</v>
      </c>
      <c r="H28" s="11">
        <f>IF(Summary!$I$3="Y",V19/$F$28*100,SUM(V19-W22)/$F$28*100)</f>
        <v>31.414762757437831</v>
      </c>
      <c r="I28" s="11">
        <f>IF(Summary!$I$3="Y",X19/$F$28*100,SUM(X19-X22)/$F$28*100)</f>
        <v>35.700821815532585</v>
      </c>
      <c r="J28" s="125">
        <f>H28/G28-1</f>
        <v>-2.8629352478566239E-2</v>
      </c>
      <c r="K28" s="125">
        <f>I28/G28-1</f>
        <v>0.10389916587196257</v>
      </c>
      <c r="O28" s="363" t="s">
        <v>18</v>
      </c>
      <c r="P28" s="111">
        <f>VLOOKUP(Summary!$D$3,$N$51:$O$54,2,FALSE)</f>
        <v>26534621.286881018</v>
      </c>
      <c r="Q28" s="64">
        <f>IF(Summary!$I$3="Y",AE50,AF50)</f>
        <v>29.788022651798478</v>
      </c>
      <c r="R28" s="11">
        <f>IF(Summary!$I$3="Y",U10/P28*100,(U10-P10)/P28)</f>
        <v>26.055130701242607</v>
      </c>
      <c r="S28" s="11">
        <f>IF(Summary!$I$3="Y",U13/P28*100,(U13-P13)/P28)</f>
        <v>30.741967740168409</v>
      </c>
      <c r="T28" s="125">
        <f>R28/Q28-1</f>
        <v>-0.12531519779579914</v>
      </c>
      <c r="U28" s="125">
        <f>S28/Q28-1</f>
        <v>3.2024451556281308E-2</v>
      </c>
      <c r="V28" s="217"/>
      <c r="W28" s="205"/>
      <c r="X28" s="61"/>
      <c r="AA28" s="364"/>
      <c r="AB28" s="365"/>
      <c r="AC28" s="366"/>
      <c r="AF28" s="359"/>
      <c r="AI28" s="367"/>
      <c r="AJ28" s="365"/>
      <c r="AK28" s="366"/>
      <c r="AN28" s="359"/>
    </row>
    <row r="29" spans="2:40">
      <c r="E29" s="363" t="s">
        <v>22</v>
      </c>
      <c r="F29" s="111">
        <f>VLOOKUP(Summary!$D$3,$J$55:$K$58,2,FALSE)</f>
        <v>24784494.935273737</v>
      </c>
      <c r="G29" s="64">
        <f>IF(Summary!$I$3="Y",AB51,AC51)</f>
        <v>32.596708001946226</v>
      </c>
      <c r="H29" s="11">
        <f>IF(Summary!$I$3="Y",V20/$F$29*100,SUM(V20-W23)/$F$29*100)</f>
        <v>31.306003070908904</v>
      </c>
      <c r="I29" s="11">
        <f>IF(Summary!$I$3="Y",W20/$F$29*100,SUM(W20-X23)/$F$29*100)</f>
        <v>35.449731967456358</v>
      </c>
      <c r="J29" s="125">
        <f>H29/G29-1</f>
        <v>-3.9596174281165353E-2</v>
      </c>
      <c r="K29" s="125">
        <f>I29/G29-1</f>
        <v>8.7524910961554347E-2</v>
      </c>
      <c r="O29" s="363" t="s">
        <v>22</v>
      </c>
      <c r="P29" s="111">
        <f>VLOOKUP(Summary!$D$3,$N$55:$O$58,2,FALSE)</f>
        <v>75364454.013400629</v>
      </c>
      <c r="Q29" s="64">
        <f>IF(Summary!$I$3="Y",AE51,AF51)</f>
        <v>26.65073540105055</v>
      </c>
      <c r="R29" s="11">
        <f>IF(Summary!$I$3="Y",U11/P29*100,(U11-P11)/P29)</f>
        <v>23.079560753157391</v>
      </c>
      <c r="S29" s="11">
        <f>IF(Summary!$I$3="Y",U14/P29*100,(U14-P14)/P29)</f>
        <v>27.294813107012299</v>
      </c>
      <c r="T29" s="125">
        <f>R29/Q29-1</f>
        <v>-0.13399910337004761</v>
      </c>
      <c r="U29" s="125">
        <f>S29/Q29-1</f>
        <v>2.4167352092518968E-2</v>
      </c>
      <c r="V29" s="220"/>
      <c r="AA29" s="368"/>
      <c r="AB29" s="369" t="s">
        <v>5</v>
      </c>
      <c r="AC29" s="361" t="s">
        <v>287</v>
      </c>
      <c r="AE29" s="370" t="s">
        <v>293</v>
      </c>
      <c r="AF29" s="371" t="s">
        <v>294</v>
      </c>
      <c r="AI29" s="368"/>
      <c r="AJ29" s="139" t="s">
        <v>5</v>
      </c>
      <c r="AK29" s="359" t="s">
        <v>287</v>
      </c>
      <c r="AM29" s="370" t="s">
        <v>293</v>
      </c>
      <c r="AN29" s="371" t="s">
        <v>294</v>
      </c>
    </row>
    <row r="30" spans="2:40">
      <c r="Q30" s="5"/>
      <c r="R30" s="5"/>
      <c r="S30" s="216"/>
      <c r="T30" s="5"/>
      <c r="U30" s="216"/>
      <c r="V30" s="217"/>
      <c r="AA30" s="372" t="s">
        <v>288</v>
      </c>
      <c r="AB30" s="200">
        <v>0.47554953632916569</v>
      </c>
      <c r="AC30" s="201">
        <v>0.37373788819706122</v>
      </c>
      <c r="AE30" s="373">
        <f>AVERAGE(AB30:AC30)</f>
        <v>0.42464371226311348</v>
      </c>
      <c r="AF30" s="374">
        <f>(0.125*AB30)+(0.875*AC30)</f>
        <v>0.38646434421357428</v>
      </c>
      <c r="AI30" s="372" t="s">
        <v>288</v>
      </c>
      <c r="AJ30" s="200">
        <v>0.46466189261562585</v>
      </c>
      <c r="AK30" s="201">
        <v>0.37373788819706122</v>
      </c>
      <c r="AM30" s="373">
        <f>AVERAGE(AJ30:AK30)</f>
        <v>0.41919989040634353</v>
      </c>
      <c r="AN30" s="374">
        <f>(0.125*AJ30)+(0.875*AK30)</f>
        <v>0.38510338874938183</v>
      </c>
    </row>
    <row r="31" spans="2:40">
      <c r="Q31" s="5"/>
      <c r="R31" s="5"/>
      <c r="S31" s="216"/>
      <c r="T31" s="5"/>
      <c r="U31" s="216"/>
      <c r="V31" s="220"/>
      <c r="AA31" s="372" t="s">
        <v>357</v>
      </c>
      <c r="AB31" s="200">
        <v>0.10604111471814805</v>
      </c>
      <c r="AC31" s="201">
        <v>9.2040201092834811E-2</v>
      </c>
      <c r="AF31" s="359"/>
      <c r="AI31" s="372" t="s">
        <v>357</v>
      </c>
      <c r="AJ31" s="200">
        <v>0.10501978944326278</v>
      </c>
      <c r="AK31" s="201">
        <v>9.2040201092834811E-2</v>
      </c>
      <c r="AN31" s="359"/>
    </row>
    <row r="32" spans="2:40">
      <c r="B32" s="7"/>
      <c r="C32" s="7"/>
      <c r="D32" s="5"/>
      <c r="E32" s="5"/>
      <c r="F32" s="375"/>
      <c r="G32" s="375"/>
      <c r="H32" s="375"/>
      <c r="I32" s="43"/>
      <c r="J32" s="43"/>
      <c r="K32" s="43"/>
      <c r="L32" s="5"/>
      <c r="M32" s="5"/>
      <c r="N32" s="5"/>
      <c r="O32" s="5"/>
      <c r="P32" s="5"/>
      <c r="Q32" s="5"/>
      <c r="R32" s="5"/>
      <c r="S32" s="216"/>
      <c r="T32" s="5"/>
      <c r="U32" s="216"/>
      <c r="V32" s="220"/>
      <c r="W32" s="220"/>
      <c r="X32" s="217"/>
      <c r="AA32" s="372" t="s">
        <v>374</v>
      </c>
      <c r="AB32" s="200">
        <v>3.3324052864361096E-2</v>
      </c>
      <c r="AC32" s="201">
        <v>2.9394853387822543E-2</v>
      </c>
      <c r="AF32" s="359"/>
      <c r="AI32" s="372" t="s">
        <v>374</v>
      </c>
      <c r="AJ32" s="200">
        <v>3.3418461993119791E-2</v>
      </c>
      <c r="AK32" s="201">
        <v>2.9394853387822543E-2</v>
      </c>
      <c r="AN32" s="359"/>
    </row>
    <row r="33" spans="2:40">
      <c r="B33" s="7"/>
      <c r="C33" s="7"/>
      <c r="D33" s="5"/>
      <c r="E33" s="43"/>
      <c r="F33" s="70"/>
      <c r="G33" s="6">
        <v>2</v>
      </c>
      <c r="H33" s="6">
        <v>3</v>
      </c>
      <c r="I33" s="43">
        <v>4</v>
      </c>
      <c r="J33" s="43">
        <v>5</v>
      </c>
      <c r="K33" s="43">
        <v>6</v>
      </c>
      <c r="L33" s="6">
        <v>7</v>
      </c>
      <c r="M33" s="6">
        <v>8</v>
      </c>
      <c r="N33" s="6">
        <v>9</v>
      </c>
      <c r="O33" s="6">
        <v>10</v>
      </c>
      <c r="P33" s="6">
        <v>11</v>
      </c>
      <c r="Q33" s="6">
        <v>12</v>
      </c>
      <c r="R33" s="6">
        <v>13</v>
      </c>
      <c r="S33" s="6">
        <v>14</v>
      </c>
      <c r="T33" s="6">
        <v>15</v>
      </c>
      <c r="U33" s="216"/>
      <c r="V33" s="217"/>
      <c r="W33" s="220"/>
      <c r="X33" s="217"/>
      <c r="AA33" s="372" t="s">
        <v>570</v>
      </c>
      <c r="AB33" s="200">
        <v>8.8178328740731421E-2</v>
      </c>
      <c r="AC33" s="201">
        <v>0.10147953048583333</v>
      </c>
      <c r="AF33" s="359"/>
      <c r="AI33" s="372" t="s">
        <v>570</v>
      </c>
      <c r="AJ33" s="200">
        <v>8.6909234434938309E-2</v>
      </c>
      <c r="AK33" s="201">
        <v>0.10147953048583333</v>
      </c>
      <c r="AN33" s="359"/>
    </row>
    <row r="34" spans="2:40" ht="31">
      <c r="B34" s="7"/>
      <c r="C34" s="7"/>
      <c r="D34" s="211"/>
      <c r="E34" s="59"/>
      <c r="F34" s="59" t="s">
        <v>205</v>
      </c>
      <c r="G34" s="6" t="s">
        <v>3</v>
      </c>
      <c r="H34" s="6" t="s">
        <v>5</v>
      </c>
      <c r="I34" s="6" t="s">
        <v>16</v>
      </c>
      <c r="J34" s="6" t="s">
        <v>173</v>
      </c>
      <c r="K34" s="6" t="s">
        <v>14</v>
      </c>
      <c r="L34" s="6" t="s">
        <v>10</v>
      </c>
      <c r="M34" s="6" t="s">
        <v>66</v>
      </c>
      <c r="N34" s="6" t="s">
        <v>127</v>
      </c>
      <c r="O34" s="6" t="s">
        <v>134</v>
      </c>
      <c r="P34" s="6" t="s">
        <v>174</v>
      </c>
      <c r="Q34" s="6" t="s">
        <v>656</v>
      </c>
      <c r="R34" s="6" t="s">
        <v>275</v>
      </c>
      <c r="S34" s="6" t="s">
        <v>207</v>
      </c>
      <c r="T34" s="6" t="s">
        <v>292</v>
      </c>
      <c r="U34" s="5"/>
      <c r="V34" s="215"/>
      <c r="W34" s="220"/>
      <c r="AA34" s="372" t="s">
        <v>571</v>
      </c>
      <c r="AB34" s="200">
        <v>0.14648830449316744</v>
      </c>
      <c r="AC34" s="201">
        <v>0.18401660606871539</v>
      </c>
      <c r="AF34" s="359"/>
      <c r="AI34" s="372" t="s">
        <v>571</v>
      </c>
      <c r="AJ34" s="200">
        <v>0.15333183083440122</v>
      </c>
      <c r="AK34" s="201">
        <v>0.18401660606871539</v>
      </c>
      <c r="AN34" s="359"/>
    </row>
    <row r="35" spans="2:40">
      <c r="E35" s="5"/>
      <c r="F35" s="376">
        <v>2026</v>
      </c>
      <c r="G35" s="71">
        <v>0.43002922607397048</v>
      </c>
      <c r="H35" s="377">
        <v>0.40292282400376112</v>
      </c>
      <c r="I35" s="71">
        <v>0.34239546338225313</v>
      </c>
      <c r="J35" s="71">
        <v>0.33883276808919272</v>
      </c>
      <c r="K35" s="71">
        <v>0.48768036339609455</v>
      </c>
      <c r="L35" s="71">
        <v>0.47700509598271423</v>
      </c>
      <c r="M35" s="71">
        <v>0.36222602887535721</v>
      </c>
      <c r="N35" s="71">
        <v>0.35051136171955549</v>
      </c>
      <c r="O35" s="71">
        <v>0.34777168759653521</v>
      </c>
      <c r="P35" s="71">
        <v>0.83472389049415474</v>
      </c>
      <c r="Q35" s="71">
        <v>0.27230327335928306</v>
      </c>
      <c r="R35" s="71">
        <v>0.33853498987417907</v>
      </c>
      <c r="S35" s="71">
        <v>0.35064423154799867</v>
      </c>
      <c r="T35" s="71">
        <f>((AJ26*AE30)+((AB27-AB26)*(AF30)))/AB27</f>
        <v>0.3950781842860891</v>
      </c>
      <c r="U35" s="5"/>
      <c r="V35" s="71"/>
      <c r="W35" s="221"/>
      <c r="AA35" s="372" t="s">
        <v>289</v>
      </c>
      <c r="AB35" s="200">
        <v>3.4289500953912258E-3</v>
      </c>
      <c r="AC35" s="201">
        <v>3.9605516879272504E-3</v>
      </c>
      <c r="AF35" s="359"/>
      <c r="AI35" s="372" t="s">
        <v>289</v>
      </c>
      <c r="AJ35" s="200">
        <v>3.3706310832522807E-3</v>
      </c>
      <c r="AK35" s="201">
        <v>3.9605516879272504E-3</v>
      </c>
      <c r="AN35" s="359"/>
    </row>
    <row r="36" spans="2:40">
      <c r="E36" s="5"/>
      <c r="F36" s="376">
        <f>F35+1</f>
        <v>2027</v>
      </c>
      <c r="G36" s="71">
        <v>0.45172307870169487</v>
      </c>
      <c r="H36" s="377">
        <v>0.40123059867601019</v>
      </c>
      <c r="I36" s="71">
        <v>0.34034661571481606</v>
      </c>
      <c r="J36" s="71">
        <v>0.33180933785335964</v>
      </c>
      <c r="K36" s="71">
        <v>0.48645546830359976</v>
      </c>
      <c r="L36" s="71">
        <v>0.47570059476392407</v>
      </c>
      <c r="M36" s="71">
        <v>0.36413420561019494</v>
      </c>
      <c r="N36" s="71">
        <v>0.3484542471201218</v>
      </c>
      <c r="O36" s="71">
        <v>0.34572458341271589</v>
      </c>
      <c r="P36" s="71">
        <v>0.86552945707957518</v>
      </c>
      <c r="Q36" s="71">
        <v>0.26653852938045608</v>
      </c>
      <c r="R36" s="71">
        <v>0.33265382391289772</v>
      </c>
      <c r="S36" s="71">
        <v>0.376539036233703</v>
      </c>
      <c r="T36" s="71">
        <f>((AJ26*AM30)+((AJ27-AJ26)*(AN30)))/AJ27</f>
        <v>0.39538186207029552</v>
      </c>
      <c r="U36" s="216"/>
      <c r="V36" s="5"/>
      <c r="X36" s="5"/>
      <c r="AA36" s="372" t="s">
        <v>290</v>
      </c>
      <c r="AB36" s="200">
        <v>1.3902994449942997E-3</v>
      </c>
      <c r="AC36" s="201">
        <v>3.8893033581186244E-3</v>
      </c>
      <c r="AF36" s="359"/>
      <c r="AI36" s="372" t="s">
        <v>290</v>
      </c>
      <c r="AJ36" s="200">
        <v>2.7712874998459289E-3</v>
      </c>
      <c r="AK36" s="201">
        <v>3.8893033581186244E-3</v>
      </c>
      <c r="AN36" s="359"/>
    </row>
    <row r="37" spans="2:40">
      <c r="B37" s="7"/>
      <c r="C37" s="7"/>
      <c r="E37" s="5"/>
      <c r="F37" s="376">
        <f>F36+1</f>
        <v>2028</v>
      </c>
      <c r="G37" s="71">
        <f>G35</f>
        <v>0.43002922607397048</v>
      </c>
      <c r="H37" s="71">
        <f t="shared" ref="H37:S37" si="4">H35</f>
        <v>0.40292282400376112</v>
      </c>
      <c r="I37" s="71">
        <f t="shared" si="4"/>
        <v>0.34239546338225313</v>
      </c>
      <c r="J37" s="71">
        <f t="shared" si="4"/>
        <v>0.33883276808919272</v>
      </c>
      <c r="K37" s="71">
        <f t="shared" si="4"/>
        <v>0.48768036339609455</v>
      </c>
      <c r="L37" s="71">
        <f t="shared" si="4"/>
        <v>0.47700509598271423</v>
      </c>
      <c r="M37" s="71">
        <f t="shared" si="4"/>
        <v>0.36222602887535721</v>
      </c>
      <c r="N37" s="71">
        <f t="shared" si="4"/>
        <v>0.35051136171955549</v>
      </c>
      <c r="O37" s="71">
        <f t="shared" si="4"/>
        <v>0.34777168759653521</v>
      </c>
      <c r="P37" s="71">
        <f t="shared" si="4"/>
        <v>0.83472389049415474</v>
      </c>
      <c r="Q37" s="71">
        <f t="shared" si="4"/>
        <v>0.27230327335928306</v>
      </c>
      <c r="R37" s="71">
        <f t="shared" si="4"/>
        <v>0.33853498987417907</v>
      </c>
      <c r="S37" s="71">
        <f t="shared" si="4"/>
        <v>0.35064423154799867</v>
      </c>
      <c r="T37" s="71">
        <f>T35</f>
        <v>0.3950781842860891</v>
      </c>
      <c r="U37" s="216"/>
      <c r="V37" s="220"/>
      <c r="W37" s="222"/>
      <c r="X37" s="217"/>
      <c r="AA37" s="372" t="s">
        <v>291</v>
      </c>
      <c r="AB37" s="200">
        <v>8.8633537850768884E-2</v>
      </c>
      <c r="AC37" s="201">
        <v>8.0695912474960468E-2</v>
      </c>
      <c r="AF37" s="359"/>
      <c r="AI37" s="372" t="s">
        <v>291</v>
      </c>
      <c r="AJ37" s="200">
        <v>9.28839376085831E-2</v>
      </c>
      <c r="AK37" s="201">
        <v>8.0695912474960468E-2</v>
      </c>
      <c r="AN37" s="359"/>
    </row>
    <row r="38" spans="2:40">
      <c r="B38" s="7"/>
      <c r="C38" s="7"/>
      <c r="E38" s="5"/>
      <c r="F38" s="376">
        <f>F37+1</f>
        <v>2029</v>
      </c>
      <c r="G38" s="71">
        <f>G37</f>
        <v>0.43002922607397048</v>
      </c>
      <c r="H38" s="71">
        <f t="shared" ref="H38:S38" si="5">H37</f>
        <v>0.40292282400376112</v>
      </c>
      <c r="I38" s="71">
        <f t="shared" si="5"/>
        <v>0.34239546338225313</v>
      </c>
      <c r="J38" s="71">
        <f t="shared" si="5"/>
        <v>0.33883276808919272</v>
      </c>
      <c r="K38" s="71">
        <f t="shared" si="5"/>
        <v>0.48768036339609455</v>
      </c>
      <c r="L38" s="71">
        <f t="shared" si="5"/>
        <v>0.47700509598271423</v>
      </c>
      <c r="M38" s="71">
        <f t="shared" si="5"/>
        <v>0.36222602887535721</v>
      </c>
      <c r="N38" s="71">
        <f t="shared" si="5"/>
        <v>0.35051136171955549</v>
      </c>
      <c r="O38" s="71">
        <f t="shared" si="5"/>
        <v>0.34777168759653521</v>
      </c>
      <c r="P38" s="71">
        <f t="shared" si="5"/>
        <v>0.83472389049415474</v>
      </c>
      <c r="Q38" s="71">
        <f t="shared" si="5"/>
        <v>0.27230327335928306</v>
      </c>
      <c r="R38" s="71">
        <f t="shared" si="5"/>
        <v>0.33853498987417907</v>
      </c>
      <c r="S38" s="71">
        <f t="shared" si="5"/>
        <v>0.35064423154799867</v>
      </c>
      <c r="T38" s="71">
        <f>T37</f>
        <v>0.3950781842860891</v>
      </c>
      <c r="U38" s="216"/>
      <c r="V38" s="220"/>
      <c r="W38" s="217"/>
      <c r="X38" s="217"/>
      <c r="AA38" s="372" t="s">
        <v>572</v>
      </c>
      <c r="AB38" s="200">
        <v>3.9755327840354467E-2</v>
      </c>
      <c r="AC38" s="201">
        <v>6.7877531643634414E-2</v>
      </c>
      <c r="AF38" s="359"/>
      <c r="AI38" s="372" t="s">
        <v>572</v>
      </c>
      <c r="AJ38" s="200">
        <v>3.9707161897810692E-2</v>
      </c>
      <c r="AK38" s="201">
        <v>6.7877531643634414E-2</v>
      </c>
      <c r="AN38" s="359"/>
    </row>
    <row r="39" spans="2:40">
      <c r="B39" s="7"/>
      <c r="C39" s="7"/>
      <c r="E39" s="5"/>
      <c r="F39" s="8"/>
      <c r="G39" s="9"/>
      <c r="H39" s="126"/>
      <c r="I39" s="43"/>
      <c r="J39" s="43"/>
      <c r="K39" s="43"/>
      <c r="L39" s="5"/>
      <c r="M39" s="5"/>
      <c r="N39" s="5"/>
      <c r="O39" s="5"/>
      <c r="P39" s="5"/>
      <c r="Q39" s="5"/>
      <c r="S39" s="71"/>
      <c r="T39" s="5"/>
      <c r="U39" s="216"/>
      <c r="V39" s="220"/>
      <c r="W39" s="222"/>
      <c r="X39" s="220"/>
      <c r="AA39" s="372" t="s">
        <v>573</v>
      </c>
      <c r="AB39" s="200">
        <v>1.5716952856348013E-2</v>
      </c>
      <c r="AC39" s="201">
        <v>2.2712125739292564E-2</v>
      </c>
      <c r="AF39" s="359"/>
      <c r="AI39" s="372" t="s">
        <v>573</v>
      </c>
      <c r="AJ39" s="200">
        <v>1.685713420315451E-2</v>
      </c>
      <c r="AK39" s="201">
        <v>2.2712125739292564E-2</v>
      </c>
      <c r="AN39" s="359"/>
    </row>
    <row r="40" spans="2:40" ht="18.75" customHeight="1" thickBot="1">
      <c r="B40" s="7"/>
      <c r="C40" s="7"/>
      <c r="D40" s="5"/>
      <c r="E40" s="5"/>
      <c r="F40" s="59" t="s">
        <v>176</v>
      </c>
      <c r="G40" s="43"/>
      <c r="H40" s="43"/>
      <c r="I40" s="43"/>
      <c r="J40" s="43"/>
      <c r="K40" s="43"/>
      <c r="L40" s="5"/>
      <c r="M40" s="5"/>
      <c r="N40" s="5"/>
      <c r="O40" s="5"/>
      <c r="P40" s="5"/>
      <c r="Q40" s="5"/>
      <c r="S40" s="71"/>
      <c r="T40" s="5"/>
      <c r="U40" s="216"/>
      <c r="V40" s="220"/>
      <c r="W40" s="220"/>
      <c r="X40" s="217"/>
      <c r="AA40" s="364" t="s">
        <v>574</v>
      </c>
      <c r="AB40" s="202">
        <v>1.4935947665695741E-3</v>
      </c>
      <c r="AC40" s="203">
        <v>4.0195495863799224E-2</v>
      </c>
      <c r="AD40" s="365"/>
      <c r="AE40" s="365"/>
      <c r="AF40" s="366"/>
      <c r="AI40" s="364" t="s">
        <v>574</v>
      </c>
      <c r="AJ40" s="202">
        <v>1.0686383860052963E-3</v>
      </c>
      <c r="AK40" s="203">
        <v>4.0195495863799224E-2</v>
      </c>
      <c r="AL40" s="365"/>
      <c r="AM40" s="365"/>
      <c r="AN40" s="366"/>
    </row>
    <row r="41" spans="2:40">
      <c r="B41" s="7"/>
      <c r="C41" s="7"/>
      <c r="D41" s="5"/>
      <c r="E41" s="363" t="s">
        <v>18</v>
      </c>
      <c r="F41" s="376">
        <f>F35</f>
        <v>2026</v>
      </c>
      <c r="G41" s="71">
        <v>1</v>
      </c>
      <c r="H41" s="71">
        <f t="shared" ref="H41:Q41" si="6">$K51/$O51</f>
        <v>0.3886737227775372</v>
      </c>
      <c r="I41" s="71">
        <f t="shared" si="6"/>
        <v>0.3886737227775372</v>
      </c>
      <c r="J41" s="71">
        <f t="shared" si="6"/>
        <v>0.3886737227775372</v>
      </c>
      <c r="K41" s="71">
        <f t="shared" si="6"/>
        <v>0.3886737227775372</v>
      </c>
      <c r="L41" s="71">
        <f t="shared" si="6"/>
        <v>0.3886737227775372</v>
      </c>
      <c r="M41" s="71">
        <f t="shared" si="6"/>
        <v>0.3886737227775372</v>
      </c>
      <c r="N41" s="71">
        <f>$K51/$O51</f>
        <v>0.3886737227775372</v>
      </c>
      <c r="O41" s="71">
        <f t="shared" si="6"/>
        <v>0.3886737227775372</v>
      </c>
      <c r="P41" s="71">
        <f t="shared" si="6"/>
        <v>0.3886737227775372</v>
      </c>
      <c r="Q41" s="71">
        <f t="shared" si="6"/>
        <v>0.3886737227775372</v>
      </c>
      <c r="R41" s="71">
        <f>$K51/$O51</f>
        <v>0.3886737227775372</v>
      </c>
      <c r="S41" s="71">
        <v>-0.22807392582306496</v>
      </c>
      <c r="T41" s="71">
        <f>$K51/$O51</f>
        <v>0.3886737227775372</v>
      </c>
      <c r="U41" s="216"/>
      <c r="V41" s="220"/>
      <c r="W41" s="215"/>
      <c r="X41" s="215"/>
      <c r="AJ41" s="378"/>
      <c r="AK41" s="378"/>
    </row>
    <row r="42" spans="2:40">
      <c r="B42" s="7"/>
      <c r="C42" s="7"/>
      <c r="D42" s="5"/>
      <c r="E42" s="363" t="s">
        <v>18</v>
      </c>
      <c r="F42" s="376">
        <f>F36</f>
        <v>2027</v>
      </c>
      <c r="G42" s="71">
        <v>1</v>
      </c>
      <c r="H42" s="71">
        <f t="shared" ref="H42:T42" si="7">$K52/$O52</f>
        <v>0.38065145649916748</v>
      </c>
      <c r="I42" s="71">
        <f>$K52/$O52</f>
        <v>0.38065145649916748</v>
      </c>
      <c r="J42" s="71">
        <f t="shared" si="7"/>
        <v>0.38065145649916748</v>
      </c>
      <c r="K42" s="71">
        <f t="shared" si="7"/>
        <v>0.38065145649916748</v>
      </c>
      <c r="L42" s="71">
        <f t="shared" si="7"/>
        <v>0.38065145649916748</v>
      </c>
      <c r="M42" s="71">
        <f t="shared" si="7"/>
        <v>0.38065145649916748</v>
      </c>
      <c r="N42" s="71">
        <f t="shared" si="7"/>
        <v>0.38065145649916748</v>
      </c>
      <c r="O42" s="71">
        <f t="shared" si="7"/>
        <v>0.38065145649916748</v>
      </c>
      <c r="P42" s="71">
        <f t="shared" si="7"/>
        <v>0.38065145649916748</v>
      </c>
      <c r="Q42" s="71">
        <f t="shared" si="7"/>
        <v>0.38065145649916748</v>
      </c>
      <c r="R42" s="71">
        <f t="shared" si="7"/>
        <v>0.38065145649916748</v>
      </c>
      <c r="S42" s="71">
        <v>0.33364773263067166</v>
      </c>
      <c r="T42" s="71">
        <f t="shared" si="7"/>
        <v>0.38065145649916748</v>
      </c>
      <c r="U42" s="5"/>
      <c r="V42" s="215"/>
      <c r="X42" s="217"/>
      <c r="AB42" s="379"/>
      <c r="AC42" s="379"/>
    </row>
    <row r="43" spans="2:40" ht="46.5">
      <c r="B43" s="7"/>
      <c r="C43" s="7"/>
      <c r="D43" s="5"/>
      <c r="E43" s="363" t="s">
        <v>18</v>
      </c>
      <c r="F43" s="376">
        <f>F37</f>
        <v>2028</v>
      </c>
      <c r="G43" s="71">
        <f t="shared" ref="G43" si="8">G42</f>
        <v>1</v>
      </c>
      <c r="H43" s="71">
        <f>H41</f>
        <v>0.3886737227775372</v>
      </c>
      <c r="I43" s="71">
        <f t="shared" ref="I43:R43" si="9">I41</f>
        <v>0.3886737227775372</v>
      </c>
      <c r="J43" s="71">
        <f t="shared" si="9"/>
        <v>0.3886737227775372</v>
      </c>
      <c r="K43" s="71">
        <f t="shared" si="9"/>
        <v>0.3886737227775372</v>
      </c>
      <c r="L43" s="71">
        <f t="shared" si="9"/>
        <v>0.3886737227775372</v>
      </c>
      <c r="M43" s="71">
        <f t="shared" si="9"/>
        <v>0.3886737227775372</v>
      </c>
      <c r="N43" s="71">
        <f t="shared" si="9"/>
        <v>0.3886737227775372</v>
      </c>
      <c r="O43" s="71">
        <f t="shared" si="9"/>
        <v>0.3886737227775372</v>
      </c>
      <c r="P43" s="71">
        <f t="shared" si="9"/>
        <v>0.3886737227775372</v>
      </c>
      <c r="Q43" s="71">
        <f t="shared" si="9"/>
        <v>0.3886737227775372</v>
      </c>
      <c r="R43" s="71">
        <f t="shared" si="9"/>
        <v>0.3886737227775372</v>
      </c>
      <c r="S43" s="71">
        <v>0.31485609588383029</v>
      </c>
      <c r="T43" s="71">
        <f t="shared" ref="T43:T45" si="10">$K53/$O53</f>
        <v>0.3886737227775372</v>
      </c>
      <c r="U43" s="216"/>
      <c r="V43" s="220"/>
      <c r="W43" s="160"/>
      <c r="X43" s="5"/>
      <c r="AA43" s="154"/>
      <c r="AB43" s="250" t="s">
        <v>625</v>
      </c>
      <c r="AC43" s="250" t="s">
        <v>626</v>
      </c>
      <c r="AD43" s="154"/>
      <c r="AE43" s="250" t="s">
        <v>627</v>
      </c>
      <c r="AF43" s="250" t="s">
        <v>628</v>
      </c>
    </row>
    <row r="44" spans="2:40">
      <c r="B44" s="7"/>
      <c r="C44" s="7"/>
      <c r="D44" s="5"/>
      <c r="E44" s="363" t="s">
        <v>18</v>
      </c>
      <c r="F44" s="376">
        <f>F38</f>
        <v>2029</v>
      </c>
      <c r="G44" s="71">
        <f>G42</f>
        <v>1</v>
      </c>
      <c r="H44" s="71">
        <f>H43</f>
        <v>0.3886737227775372</v>
      </c>
      <c r="I44" s="71">
        <f t="shared" ref="I44:R44" si="11">I43</f>
        <v>0.3886737227775372</v>
      </c>
      <c r="J44" s="71">
        <f t="shared" si="11"/>
        <v>0.3886737227775372</v>
      </c>
      <c r="K44" s="71">
        <f t="shared" si="11"/>
        <v>0.3886737227775372</v>
      </c>
      <c r="L44" s="71">
        <f t="shared" si="11"/>
        <v>0.3886737227775372</v>
      </c>
      <c r="M44" s="71">
        <f t="shared" si="11"/>
        <v>0.3886737227775372</v>
      </c>
      <c r="N44" s="71">
        <f t="shared" si="11"/>
        <v>0.3886737227775372</v>
      </c>
      <c r="O44" s="71">
        <f t="shared" si="11"/>
        <v>0.3886737227775372</v>
      </c>
      <c r="P44" s="71">
        <f t="shared" si="11"/>
        <v>0.3886737227775372</v>
      </c>
      <c r="Q44" s="71">
        <f t="shared" si="11"/>
        <v>0.3886737227775372</v>
      </c>
      <c r="R44" s="71">
        <f t="shared" si="11"/>
        <v>0.3886737227775372</v>
      </c>
      <c r="S44" s="71">
        <f t="shared" ref="S44" si="12">S43</f>
        <v>0.31485609588383029</v>
      </c>
      <c r="T44" s="71">
        <f t="shared" si="10"/>
        <v>0.3886737227775372</v>
      </c>
      <c r="U44" s="5"/>
      <c r="V44" s="5"/>
      <c r="W44" s="5"/>
      <c r="X44" s="5"/>
      <c r="AA44" s="155"/>
      <c r="AB44" s="164"/>
      <c r="AC44" s="164"/>
      <c r="AD44" s="165"/>
      <c r="AE44" s="164"/>
      <c r="AF44" s="164"/>
    </row>
    <row r="45" spans="2:40">
      <c r="B45" s="7"/>
      <c r="C45" s="7"/>
      <c r="D45" s="5"/>
      <c r="E45" s="363" t="s">
        <v>22</v>
      </c>
      <c r="F45" s="376">
        <f>F41</f>
        <v>2026</v>
      </c>
      <c r="G45" s="71">
        <v>1</v>
      </c>
      <c r="H45" s="71">
        <f t="shared" ref="H45:Q45" si="13">$K55/$O55</f>
        <v>0.32886186544742674</v>
      </c>
      <c r="I45" s="71">
        <f t="shared" si="13"/>
        <v>0.32886186544742674</v>
      </c>
      <c r="J45" s="71">
        <f t="shared" si="13"/>
        <v>0.32886186544742674</v>
      </c>
      <c r="K45" s="71">
        <f t="shared" si="13"/>
        <v>0.32886186544742674</v>
      </c>
      <c r="L45" s="71">
        <f t="shared" si="13"/>
        <v>0.32886186544742674</v>
      </c>
      <c r="M45" s="71">
        <f t="shared" si="13"/>
        <v>0.32886186544742674</v>
      </c>
      <c r="N45" s="71">
        <f t="shared" si="13"/>
        <v>0.32886186544742674</v>
      </c>
      <c r="O45" s="71">
        <f t="shared" si="13"/>
        <v>0.32886186544742674</v>
      </c>
      <c r="P45" s="71">
        <f t="shared" si="13"/>
        <v>0.32886186544742674</v>
      </c>
      <c r="Q45" s="71">
        <f t="shared" si="13"/>
        <v>0.32886186544742674</v>
      </c>
      <c r="R45" s="71">
        <f>$K55/$O55</f>
        <v>0.32886186544742674</v>
      </c>
      <c r="S45" s="71">
        <v>-0.18596781844616742</v>
      </c>
      <c r="T45" s="71">
        <f t="shared" si="10"/>
        <v>0.32886186544742674</v>
      </c>
      <c r="U45" s="216"/>
      <c r="V45" s="220"/>
      <c r="W45" s="217"/>
      <c r="X45" s="217"/>
      <c r="AA45" s="155" t="s">
        <v>18</v>
      </c>
      <c r="AB45" s="254">
        <v>33.674121802021645</v>
      </c>
      <c r="AC45" s="254">
        <v>34.992096998939267</v>
      </c>
      <c r="AD45" s="165" t="s">
        <v>18</v>
      </c>
      <c r="AE45" s="254">
        <v>30.486135087914555</v>
      </c>
      <c r="AF45" s="254">
        <v>31.980709283060875</v>
      </c>
      <c r="AJ45" s="144"/>
      <c r="AK45" s="144"/>
      <c r="AM45" s="144"/>
      <c r="AN45" s="144"/>
    </row>
    <row r="46" spans="2:40">
      <c r="B46" s="7"/>
      <c r="C46" s="7"/>
      <c r="D46" s="5"/>
      <c r="E46" s="363" t="s">
        <v>22</v>
      </c>
      <c r="F46" s="376">
        <f>F42</f>
        <v>2027</v>
      </c>
      <c r="G46" s="71">
        <v>1</v>
      </c>
      <c r="H46" s="71">
        <f>$K56/$O56</f>
        <v>0.3059173018484998</v>
      </c>
      <c r="I46" s="71">
        <f t="shared" ref="I46:T46" si="14">$K56/$O56</f>
        <v>0.3059173018484998</v>
      </c>
      <c r="J46" s="71">
        <f t="shared" si="14"/>
        <v>0.3059173018484998</v>
      </c>
      <c r="K46" s="71">
        <f t="shared" si="14"/>
        <v>0.3059173018484998</v>
      </c>
      <c r="L46" s="71">
        <f t="shared" si="14"/>
        <v>0.3059173018484998</v>
      </c>
      <c r="M46" s="71">
        <f t="shared" si="14"/>
        <v>0.3059173018484998</v>
      </c>
      <c r="N46" s="71">
        <f t="shared" si="14"/>
        <v>0.3059173018484998</v>
      </c>
      <c r="O46" s="71">
        <f t="shared" si="14"/>
        <v>0.3059173018484998</v>
      </c>
      <c r="P46" s="71">
        <f t="shared" si="14"/>
        <v>0.3059173018484998</v>
      </c>
      <c r="Q46" s="71">
        <f t="shared" si="14"/>
        <v>0.3059173018484998</v>
      </c>
      <c r="R46" s="71">
        <f t="shared" si="14"/>
        <v>0.3059173018484998</v>
      </c>
      <c r="S46" s="71">
        <v>0.28509085374089826</v>
      </c>
      <c r="T46" s="71">
        <f t="shared" si="14"/>
        <v>0.3059173018484998</v>
      </c>
      <c r="U46" s="216"/>
      <c r="V46" s="220"/>
      <c r="W46" s="217"/>
      <c r="X46" s="217"/>
      <c r="AA46" s="155" t="s">
        <v>28</v>
      </c>
      <c r="AB46" s="254">
        <v>33.416008222733581</v>
      </c>
      <c r="AC46" s="254">
        <v>34.072433607860397</v>
      </c>
      <c r="AD46" s="165" t="s">
        <v>22</v>
      </c>
      <c r="AE46" s="254">
        <v>27.143640625458705</v>
      </c>
      <c r="AF46" s="254">
        <v>27.73770240701548</v>
      </c>
      <c r="AJ46" s="144"/>
      <c r="AK46" s="144"/>
      <c r="AM46" s="144"/>
      <c r="AN46" s="144"/>
    </row>
    <row r="47" spans="2:40">
      <c r="B47" s="7"/>
      <c r="C47" s="7"/>
      <c r="D47" s="5"/>
      <c r="E47" s="363" t="s">
        <v>22</v>
      </c>
      <c r="F47" s="376">
        <f>F43</f>
        <v>2028</v>
      </c>
      <c r="G47" s="71">
        <f t="shared" ref="G47" si="15">G46</f>
        <v>1</v>
      </c>
      <c r="H47" s="71">
        <f>H45</f>
        <v>0.32886186544742674</v>
      </c>
      <c r="I47" s="71">
        <f t="shared" ref="I47:R47" si="16">I45</f>
        <v>0.32886186544742674</v>
      </c>
      <c r="J47" s="71">
        <f t="shared" si="16"/>
        <v>0.32886186544742674</v>
      </c>
      <c r="K47" s="71">
        <f t="shared" si="16"/>
        <v>0.32886186544742674</v>
      </c>
      <c r="L47" s="71">
        <f t="shared" si="16"/>
        <v>0.32886186544742674</v>
      </c>
      <c r="M47" s="71">
        <f t="shared" si="16"/>
        <v>0.32886186544742674</v>
      </c>
      <c r="N47" s="71">
        <f t="shared" si="16"/>
        <v>0.32886186544742674</v>
      </c>
      <c r="O47" s="71">
        <f t="shared" si="16"/>
        <v>0.32886186544742674</v>
      </c>
      <c r="P47" s="71">
        <f t="shared" si="16"/>
        <v>0.32886186544742674</v>
      </c>
      <c r="Q47" s="71">
        <f t="shared" si="16"/>
        <v>0.32886186544742674</v>
      </c>
      <c r="R47" s="71">
        <f t="shared" si="16"/>
        <v>0.32886186544742674</v>
      </c>
      <c r="S47" s="71">
        <v>0.28144412281858089</v>
      </c>
      <c r="T47" s="71">
        <f>$K57/$O57</f>
        <v>0.32886186544742674</v>
      </c>
      <c r="U47" s="5"/>
      <c r="V47" s="215"/>
      <c r="W47" s="220"/>
      <c r="X47" s="217"/>
      <c r="AA47" s="156"/>
      <c r="AB47" s="166"/>
      <c r="AC47" s="166"/>
      <c r="AD47" s="166"/>
      <c r="AE47" s="166"/>
      <c r="AF47" s="167"/>
    </row>
    <row r="48" spans="2:40" ht="46.5">
      <c r="B48" s="7"/>
      <c r="C48" s="7"/>
      <c r="D48" s="5"/>
      <c r="E48" s="363" t="s">
        <v>22</v>
      </c>
      <c r="F48" s="376">
        <f>F44</f>
        <v>2029</v>
      </c>
      <c r="G48" s="71">
        <f>G46</f>
        <v>1</v>
      </c>
      <c r="H48" s="71">
        <f>H47</f>
        <v>0.32886186544742674</v>
      </c>
      <c r="I48" s="71">
        <f t="shared" ref="I48:R48" si="17">I47</f>
        <v>0.32886186544742674</v>
      </c>
      <c r="J48" s="71">
        <f t="shared" si="17"/>
        <v>0.32886186544742674</v>
      </c>
      <c r="K48" s="71">
        <f t="shared" si="17"/>
        <v>0.32886186544742674</v>
      </c>
      <c r="L48" s="71">
        <f t="shared" si="17"/>
        <v>0.32886186544742674</v>
      </c>
      <c r="M48" s="71">
        <f t="shared" si="17"/>
        <v>0.32886186544742674</v>
      </c>
      <c r="N48" s="71">
        <f t="shared" si="17"/>
        <v>0.32886186544742674</v>
      </c>
      <c r="O48" s="71">
        <f t="shared" si="17"/>
        <v>0.32886186544742674</v>
      </c>
      <c r="P48" s="71">
        <f t="shared" si="17"/>
        <v>0.32886186544742674</v>
      </c>
      <c r="Q48" s="71">
        <f t="shared" si="17"/>
        <v>0.32886186544742674</v>
      </c>
      <c r="R48" s="71">
        <f t="shared" si="17"/>
        <v>0.32886186544742674</v>
      </c>
      <c r="S48" s="71">
        <f t="shared" ref="S48" si="18">S47</f>
        <v>0.28144412281858089</v>
      </c>
      <c r="T48" s="71">
        <f>$K58/$O58</f>
        <v>0.32886186544742674</v>
      </c>
      <c r="U48" s="216"/>
      <c r="V48" s="220"/>
      <c r="W48" s="220"/>
      <c r="X48" s="217"/>
      <c r="AA48" s="154"/>
      <c r="AB48" s="246" t="s">
        <v>624</v>
      </c>
      <c r="AC48" s="246" t="s">
        <v>621</v>
      </c>
      <c r="AD48" s="164"/>
      <c r="AE48" s="246" t="s">
        <v>622</v>
      </c>
      <c r="AF48" s="246" t="s">
        <v>623</v>
      </c>
      <c r="AM48" s="380"/>
    </row>
    <row r="49" spans="2:32">
      <c r="B49" s="7"/>
      <c r="C49" s="7"/>
      <c r="D49" s="5"/>
      <c r="E49" s="5"/>
      <c r="F49" s="43"/>
      <c r="G49" s="43"/>
      <c r="H49" s="43"/>
      <c r="I49" s="43"/>
      <c r="J49" s="43"/>
      <c r="K49" s="43"/>
      <c r="L49" s="5"/>
      <c r="M49" s="5"/>
      <c r="N49" s="5"/>
      <c r="O49" s="5"/>
      <c r="P49" s="5"/>
      <c r="Q49" s="5"/>
      <c r="R49" s="5"/>
      <c r="S49" s="216"/>
      <c r="T49" s="5"/>
      <c r="U49" s="5"/>
      <c r="V49" s="5"/>
      <c r="W49" s="217"/>
      <c r="X49" s="217"/>
      <c r="AA49" s="155"/>
      <c r="AB49" s="164"/>
      <c r="AC49" s="164"/>
      <c r="AD49" s="165"/>
      <c r="AE49" s="164"/>
      <c r="AF49" s="164"/>
    </row>
    <row r="50" spans="2:32">
      <c r="B50" s="7"/>
      <c r="C50" s="7"/>
      <c r="D50" s="5"/>
      <c r="E50" s="5"/>
      <c r="F50" s="59" t="s">
        <v>276</v>
      </c>
      <c r="G50" s="43"/>
      <c r="H50" s="43"/>
      <c r="I50" s="43"/>
      <c r="J50" s="59" t="s">
        <v>131</v>
      </c>
      <c r="K50" s="43"/>
      <c r="L50" s="127"/>
      <c r="M50" s="223"/>
      <c r="N50" s="59" t="s">
        <v>130</v>
      </c>
      <c r="O50" s="5"/>
      <c r="P50" s="5"/>
      <c r="Q50" s="5"/>
      <c r="R50" s="5"/>
      <c r="S50" s="216"/>
      <c r="T50" s="536"/>
      <c r="U50" s="536"/>
      <c r="V50" s="5"/>
      <c r="W50" s="215"/>
      <c r="X50" s="215"/>
      <c r="AA50" s="155" t="s">
        <v>18</v>
      </c>
      <c r="AB50" s="254">
        <v>32.340654762006949</v>
      </c>
      <c r="AC50" s="254">
        <v>33.658629958924571</v>
      </c>
      <c r="AD50" s="165" t="s">
        <v>18</v>
      </c>
      <c r="AE50" s="254">
        <v>29.788022651798478</v>
      </c>
      <c r="AF50" s="254">
        <v>31.282596846944799</v>
      </c>
    </row>
    <row r="51" spans="2:32">
      <c r="B51" s="5"/>
      <c r="C51" s="5"/>
      <c r="D51" s="5"/>
      <c r="E51" s="363" t="s">
        <v>18</v>
      </c>
      <c r="F51" s="376">
        <f>F41</f>
        <v>2026</v>
      </c>
      <c r="G51" s="111">
        <v>19358300.385786124</v>
      </c>
      <c r="H51" s="43"/>
      <c r="I51" s="363" t="s">
        <v>18</v>
      </c>
      <c r="J51" s="376">
        <f t="shared" ref="J51" si="19">F51</f>
        <v>2026</v>
      </c>
      <c r="K51" s="111">
        <v>10313310.03806413</v>
      </c>
      <c r="L51" s="70"/>
      <c r="M51" s="363" t="s">
        <v>18</v>
      </c>
      <c r="N51" s="376">
        <f t="shared" ref="N51" si="20">F51</f>
        <v>2026</v>
      </c>
      <c r="O51" s="60">
        <v>26534621.286881018</v>
      </c>
      <c r="P51" s="128"/>
      <c r="Q51" s="5"/>
      <c r="R51" s="5"/>
      <c r="S51" s="381"/>
      <c r="T51" s="5"/>
      <c r="U51" s="216"/>
      <c r="V51" s="220"/>
      <c r="W51" s="5"/>
      <c r="X51" s="5"/>
      <c r="AA51" s="155" t="s">
        <v>28</v>
      </c>
      <c r="AB51" s="254">
        <v>32.596708001946226</v>
      </c>
      <c r="AC51" s="254">
        <v>33.253133387073035</v>
      </c>
      <c r="AD51" s="165" t="s">
        <v>22</v>
      </c>
      <c r="AE51" s="255">
        <v>26.65073540105055</v>
      </c>
      <c r="AF51" s="255">
        <v>27.244797182607329</v>
      </c>
    </row>
    <row r="52" spans="2:32">
      <c r="B52" s="5"/>
      <c r="C52" s="5"/>
      <c r="D52" s="5"/>
      <c r="E52" s="363" t="s">
        <v>18</v>
      </c>
      <c r="F52" s="376">
        <f t="shared" ref="F52:F58" si="21">F42</f>
        <v>2027</v>
      </c>
      <c r="G52" s="111">
        <v>18761056.387204789</v>
      </c>
      <c r="H52" s="224"/>
      <c r="I52" s="363" t="s">
        <v>18</v>
      </c>
      <c r="J52" s="376">
        <f t="shared" ref="J52:J58" si="22">F52</f>
        <v>2027</v>
      </c>
      <c r="K52" s="111">
        <v>9981929.3521896694</v>
      </c>
      <c r="L52" s="247"/>
      <c r="M52" s="363" t="s">
        <v>18</v>
      </c>
      <c r="N52" s="376">
        <f t="shared" ref="N52:N58" si="23">F52</f>
        <v>2027</v>
      </c>
      <c r="O52" s="60">
        <v>26223279.017484859</v>
      </c>
      <c r="P52" s="224"/>
      <c r="Q52" s="7"/>
      <c r="R52" s="162"/>
      <c r="S52" s="216"/>
      <c r="T52" s="5"/>
      <c r="U52" s="216"/>
      <c r="V52" s="217"/>
      <c r="W52" s="5"/>
      <c r="X52" s="5"/>
    </row>
    <row r="53" spans="2:32">
      <c r="B53" s="5"/>
      <c r="C53" s="5"/>
      <c r="D53" s="5"/>
      <c r="E53" s="363" t="s">
        <v>18</v>
      </c>
      <c r="F53" s="376">
        <f t="shared" si="21"/>
        <v>2028</v>
      </c>
      <c r="G53" s="111">
        <f>G51</f>
        <v>19358300.385786124</v>
      </c>
      <c r="H53" s="43"/>
      <c r="I53" s="363" t="s">
        <v>18</v>
      </c>
      <c r="J53" s="376">
        <f t="shared" si="22"/>
        <v>2028</v>
      </c>
      <c r="K53" s="111">
        <f>K51</f>
        <v>10313310.03806413</v>
      </c>
      <c r="L53" s="5"/>
      <c r="M53" s="363" t="s">
        <v>18</v>
      </c>
      <c r="N53" s="376">
        <f t="shared" si="23"/>
        <v>2028</v>
      </c>
      <c r="O53" s="111">
        <f>O51</f>
        <v>26534621.286881018</v>
      </c>
      <c r="P53" s="5"/>
      <c r="Q53" s="5"/>
      <c r="R53" s="5"/>
      <c r="S53" s="216"/>
      <c r="T53" s="5"/>
      <c r="U53" s="216"/>
      <c r="V53" s="220"/>
      <c r="W53" s="220"/>
      <c r="X53" s="217"/>
    </row>
    <row r="54" spans="2:32">
      <c r="B54" s="5"/>
      <c r="C54" s="5"/>
      <c r="D54" s="5"/>
      <c r="E54" s="363" t="s">
        <v>18</v>
      </c>
      <c r="F54" s="376">
        <f t="shared" si="21"/>
        <v>2029</v>
      </c>
      <c r="G54" s="111">
        <f>G53</f>
        <v>19358300.385786124</v>
      </c>
      <c r="H54" s="43"/>
      <c r="I54" s="363" t="s">
        <v>18</v>
      </c>
      <c r="J54" s="376">
        <f t="shared" si="22"/>
        <v>2029</v>
      </c>
      <c r="K54" s="111">
        <f>K53</f>
        <v>10313310.03806413</v>
      </c>
      <c r="L54" s="5"/>
      <c r="M54" s="363" t="s">
        <v>18</v>
      </c>
      <c r="N54" s="376">
        <f t="shared" si="23"/>
        <v>2029</v>
      </c>
      <c r="O54" s="111">
        <f>$O$53</f>
        <v>26534621.286881018</v>
      </c>
      <c r="P54" s="5"/>
      <c r="Q54" s="5"/>
      <c r="R54" s="5"/>
      <c r="S54" s="216"/>
      <c r="T54" s="5"/>
      <c r="U54" s="216"/>
      <c r="V54" s="220"/>
      <c r="W54" s="220"/>
      <c r="X54" s="217"/>
    </row>
    <row r="55" spans="2:32">
      <c r="B55" s="5"/>
      <c r="C55" s="5"/>
      <c r="D55" s="5"/>
      <c r="E55" s="363" t="s">
        <v>22</v>
      </c>
      <c r="F55" s="376">
        <f t="shared" si="21"/>
        <v>2026</v>
      </c>
      <c r="G55" s="111">
        <v>67795755.926224142</v>
      </c>
      <c r="H55" s="43"/>
      <c r="I55" s="363" t="s">
        <v>22</v>
      </c>
      <c r="J55" s="376">
        <f t="shared" si="22"/>
        <v>2026</v>
      </c>
      <c r="K55" s="111">
        <v>24784494.935273737</v>
      </c>
      <c r="L55" s="5"/>
      <c r="M55" s="363" t="s">
        <v>22</v>
      </c>
      <c r="N55" s="376">
        <f t="shared" si="23"/>
        <v>2026</v>
      </c>
      <c r="O55" s="60">
        <v>75364454.013400629</v>
      </c>
      <c r="P55" s="128"/>
      <c r="Q55" s="5"/>
      <c r="R55" s="5"/>
      <c r="S55" s="216"/>
      <c r="T55" s="5"/>
      <c r="U55" s="216"/>
      <c r="V55" s="217"/>
      <c r="W55" s="220"/>
      <c r="X55" s="217"/>
      <c r="AB55" s="144"/>
    </row>
    <row r="56" spans="2:32">
      <c r="B56" s="5"/>
      <c r="C56" s="5"/>
      <c r="D56" s="5"/>
      <c r="E56" s="363" t="s">
        <v>22</v>
      </c>
      <c r="F56" s="376">
        <f t="shared" si="21"/>
        <v>2027</v>
      </c>
      <c r="G56" s="111">
        <v>67051910.402557842</v>
      </c>
      <c r="H56" s="224"/>
      <c r="I56" s="363" t="s">
        <v>22</v>
      </c>
      <c r="J56" s="376">
        <f t="shared" si="22"/>
        <v>2027</v>
      </c>
      <c r="K56" s="111">
        <v>22918685.439028699</v>
      </c>
      <c r="L56" s="224"/>
      <c r="M56" s="363" t="s">
        <v>22</v>
      </c>
      <c r="N56" s="376">
        <f t="shared" si="23"/>
        <v>2027</v>
      </c>
      <c r="O56" s="60">
        <v>74917911.803428426</v>
      </c>
      <c r="P56" s="224"/>
      <c r="Q56" s="5"/>
      <c r="R56" s="5"/>
      <c r="S56" s="216"/>
      <c r="T56" s="5"/>
      <c r="U56" s="5"/>
      <c r="V56" s="5"/>
      <c r="W56" s="5"/>
      <c r="X56" s="5"/>
    </row>
    <row r="57" spans="2:32">
      <c r="B57" s="5"/>
      <c r="C57" s="5"/>
      <c r="D57" s="5"/>
      <c r="E57" s="363" t="s">
        <v>22</v>
      </c>
      <c r="F57" s="376">
        <f t="shared" si="21"/>
        <v>2028</v>
      </c>
      <c r="G57" s="111">
        <f>G55</f>
        <v>67795755.926224142</v>
      </c>
      <c r="H57" s="43"/>
      <c r="I57" s="363" t="s">
        <v>22</v>
      </c>
      <c r="J57" s="376">
        <f t="shared" si="22"/>
        <v>2028</v>
      </c>
      <c r="K57" s="111">
        <f>K55</f>
        <v>24784494.935273737</v>
      </c>
      <c r="L57" s="5"/>
      <c r="M57" s="363" t="s">
        <v>22</v>
      </c>
      <c r="N57" s="376">
        <f t="shared" si="23"/>
        <v>2028</v>
      </c>
      <c r="O57" s="111">
        <f>O55</f>
        <v>75364454.013400629</v>
      </c>
      <c r="P57" s="5"/>
      <c r="Q57" s="5"/>
      <c r="R57" s="5"/>
      <c r="S57" s="216"/>
      <c r="T57" s="5"/>
      <c r="U57" s="5"/>
      <c r="V57" s="5"/>
      <c r="W57" s="5"/>
      <c r="X57" s="5"/>
    </row>
    <row r="58" spans="2:32">
      <c r="B58" s="5"/>
      <c r="C58" s="5"/>
      <c r="D58" s="5"/>
      <c r="E58" s="363" t="s">
        <v>22</v>
      </c>
      <c r="F58" s="376">
        <f t="shared" si="21"/>
        <v>2029</v>
      </c>
      <c r="G58" s="111">
        <f>G57</f>
        <v>67795755.926224142</v>
      </c>
      <c r="H58" s="43"/>
      <c r="I58" s="363" t="s">
        <v>22</v>
      </c>
      <c r="J58" s="376">
        <f t="shared" si="22"/>
        <v>2029</v>
      </c>
      <c r="K58" s="111">
        <f>K57</f>
        <v>24784494.935273737</v>
      </c>
      <c r="L58" s="5"/>
      <c r="M58" s="363" t="s">
        <v>22</v>
      </c>
      <c r="N58" s="376">
        <f t="shared" si="23"/>
        <v>2029</v>
      </c>
      <c r="O58" s="111">
        <f>O57</f>
        <v>75364454.013400629</v>
      </c>
      <c r="P58" s="5"/>
      <c r="Q58" s="5"/>
      <c r="R58" s="5"/>
      <c r="S58" s="216"/>
      <c r="T58" s="5"/>
      <c r="U58" s="216"/>
      <c r="V58" s="217"/>
      <c r="W58" s="220"/>
      <c r="X58" s="217"/>
    </row>
    <row r="59" spans="2:32">
      <c r="B59" s="5"/>
      <c r="C59" s="5"/>
      <c r="D59" s="5"/>
      <c r="E59" s="5"/>
      <c r="F59" s="43"/>
      <c r="G59" s="43"/>
      <c r="H59" s="43"/>
      <c r="I59" s="43"/>
      <c r="J59" s="43"/>
      <c r="K59" s="43"/>
      <c r="L59" s="5"/>
      <c r="M59" s="5"/>
      <c r="N59" s="5"/>
      <c r="O59" s="5"/>
      <c r="P59" s="5"/>
      <c r="Q59" s="5"/>
      <c r="R59" s="5"/>
      <c r="S59" s="216"/>
      <c r="T59" s="5"/>
      <c r="U59" s="5"/>
      <c r="V59" s="215"/>
      <c r="W59" s="220"/>
      <c r="X59" s="217"/>
    </row>
    <row r="60" spans="2:32">
      <c r="B60" s="5"/>
      <c r="C60" s="5"/>
      <c r="D60" s="5"/>
      <c r="E60" s="382" t="s">
        <v>61</v>
      </c>
      <c r="F60" s="43"/>
      <c r="G60" s="43"/>
      <c r="H60" s="43"/>
      <c r="I60" s="43"/>
      <c r="J60" s="43"/>
      <c r="K60" s="43"/>
      <c r="L60" s="5"/>
      <c r="M60" s="5"/>
      <c r="N60" s="5"/>
      <c r="O60" s="5"/>
      <c r="P60" s="5"/>
      <c r="Q60" s="5"/>
      <c r="R60" s="5"/>
      <c r="S60" s="216"/>
      <c r="T60" s="536"/>
      <c r="U60" s="536"/>
      <c r="V60" s="5"/>
      <c r="W60" s="220"/>
      <c r="X60" s="217"/>
    </row>
    <row r="61" spans="2:32">
      <c r="B61" s="5"/>
      <c r="C61" s="5"/>
      <c r="D61" s="5"/>
      <c r="E61" s="5"/>
      <c r="F61" s="43"/>
      <c r="G61" s="43"/>
      <c r="H61" s="43"/>
      <c r="I61" s="43"/>
      <c r="J61" s="43"/>
      <c r="K61" s="43"/>
      <c r="L61" s="5"/>
      <c r="M61" s="5"/>
      <c r="N61" s="5"/>
      <c r="O61" s="5"/>
      <c r="P61" s="5"/>
      <c r="Q61" s="5"/>
      <c r="R61" s="5"/>
      <c r="S61" s="216"/>
      <c r="T61" s="5"/>
      <c r="U61" s="216"/>
      <c r="V61" s="5"/>
      <c r="W61" s="220"/>
      <c r="X61" s="220"/>
    </row>
    <row r="62" spans="2:32">
      <c r="B62" s="5"/>
      <c r="C62" s="5"/>
      <c r="D62" s="5"/>
      <c r="E62" s="5" t="s">
        <v>637</v>
      </c>
      <c r="F62" s="43"/>
      <c r="G62" s="43"/>
      <c r="H62" s="43"/>
      <c r="I62" s="43"/>
      <c r="J62" s="43"/>
      <c r="K62" s="43"/>
      <c r="L62" s="5"/>
      <c r="M62" s="5"/>
      <c r="N62" s="5"/>
      <c r="O62" s="5"/>
      <c r="P62" s="5"/>
      <c r="Q62" s="5"/>
      <c r="R62" s="5"/>
      <c r="S62" s="216"/>
      <c r="T62" s="5"/>
      <c r="U62" s="5"/>
      <c r="V62" s="5"/>
      <c r="W62" s="5"/>
      <c r="X62" s="5"/>
    </row>
    <row r="63" spans="2:32">
      <c r="B63" s="5"/>
      <c r="C63" s="5"/>
      <c r="D63" s="5"/>
      <c r="E63" s="5" t="s">
        <v>705</v>
      </c>
      <c r="F63" s="43"/>
      <c r="G63" s="43"/>
      <c r="H63" s="43"/>
      <c r="I63" s="43"/>
      <c r="J63" s="43"/>
      <c r="K63" s="43"/>
      <c r="L63" s="5"/>
      <c r="M63" s="5"/>
      <c r="N63" s="5"/>
      <c r="O63" s="5"/>
      <c r="P63" s="5"/>
      <c r="Q63" s="5"/>
      <c r="R63" s="5"/>
      <c r="S63" s="216"/>
      <c r="T63" s="5"/>
      <c r="U63" s="5"/>
      <c r="V63" s="215"/>
      <c r="W63" s="5"/>
      <c r="X63" s="5"/>
    </row>
    <row r="64" spans="2:32">
      <c r="B64" s="5"/>
      <c r="C64" s="5"/>
      <c r="D64" s="5"/>
      <c r="E64" s="5" t="s">
        <v>506</v>
      </c>
      <c r="F64" s="43"/>
      <c r="G64" s="43"/>
      <c r="H64" s="43"/>
      <c r="I64" s="43"/>
      <c r="J64" s="43"/>
      <c r="K64" s="43"/>
      <c r="L64" s="5"/>
      <c r="M64" s="5"/>
      <c r="N64" s="5"/>
      <c r="O64" s="5"/>
      <c r="P64" s="5"/>
      <c r="Q64" s="5"/>
      <c r="R64" s="5"/>
      <c r="S64" s="216"/>
      <c r="T64" s="536"/>
      <c r="U64" s="536"/>
      <c r="V64" s="217"/>
      <c r="W64" s="217"/>
      <c r="X64" s="217"/>
    </row>
    <row r="65" spans="2:24">
      <c r="B65" s="5"/>
      <c r="C65" s="5"/>
      <c r="D65" s="5"/>
      <c r="E65" s="5" t="s">
        <v>629</v>
      </c>
      <c r="F65" s="43"/>
      <c r="G65" s="111"/>
      <c r="H65" s="43"/>
      <c r="I65" s="43"/>
      <c r="J65" s="43"/>
      <c r="K65" s="43"/>
      <c r="L65" s="5"/>
      <c r="M65" s="5"/>
      <c r="N65" s="5"/>
      <c r="O65" s="5"/>
      <c r="P65" s="5"/>
      <c r="Q65" s="5"/>
      <c r="R65" s="5"/>
      <c r="S65" s="5"/>
      <c r="T65" s="5"/>
      <c r="U65" s="5"/>
      <c r="V65" s="5"/>
      <c r="W65" s="215"/>
      <c r="X65" s="215"/>
    </row>
    <row r="66" spans="2:24">
      <c r="B66" s="5"/>
      <c r="C66" s="5"/>
      <c r="D66" s="5"/>
      <c r="W66" s="5"/>
      <c r="X66" s="5"/>
    </row>
    <row r="67" spans="2:24">
      <c r="B67" s="5"/>
      <c r="C67" s="5"/>
      <c r="D67" s="5"/>
      <c r="W67" s="5"/>
      <c r="X67" s="5"/>
    </row>
    <row r="68" spans="2:24">
      <c r="B68" s="5"/>
      <c r="C68" s="5"/>
      <c r="D68" s="5"/>
      <c r="W68" s="5"/>
      <c r="X68" s="5"/>
    </row>
    <row r="69" spans="2:24">
      <c r="B69" s="5"/>
      <c r="C69" s="5"/>
      <c r="D69" s="5"/>
      <c r="W69" s="215"/>
      <c r="X69" s="215"/>
    </row>
    <row r="70" spans="2:24">
      <c r="B70" s="5"/>
      <c r="C70" s="5"/>
      <c r="D70" s="5"/>
      <c r="W70" s="5"/>
      <c r="X70" s="5"/>
    </row>
    <row r="71" spans="2:24">
      <c r="B71" s="5"/>
      <c r="C71" s="5"/>
      <c r="D71" s="5"/>
      <c r="W71" s="5"/>
      <c r="X71" s="5"/>
    </row>
    <row r="72" spans="2:24">
      <c r="B72" s="5"/>
      <c r="C72" s="5"/>
      <c r="D72" s="5"/>
      <c r="W72" s="215"/>
      <c r="X72" s="215"/>
    </row>
    <row r="73" spans="2:24">
      <c r="B73" s="5"/>
      <c r="C73" s="5"/>
      <c r="D73" s="5"/>
      <c r="W73" s="217"/>
      <c r="X73" s="217"/>
    </row>
    <row r="74" spans="2:24">
      <c r="B74" s="5"/>
      <c r="C74" s="5"/>
      <c r="D74" s="5"/>
      <c r="W74" s="5"/>
      <c r="X74" s="5"/>
    </row>
  </sheetData>
  <mergeCells count="15">
    <mergeCell ref="W16:X16"/>
    <mergeCell ref="C2:D2"/>
    <mergeCell ref="T50:U50"/>
    <mergeCell ref="T60:U60"/>
    <mergeCell ref="U17:V17"/>
    <mergeCell ref="U16:V16"/>
    <mergeCell ref="G4:T4"/>
    <mergeCell ref="G8:T8"/>
    <mergeCell ref="G17:T17"/>
    <mergeCell ref="W17:X17"/>
    <mergeCell ref="AI25:AN25"/>
    <mergeCell ref="AA25:AF25"/>
    <mergeCell ref="T64:U64"/>
    <mergeCell ref="F26:K26"/>
    <mergeCell ref="P26:U26"/>
  </mergeCells>
  <phoneticPr fontId="34" type="noConversion"/>
  <pageMargins left="0.7" right="0.7" top="0.75" bottom="0.75" header="0.3" footer="0.3"/>
  <pageSetup orientation="portrait" horizontalDpi="1200" verticalDpi="1200" r:id="rId1"/>
  <headerFooter>
    <oddHeader>&amp;R&amp;F</oddHeader>
    <oddFooter xml:space="preserve">&amp;C_x000D_&amp;1#&amp;"Aptos"&amp;12&amp;K000000 Public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2CCD3-06FE-487F-A366-08EE8C65937B}">
  <sheetPr codeName="Sheet4">
    <pageSetUpPr autoPageBreaks="0"/>
  </sheetPr>
  <dimension ref="A1:AM127"/>
  <sheetViews>
    <sheetView tabSelected="1" topLeftCell="O1" zoomScale="64" zoomScaleNormal="64" workbookViewId="0"/>
  </sheetViews>
  <sheetFormatPr defaultColWidth="8.81640625" defaultRowHeight="14.5"/>
  <cols>
    <col min="1" max="1" width="7.453125" style="20" customWidth="1"/>
    <col min="2" max="2" width="14.453125" style="20" customWidth="1"/>
    <col min="3" max="4" width="13" style="20" customWidth="1"/>
    <col min="5" max="5" width="15.7265625" style="20" bestFit="1" customWidth="1"/>
    <col min="6" max="6" width="13.54296875" style="20" customWidth="1"/>
    <col min="7" max="7" width="19" style="20" bestFit="1" customWidth="1"/>
    <col min="8" max="8" width="14.1796875" style="20" customWidth="1"/>
    <col min="9" max="9" width="19" style="20" bestFit="1" customWidth="1"/>
    <col min="10" max="10" width="14" style="20" customWidth="1"/>
    <col min="11" max="11" width="19" style="20" bestFit="1" customWidth="1"/>
    <col min="12" max="12" width="13" style="20" customWidth="1"/>
    <col min="13" max="14" width="14.1796875" style="20" customWidth="1"/>
    <col min="15" max="15" width="14.54296875" style="20" customWidth="1"/>
    <col min="16" max="16" width="19.7265625" style="20" customWidth="1"/>
    <col min="17" max="17" width="15.7265625" style="20" bestFit="1" customWidth="1"/>
    <col min="18" max="18" width="19.54296875" style="20" customWidth="1"/>
    <col min="19" max="19" width="15.7265625" style="20" bestFit="1" customWidth="1"/>
    <col min="20" max="20" width="19" style="20" bestFit="1" customWidth="1"/>
    <col min="21" max="21" width="16.54296875" style="20" customWidth="1"/>
    <col min="22" max="22" width="19" style="20" bestFit="1" customWidth="1"/>
    <col min="23" max="23" width="14" style="20" customWidth="1"/>
    <col min="24" max="24" width="23.1796875" style="20" customWidth="1"/>
    <col min="25" max="28" width="19.1796875" style="20" bestFit="1" customWidth="1"/>
    <col min="29" max="29" width="18.453125" style="20" customWidth="1"/>
    <col min="30" max="30" width="18.26953125" style="20" customWidth="1"/>
    <col min="31" max="32" width="18.81640625" style="20" bestFit="1" customWidth="1"/>
    <col min="33" max="33" width="28.54296875" style="20" customWidth="1"/>
    <col min="34" max="35" width="8.81640625" style="20"/>
    <col min="36" max="36" width="9.81640625" style="20" bestFit="1" customWidth="1"/>
    <col min="37" max="37" width="8.81640625" style="20"/>
    <col min="38" max="38" width="9.26953125" style="20" customWidth="1"/>
    <col min="39" max="16384" width="8.81640625" style="20"/>
  </cols>
  <sheetData>
    <row r="1" spans="1:38">
      <c r="A1" s="383"/>
      <c r="B1" s="383"/>
      <c r="C1" s="383"/>
      <c r="D1" s="383"/>
      <c r="E1" s="383"/>
      <c r="F1" s="383"/>
      <c r="G1" s="383"/>
      <c r="H1" s="384"/>
      <c r="I1" s="383"/>
    </row>
    <row r="2" spans="1:38">
      <c r="A2" s="385"/>
      <c r="B2" s="557"/>
      <c r="C2" s="557"/>
      <c r="D2" s="557"/>
      <c r="F2" s="385"/>
    </row>
    <row r="3" spans="1:38">
      <c r="E3" s="558" t="s">
        <v>62</v>
      </c>
      <c r="F3" s="558"/>
      <c r="G3" s="558"/>
      <c r="H3" s="558"/>
      <c r="I3" s="558"/>
      <c r="J3" s="558"/>
      <c r="K3" s="558"/>
      <c r="M3" s="45"/>
      <c r="N3" s="45"/>
      <c r="O3" s="45"/>
      <c r="P3" s="558" t="s">
        <v>63</v>
      </c>
      <c r="Q3" s="558"/>
      <c r="R3" s="558"/>
      <c r="S3" s="558"/>
      <c r="T3" s="558"/>
      <c r="U3" s="558"/>
      <c r="V3" s="558"/>
    </row>
    <row r="4" spans="1:38" ht="15.75" customHeight="1">
      <c r="D4" s="5"/>
      <c r="E4" s="386">
        <f>Summary!D3</f>
        <v>2029</v>
      </c>
      <c r="F4" s="387">
        <f>Summary!L3</f>
        <v>46082</v>
      </c>
      <c r="G4" s="388">
        <f>Summary!L3</f>
        <v>46082</v>
      </c>
      <c r="H4" s="389" t="s">
        <v>20</v>
      </c>
      <c r="I4" s="389" t="s">
        <v>20</v>
      </c>
      <c r="J4" s="389" t="s">
        <v>20</v>
      </c>
      <c r="K4" s="389" t="s">
        <v>20</v>
      </c>
      <c r="L4" s="43"/>
      <c r="O4" s="5"/>
      <c r="P4" s="386">
        <f>E4</f>
        <v>2029</v>
      </c>
      <c r="Q4" s="387">
        <f>Summary!L3</f>
        <v>46082</v>
      </c>
      <c r="R4" s="388">
        <f>Summary!L3</f>
        <v>46082</v>
      </c>
      <c r="S4" s="389" t="s">
        <v>20</v>
      </c>
      <c r="T4" s="389" t="s">
        <v>20</v>
      </c>
      <c r="U4" s="389" t="s">
        <v>20</v>
      </c>
      <c r="V4" s="389" t="s">
        <v>20</v>
      </c>
    </row>
    <row r="5" spans="1:38" ht="30.65" customHeight="1">
      <c r="D5" s="5"/>
      <c r="E5" s="389" t="s">
        <v>39</v>
      </c>
      <c r="F5" s="389" t="s">
        <v>24</v>
      </c>
      <c r="G5" s="389" t="s">
        <v>40</v>
      </c>
      <c r="H5" s="389" t="s">
        <v>162</v>
      </c>
      <c r="I5" s="389" t="s">
        <v>163</v>
      </c>
      <c r="J5" s="389" t="s">
        <v>164</v>
      </c>
      <c r="K5" s="389" t="s">
        <v>165</v>
      </c>
      <c r="L5" s="6"/>
      <c r="M5" s="266"/>
      <c r="N5" s="266"/>
      <c r="O5" s="6"/>
      <c r="P5" s="389" t="s">
        <v>39</v>
      </c>
      <c r="Q5" s="389" t="s">
        <v>24</v>
      </c>
      <c r="R5" s="389" t="s">
        <v>40</v>
      </c>
      <c r="S5" s="389" t="s">
        <v>162</v>
      </c>
      <c r="T5" s="389" t="s">
        <v>163</v>
      </c>
      <c r="U5" s="389" t="s">
        <v>164</v>
      </c>
      <c r="V5" s="389" t="s">
        <v>165</v>
      </c>
    </row>
    <row r="6" spans="1:38" ht="15.5">
      <c r="B6" s="390"/>
      <c r="D6" s="390"/>
      <c r="E6" s="5"/>
      <c r="F6" s="5"/>
      <c r="G6" s="5"/>
      <c r="J6" s="43"/>
      <c r="K6" s="43"/>
      <c r="L6" s="43"/>
      <c r="O6" s="390"/>
      <c r="P6" s="5"/>
      <c r="Q6" s="5"/>
      <c r="R6" s="5"/>
      <c r="U6" s="43"/>
      <c r="V6" s="43"/>
    </row>
    <row r="7" spans="1:38" ht="15.5">
      <c r="D7" s="391" t="s">
        <v>41</v>
      </c>
      <c r="E7" s="75">
        <f>HLOOKUP($E$4,$Y$38:$AB$42,2,FALSE)</f>
        <v>1452800430.3594003</v>
      </c>
      <c r="F7" s="392">
        <v>0.32561295831876069</v>
      </c>
      <c r="G7" s="129">
        <f t="shared" ref="G7:G12" si="0">F7*E7</f>
        <v>473050645.97609299</v>
      </c>
      <c r="H7" s="393">
        <f>((Y9-SUM(G15:G16,R15))/SUM(SUM(E7:E8),F9/F7*SUM(E9:E10),F11/F7*SUM(E11:E12),SUM(P7:P8)*(1+(Q7/F7-1)),SUM(P9:P10)*(1+(Q9/F9-1))*F9/F7,SUM(P11:P12)*(1+(Q11/F11-1))*F11/F7))</f>
        <v>0.31911038795666924</v>
      </c>
      <c r="I7" s="129">
        <f t="shared" ref="I7:I11" si="1">E7*H7</f>
        <v>463603708.95560426</v>
      </c>
      <c r="J7" s="393">
        <f>((Y10-SUM(K15:K16,V15))/SUM(SUM(E7:E8),F9/F7*SUM(E9:E10),F11/F7*SUM(E11:E12),SUM(P7:P8)*(1+(Q7/F7-1)),SUM(P9:P10)*(1+(Q9/F9-1))*F9/F7,SUM(P11:P12)*(1+(Q11/F11-1))*F11/F7))</f>
        <v>0.36496820695124482</v>
      </c>
      <c r="K7" s="129">
        <f t="shared" ref="K7:K12" si="2">E7*J7</f>
        <v>530225968.12626714</v>
      </c>
      <c r="L7" s="393"/>
      <c r="O7" s="391" t="s">
        <v>41</v>
      </c>
      <c r="P7" s="75">
        <f>HLOOKUP($E$4,$Y$50:$AB$54,2,FALSE)</f>
        <v>910964982.79669785</v>
      </c>
      <c r="Q7" s="392">
        <v>0.20127263378676605</v>
      </c>
      <c r="R7" s="129">
        <f t="shared" ref="R7:R12" si="3">Q7*P7</f>
        <v>183352321.37500739</v>
      </c>
      <c r="S7" s="393">
        <f>H7*(1+(Q7/F7-1))</f>
        <v>0.19725317009613288</v>
      </c>
      <c r="T7" s="129">
        <f t="shared" ref="T7:T12" si="4">P7*S7</f>
        <v>179690730.7032178</v>
      </c>
      <c r="U7" s="393">
        <f t="shared" ref="U7:U12" si="5">J7*(1+(Q7/F7-1))</f>
        <v>0.22559947442140277</v>
      </c>
      <c r="V7" s="129">
        <f t="shared" ref="V7:V12" si="6">P7*U7</f>
        <v>205513221.33523726</v>
      </c>
      <c r="W7" s="394"/>
      <c r="X7" s="20" t="s">
        <v>46</v>
      </c>
    </row>
    <row r="8" spans="1:38" ht="15.5">
      <c r="D8" s="395" t="s">
        <v>42</v>
      </c>
      <c r="E8" s="75">
        <f>HLOOKUP($E$4,$Y$38:$AB$42,3,FALSE)</f>
        <v>2191990574.7972364</v>
      </c>
      <c r="F8" s="392">
        <v>0.32561295831876069</v>
      </c>
      <c r="G8" s="129">
        <f t="shared" si="0"/>
        <v>713740535.66656888</v>
      </c>
      <c r="H8" s="393">
        <f>H7</f>
        <v>0.31911038795666924</v>
      </c>
      <c r="I8" s="129">
        <f t="shared" si="1"/>
        <v>699486962.72090852</v>
      </c>
      <c r="J8" s="393">
        <f>J7</f>
        <v>0.36496820695124482</v>
      </c>
      <c r="K8" s="129">
        <f t="shared" si="2"/>
        <v>800006869.73777592</v>
      </c>
      <c r="L8" s="393"/>
      <c r="O8" s="395" t="s">
        <v>42</v>
      </c>
      <c r="P8" s="75">
        <f>HLOOKUP($E$4,$Y$50:$AB$54,3,FALSE)</f>
        <v>1698591264.0983658</v>
      </c>
      <c r="Q8" s="392">
        <v>0.20127263378676605</v>
      </c>
      <c r="R8" s="129">
        <f t="shared" si="3"/>
        <v>341879937.45227039</v>
      </c>
      <c r="S8" s="393">
        <f t="shared" ref="S8:S12" si="7">H8*(1+(Q8/F8-1))</f>
        <v>0.19725317009613288</v>
      </c>
      <c r="T8" s="129">
        <f t="shared" si="4"/>
        <v>335052511.54100031</v>
      </c>
      <c r="U8" s="393">
        <f t="shared" si="5"/>
        <v>0.22559947442140277</v>
      </c>
      <c r="V8" s="129">
        <f t="shared" si="6"/>
        <v>383201296.43737745</v>
      </c>
      <c r="W8" s="394"/>
      <c r="X8" s="20" t="s">
        <v>19</v>
      </c>
      <c r="Y8" s="396">
        <f>SUM(G7:G12)+SUM(R7:R12)</f>
        <v>3138661707.3271513</v>
      </c>
    </row>
    <row r="9" spans="1:38" ht="15.5">
      <c r="D9" s="391" t="s">
        <v>43</v>
      </c>
      <c r="E9" s="75">
        <f>HLOOKUP($E$4,$Y$38:$AB$42,4,FALSE)</f>
        <v>1236691652.402801</v>
      </c>
      <c r="F9" s="392">
        <v>0.40701593321730439</v>
      </c>
      <c r="G9" s="129">
        <f>F9*E9</f>
        <v>503353207.0047763</v>
      </c>
      <c r="H9" s="393">
        <f>F9/F$7*H$7</f>
        <v>0.39888772555043728</v>
      </c>
      <c r="I9" s="129">
        <f t="shared" si="1"/>
        <v>493301120.4341653</v>
      </c>
      <c r="J9" s="393">
        <f>F9/F$7*J$7</f>
        <v>0.45620996201719155</v>
      </c>
      <c r="K9" s="129">
        <f t="shared" si="2"/>
        <v>564191051.76965976</v>
      </c>
      <c r="L9" s="393"/>
      <c r="O9" s="391" t="s">
        <v>43</v>
      </c>
      <c r="P9" s="75">
        <f>HLOOKUP($E$4,$Y$50:$AB$54,4,FALSE)</f>
        <v>708171358.60665298</v>
      </c>
      <c r="Q9" s="392">
        <v>0.25418456747082041</v>
      </c>
      <c r="R9" s="129">
        <f t="shared" si="3"/>
        <v>180006230.48265535</v>
      </c>
      <c r="S9" s="393">
        <f t="shared" si="7"/>
        <v>0.24910843953208306</v>
      </c>
      <c r="T9" s="129">
        <f t="shared" si="4"/>
        <v>176411462.06381851</v>
      </c>
      <c r="U9" s="393">
        <f t="shared" si="5"/>
        <v>0.28490661521426924</v>
      </c>
      <c r="V9" s="129">
        <f t="shared" si="6"/>
        <v>201762704.77231196</v>
      </c>
      <c r="W9" s="394"/>
      <c r="X9" s="20" t="s">
        <v>166</v>
      </c>
      <c r="Y9" s="396">
        <f>('SAR and RAR'!V19-('SAR and RAR'!P10*'SAR and RAR'!P19))*1000</f>
        <v>3394098327.5203319</v>
      </c>
      <c r="Z9" s="20">
        <f>Y9/Y8-1</f>
        <v>8.1383928569577435E-2</v>
      </c>
    </row>
    <row r="10" spans="1:38" ht="15.5">
      <c r="D10" s="395" t="s">
        <v>42</v>
      </c>
      <c r="E10" s="75">
        <f>HLOOKUP($E$4,$Y$38:$AB$42,5,FALSE)</f>
        <v>1347324889.4706311</v>
      </c>
      <c r="F10" s="392">
        <v>0.40701593321730439</v>
      </c>
      <c r="G10" s="129">
        <f t="shared" si="0"/>
        <v>548382697.23479044</v>
      </c>
      <c r="H10" s="393">
        <f>H9</f>
        <v>0.39888772555043728</v>
      </c>
      <c r="I10" s="129">
        <f t="shared" si="1"/>
        <v>537431360.73843431</v>
      </c>
      <c r="J10" s="393">
        <f>J9</f>
        <v>0.45620996201719155</v>
      </c>
      <c r="K10" s="129">
        <f t="shared" si="2"/>
        <v>614663036.65021348</v>
      </c>
      <c r="L10" s="393"/>
      <c r="O10" s="395" t="s">
        <v>42</v>
      </c>
      <c r="P10" s="75">
        <f>HLOOKUP($E$4,$Y$50:$AB$54,5,FALSE)</f>
        <v>766750452.53234386</v>
      </c>
      <c r="Q10" s="392">
        <v>0.25418456747082041</v>
      </c>
      <c r="R10" s="129">
        <f t="shared" si="3"/>
        <v>194896132.13498965</v>
      </c>
      <c r="S10" s="393">
        <f t="shared" si="7"/>
        <v>0.24910843953208306</v>
      </c>
      <c r="T10" s="129">
        <f t="shared" si="4"/>
        <v>191004008.74085072</v>
      </c>
      <c r="U10" s="393">
        <f t="shared" si="5"/>
        <v>0.28490661521426924</v>
      </c>
      <c r="V10" s="129">
        <f t="shared" si="6"/>
        <v>218452276.1449993</v>
      </c>
      <c r="W10" s="394"/>
      <c r="X10" s="20" t="s">
        <v>167</v>
      </c>
      <c r="Y10" s="396">
        <f>('SAR and RAR'!X19-('SAR and RAR'!P13*'SAR and RAR'!P19))*1000</f>
        <v>3836132886.5961747</v>
      </c>
      <c r="Z10" s="158">
        <f>Y10/Y8-1</f>
        <v>0.22221929099296966</v>
      </c>
    </row>
    <row r="11" spans="1:38" ht="15.5">
      <c r="D11" s="391" t="s">
        <v>44</v>
      </c>
      <c r="E11" s="75">
        <f>HLOOKUP($E$4,$Y$38:$AB$45,6,FALSE)</f>
        <v>0</v>
      </c>
      <c r="F11" s="392">
        <v>0.40701593321730439</v>
      </c>
      <c r="G11" s="129">
        <f t="shared" si="0"/>
        <v>0</v>
      </c>
      <c r="H11" s="393">
        <f>F11/F$7*H$7</f>
        <v>0.39888772555043728</v>
      </c>
      <c r="I11" s="129">
        <f t="shared" si="1"/>
        <v>0</v>
      </c>
      <c r="J11" s="393">
        <f>F11/F$7*J$7</f>
        <v>0.45620996201719155</v>
      </c>
      <c r="K11" s="129">
        <f t="shared" si="2"/>
        <v>0</v>
      </c>
      <c r="L11" s="393"/>
      <c r="O11" s="391" t="s">
        <v>44</v>
      </c>
      <c r="P11" s="75">
        <f>HLOOKUP($E$4,$Y$50:$AB$57,6,FALSE)</f>
        <v>0</v>
      </c>
      <c r="Q11" s="392">
        <v>0.25418456747081958</v>
      </c>
      <c r="R11" s="129">
        <f t="shared" si="3"/>
        <v>0</v>
      </c>
      <c r="S11" s="393">
        <f t="shared" si="7"/>
        <v>0.24910843953208223</v>
      </c>
      <c r="T11" s="129">
        <f t="shared" si="4"/>
        <v>0</v>
      </c>
      <c r="U11" s="393">
        <f t="shared" si="5"/>
        <v>0.2849066152142683</v>
      </c>
      <c r="V11" s="129">
        <f t="shared" si="6"/>
        <v>0</v>
      </c>
      <c r="W11" s="394"/>
      <c r="Y11" s="396"/>
      <c r="AG11" s="397"/>
    </row>
    <row r="12" spans="1:38" ht="15.5">
      <c r="D12" s="395" t="s">
        <v>42</v>
      </c>
      <c r="E12" s="75">
        <f>HLOOKUP($E$4,$Y$38:$AB$45,7,FALSE)</f>
        <v>0</v>
      </c>
      <c r="F12" s="392">
        <v>0.40701593321730439</v>
      </c>
      <c r="G12" s="129">
        <f t="shared" si="0"/>
        <v>0</v>
      </c>
      <c r="H12" s="393">
        <f>H11</f>
        <v>0.39888772555043728</v>
      </c>
      <c r="I12" s="129">
        <f>E12*H12</f>
        <v>0</v>
      </c>
      <c r="J12" s="393">
        <f>J11</f>
        <v>0.45620996201719155</v>
      </c>
      <c r="K12" s="129">
        <f t="shared" si="2"/>
        <v>0</v>
      </c>
      <c r="L12" s="393"/>
      <c r="O12" s="395" t="s">
        <v>42</v>
      </c>
      <c r="P12" s="75">
        <f>HLOOKUP($E$4,$Y$50:$AB$57,7,FALSE)</f>
        <v>0</v>
      </c>
      <c r="Q12" s="392">
        <v>0.25418456747081958</v>
      </c>
      <c r="R12" s="129">
        <f t="shared" si="3"/>
        <v>0</v>
      </c>
      <c r="S12" s="393">
        <f t="shared" si="7"/>
        <v>0.24910843953208223</v>
      </c>
      <c r="T12" s="129">
        <f t="shared" si="4"/>
        <v>0</v>
      </c>
      <c r="U12" s="393">
        <f t="shared" si="5"/>
        <v>0.2849066152142683</v>
      </c>
      <c r="V12" s="129">
        <f t="shared" si="6"/>
        <v>0</v>
      </c>
      <c r="W12" s="394"/>
      <c r="Y12" s="396"/>
    </row>
    <row r="13" spans="1:38" ht="15.5">
      <c r="D13" s="395"/>
      <c r="E13" s="75"/>
      <c r="F13" s="75"/>
      <c r="G13" s="75"/>
      <c r="H13" s="75"/>
      <c r="I13" s="75"/>
      <c r="J13" s="5"/>
      <c r="K13" s="398"/>
      <c r="L13" s="394"/>
      <c r="O13" s="395"/>
      <c r="P13" s="399"/>
      <c r="Q13" s="392"/>
      <c r="R13" s="75"/>
      <c r="S13" s="75"/>
      <c r="T13" s="75"/>
      <c r="U13" s="5"/>
      <c r="V13" s="398"/>
      <c r="X13" s="396"/>
      <c r="Y13" s="396"/>
      <c r="AL13" s="397"/>
    </row>
    <row r="14" spans="1:38" ht="15.5">
      <c r="D14" s="400" t="s">
        <v>633</v>
      </c>
      <c r="E14" s="401"/>
      <c r="F14" s="392"/>
      <c r="G14" s="160"/>
      <c r="H14" s="399"/>
      <c r="I14" s="160"/>
      <c r="J14" s="159"/>
      <c r="K14" s="160"/>
      <c r="L14" s="159"/>
      <c r="O14" s="400" t="s">
        <v>633</v>
      </c>
      <c r="Q14" s="392"/>
      <c r="R14" s="399"/>
      <c r="S14" s="159"/>
      <c r="T14" s="399"/>
      <c r="U14" s="159"/>
      <c r="V14" s="399"/>
      <c r="Y14" s="396"/>
    </row>
    <row r="15" spans="1:38" ht="15.5">
      <c r="D15" s="20" t="s">
        <v>634</v>
      </c>
      <c r="E15" s="75">
        <f>HLOOKUP($E$4,$Y$38:$AB$46,8,FALSE)*(365.25/12)</f>
        <v>13081501.821975876</v>
      </c>
      <c r="F15" s="402">
        <v>0.39687885010266943</v>
      </c>
      <c r="G15" s="129">
        <f>F15*E15</f>
        <v>5191771.4007217605</v>
      </c>
      <c r="H15" s="393">
        <f>F15</f>
        <v>0.39687885010266943</v>
      </c>
      <c r="I15" s="129">
        <f>E15*H15</f>
        <v>5191771.4007217605</v>
      </c>
      <c r="J15" s="393">
        <f>H15</f>
        <v>0.39687885010266943</v>
      </c>
      <c r="K15" s="129">
        <f>E15*J15</f>
        <v>5191771.4007217605</v>
      </c>
      <c r="L15" s="159"/>
      <c r="O15" s="20" t="s">
        <v>636</v>
      </c>
      <c r="P15" s="75">
        <f>HLOOKUP($E$4,$Y$50:$AB$58,8,FALSE)</f>
        <v>7779985.4698770009</v>
      </c>
      <c r="Q15" s="403">
        <v>0.1971252566735113</v>
      </c>
      <c r="R15" s="129">
        <f>Q15*P15</f>
        <v>1533631.6326656921</v>
      </c>
      <c r="S15" s="393">
        <f>Q15</f>
        <v>0.1971252566735113</v>
      </c>
      <c r="T15" s="129">
        <f>P15*S15</f>
        <v>1533631.6326656921</v>
      </c>
      <c r="U15" s="393">
        <f>S15</f>
        <v>0.1971252566735113</v>
      </c>
      <c r="V15" s="129">
        <f>P15*U15</f>
        <v>1533631.6326656921</v>
      </c>
      <c r="AL15" s="397"/>
    </row>
    <row r="16" spans="1:38" ht="15.5">
      <c r="D16" s="20" t="s">
        <v>635</v>
      </c>
      <c r="E16" s="75">
        <f>HLOOKUP($E$4,$Y$38:$AB$46,9,FALSE)*(365.25/12)</f>
        <v>392462333.15946174</v>
      </c>
      <c r="F16" s="402">
        <v>0.79342915811088288</v>
      </c>
      <c r="G16" s="129">
        <f>F16*E16</f>
        <v>311391058.58894455</v>
      </c>
      <c r="H16" s="393">
        <f>F16</f>
        <v>0.79342915811088288</v>
      </c>
      <c r="I16" s="129">
        <f>E16*H16</f>
        <v>311391058.58894455</v>
      </c>
      <c r="J16" s="393">
        <f>H16</f>
        <v>0.79342915811088288</v>
      </c>
      <c r="K16" s="129">
        <f>E16*J16</f>
        <v>311391058.58894455</v>
      </c>
      <c r="P16" s="399"/>
      <c r="Q16" s="392"/>
      <c r="S16" s="159"/>
      <c r="U16" s="159"/>
    </row>
    <row r="17" spans="2:33" ht="15.5">
      <c r="H17" s="127"/>
      <c r="J17" s="127"/>
      <c r="O17" s="404"/>
      <c r="S17" s="405"/>
    </row>
    <row r="18" spans="2:33" ht="15.5">
      <c r="S18" s="405"/>
    </row>
    <row r="19" spans="2:33">
      <c r="B19" s="406"/>
      <c r="E19" s="403"/>
      <c r="P19" s="20" t="s">
        <v>653</v>
      </c>
      <c r="X19" s="20" t="s">
        <v>671</v>
      </c>
    </row>
    <row r="20" spans="2:33">
      <c r="B20" s="407" t="s">
        <v>145</v>
      </c>
      <c r="C20" s="407"/>
      <c r="E20" s="408" t="s">
        <v>20</v>
      </c>
      <c r="F20" s="408" t="s">
        <v>20</v>
      </c>
      <c r="H20" s="407" t="s">
        <v>36</v>
      </c>
      <c r="I20" s="407"/>
      <c r="J20" s="407"/>
      <c r="K20" s="407"/>
      <c r="L20" s="407" t="s">
        <v>216</v>
      </c>
      <c r="M20" s="407"/>
      <c r="N20" s="407"/>
      <c r="P20" s="409" t="s">
        <v>30</v>
      </c>
      <c r="Q20" s="410" t="s">
        <v>143</v>
      </c>
      <c r="R20" s="410" t="s">
        <v>144</v>
      </c>
      <c r="S20" s="410" t="s">
        <v>143</v>
      </c>
      <c r="T20" s="410" t="s">
        <v>144</v>
      </c>
      <c r="U20" s="547" t="s">
        <v>168</v>
      </c>
      <c r="V20" s="548"/>
      <c r="X20" s="409" t="s">
        <v>30</v>
      </c>
      <c r="Y20" s="410" t="s">
        <v>143</v>
      </c>
      <c r="Z20" s="410" t="s">
        <v>144</v>
      </c>
      <c r="AA20" s="410" t="s">
        <v>143</v>
      </c>
      <c r="AB20" s="410" t="s">
        <v>144</v>
      </c>
      <c r="AC20" s="547" t="s">
        <v>168</v>
      </c>
      <c r="AD20" s="548"/>
    </row>
    <row r="21" spans="2:33">
      <c r="B21" s="413" t="s">
        <v>24</v>
      </c>
      <c r="C21" s="414">
        <v>46023</v>
      </c>
      <c r="D21" s="414">
        <f>Summary!L3</f>
        <v>46082</v>
      </c>
      <c r="E21" s="415" t="s">
        <v>169</v>
      </c>
      <c r="F21" s="415" t="s">
        <v>170</v>
      </c>
      <c r="H21" s="416" t="s">
        <v>30</v>
      </c>
      <c r="I21" s="416" t="s">
        <v>576</v>
      </c>
      <c r="J21" s="416" t="s">
        <v>577</v>
      </c>
      <c r="L21" s="416" t="s">
        <v>30</v>
      </c>
      <c r="M21" s="416" t="s">
        <v>576</v>
      </c>
      <c r="N21" s="416" t="s">
        <v>577</v>
      </c>
      <c r="P21" s="290"/>
      <c r="Q21" s="547" t="s">
        <v>47</v>
      </c>
      <c r="R21" s="548"/>
      <c r="S21" s="547" t="s">
        <v>48</v>
      </c>
      <c r="T21" s="548"/>
      <c r="U21" s="40" t="s">
        <v>47</v>
      </c>
      <c r="V21" s="417" t="s">
        <v>48</v>
      </c>
      <c r="X21" s="290"/>
      <c r="Y21" s="547" t="s">
        <v>47</v>
      </c>
      <c r="Z21" s="548"/>
      <c r="AA21" s="547" t="s">
        <v>48</v>
      </c>
      <c r="AB21" s="548"/>
      <c r="AC21" s="418" t="s">
        <v>47</v>
      </c>
      <c r="AD21" s="419" t="s">
        <v>48</v>
      </c>
    </row>
    <row r="22" spans="2:33">
      <c r="B22" s="420" t="s">
        <v>26</v>
      </c>
      <c r="C22" s="54">
        <v>0.37839</v>
      </c>
      <c r="D22" s="54">
        <f>F7</f>
        <v>0.32561295831876069</v>
      </c>
      <c r="E22" s="54">
        <f>H7</f>
        <v>0.31911038795666924</v>
      </c>
      <c r="F22" s="54">
        <f>J7</f>
        <v>0.36496820695124482</v>
      </c>
      <c r="H22" s="20" t="s">
        <v>195</v>
      </c>
      <c r="I22" s="396">
        <f>13.5*$R$33</f>
        <v>410.90625</v>
      </c>
      <c r="J22" s="396">
        <f>11*$R$33</f>
        <v>334.8125</v>
      </c>
      <c r="L22" s="20" t="s">
        <v>195</v>
      </c>
      <c r="M22" s="396">
        <f>15.2*$R$33</f>
        <v>462.65</v>
      </c>
      <c r="N22" s="396">
        <f>26*$R$33</f>
        <v>791.375</v>
      </c>
      <c r="P22" s="291" t="s">
        <v>195</v>
      </c>
      <c r="Q22" s="421">
        <v>499.75</v>
      </c>
      <c r="R22" s="421">
        <v>389.5</v>
      </c>
      <c r="S22" s="421">
        <v>603.75</v>
      </c>
      <c r="T22" s="422">
        <v>509.875</v>
      </c>
      <c r="U22" s="110">
        <v>4.9722793062389657E-2</v>
      </c>
      <c r="V22" s="168">
        <v>2.5777934863202203E-2</v>
      </c>
      <c r="X22" s="291" t="s">
        <v>195</v>
      </c>
      <c r="Y22" s="421">
        <v>564.75</v>
      </c>
      <c r="Z22" s="421">
        <v>521.875</v>
      </c>
      <c r="AA22" s="421">
        <v>677.75</v>
      </c>
      <c r="AB22" s="421">
        <v>685.25</v>
      </c>
      <c r="AC22" s="423">
        <v>0.20088531148607908</v>
      </c>
      <c r="AD22" s="168">
        <v>0.17939553219448096</v>
      </c>
    </row>
    <row r="23" spans="2:33">
      <c r="B23" s="420" t="s">
        <v>27</v>
      </c>
      <c r="C23" s="54">
        <v>0.47405000000000003</v>
      </c>
      <c r="D23" s="54">
        <f>F9</f>
        <v>0.40701593321730439</v>
      </c>
      <c r="E23" s="54">
        <f>H9</f>
        <v>0.39888772555043728</v>
      </c>
      <c r="F23" s="54">
        <f>J9</f>
        <v>0.45620996201719155</v>
      </c>
      <c r="H23" s="20" t="s">
        <v>196</v>
      </c>
      <c r="I23" s="396">
        <f>9.8*$R$33</f>
        <v>298.28750000000002</v>
      </c>
      <c r="J23" s="396">
        <f>11*$R$33</f>
        <v>334.8125</v>
      </c>
      <c r="L23" s="20" t="s">
        <v>196</v>
      </c>
      <c r="M23" s="396">
        <f>8.5*$R$33</f>
        <v>258.71875</v>
      </c>
      <c r="N23" s="396">
        <f>26*$R$33</f>
        <v>791.375</v>
      </c>
      <c r="P23" s="424" t="s">
        <v>196</v>
      </c>
      <c r="Q23" s="425">
        <v>354.25</v>
      </c>
      <c r="R23" s="425">
        <v>413.5</v>
      </c>
      <c r="S23" s="425">
        <v>323.75</v>
      </c>
      <c r="T23" s="426">
        <v>440.875</v>
      </c>
      <c r="U23" s="110">
        <v>3.6428896970648226E-4</v>
      </c>
      <c r="V23" s="168">
        <v>1.1761705482757428E-4</v>
      </c>
      <c r="X23" s="424" t="s">
        <v>196</v>
      </c>
      <c r="Y23" s="425">
        <v>467.5</v>
      </c>
      <c r="Z23" s="425">
        <v>622</v>
      </c>
      <c r="AA23" s="425">
        <v>510</v>
      </c>
      <c r="AB23" s="425">
        <v>635.875</v>
      </c>
      <c r="AC23" s="423">
        <v>1.3542873003263688E-3</v>
      </c>
      <c r="AD23" s="168">
        <v>5.3613666228646514E-4</v>
      </c>
    </row>
    <row r="24" spans="2:33">
      <c r="B24" s="420" t="s">
        <v>635</v>
      </c>
      <c r="D24" s="54">
        <f>F16</f>
        <v>0.79342915811088288</v>
      </c>
      <c r="E24" s="403">
        <f>H16</f>
        <v>0.79342915811088288</v>
      </c>
      <c r="F24" s="403">
        <f>J16</f>
        <v>0.79342915811088288</v>
      </c>
      <c r="H24" s="20" t="s">
        <v>197</v>
      </c>
      <c r="I24" s="396">
        <f>17.7*$R$33</f>
        <v>538.74374999999998</v>
      </c>
      <c r="J24" s="396">
        <f>10.4*$R$33</f>
        <v>316.55</v>
      </c>
      <c r="L24" s="20" t="s">
        <v>197</v>
      </c>
      <c r="M24" s="396">
        <f>19.9*$R$33</f>
        <v>605.70624999999995</v>
      </c>
      <c r="N24" s="396">
        <f>26.7*$R$33</f>
        <v>812.68124999999998</v>
      </c>
      <c r="P24" s="424" t="s">
        <v>197</v>
      </c>
      <c r="Q24" s="425">
        <v>735.5</v>
      </c>
      <c r="R24" s="425">
        <v>391.25</v>
      </c>
      <c r="S24" s="425">
        <v>862.5</v>
      </c>
      <c r="T24" s="426">
        <v>443.375</v>
      </c>
      <c r="U24" s="110">
        <v>0.29532859050658705</v>
      </c>
      <c r="V24" s="168">
        <v>0.40234489398654733</v>
      </c>
      <c r="X24" s="424" t="s">
        <v>197</v>
      </c>
      <c r="Y24" s="425">
        <v>729.25</v>
      </c>
      <c r="Z24" s="425">
        <v>499.875</v>
      </c>
      <c r="AA24" s="425">
        <v>876.25</v>
      </c>
      <c r="AB24" s="425">
        <v>595.25</v>
      </c>
      <c r="AC24" s="423">
        <v>0.26385153565651831</v>
      </c>
      <c r="AD24" s="168">
        <v>0.34918715975220577</v>
      </c>
    </row>
    <row r="25" spans="2:33">
      <c r="E25" s="20">
        <f>($E$24*365.25/12)</f>
        <v>24.149999999999995</v>
      </c>
      <c r="H25" s="20" t="s">
        <v>198</v>
      </c>
      <c r="I25" s="396">
        <f>15*$R$33</f>
        <v>456.5625</v>
      </c>
      <c r="J25" s="396">
        <f>10.2*$R$33</f>
        <v>310.46249999999998</v>
      </c>
      <c r="L25" s="20" t="s">
        <v>198</v>
      </c>
      <c r="M25" s="396">
        <f>17.8*$R$33</f>
        <v>541.78750000000002</v>
      </c>
      <c r="N25" s="396">
        <f>23.7*$R$33</f>
        <v>721.36874999999998</v>
      </c>
      <c r="P25" s="424" t="s">
        <v>198</v>
      </c>
      <c r="Q25" s="425">
        <v>611</v>
      </c>
      <c r="R25" s="425">
        <v>390.875</v>
      </c>
      <c r="S25" s="425">
        <v>709.25</v>
      </c>
      <c r="T25" s="426">
        <v>436.625</v>
      </c>
      <c r="U25" s="110">
        <v>0.34351389322303205</v>
      </c>
      <c r="V25" s="168">
        <v>0.27223147036390066</v>
      </c>
      <c r="X25" s="424" t="s">
        <v>198</v>
      </c>
      <c r="Y25" s="425">
        <v>623.25</v>
      </c>
      <c r="Z25" s="425">
        <v>487</v>
      </c>
      <c r="AA25" s="425">
        <v>733.75</v>
      </c>
      <c r="AB25" s="425">
        <v>553.375</v>
      </c>
      <c r="AC25" s="423">
        <v>0.25556693433381505</v>
      </c>
      <c r="AD25" s="168">
        <v>0.2392701332832739</v>
      </c>
    </row>
    <row r="26" spans="2:33">
      <c r="B26" s="407" t="s">
        <v>186</v>
      </c>
      <c r="C26" s="407"/>
      <c r="D26" s="407"/>
      <c r="E26" s="408" t="s">
        <v>20</v>
      </c>
      <c r="F26" s="408" t="s">
        <v>20</v>
      </c>
      <c r="H26" s="20" t="s">
        <v>199</v>
      </c>
      <c r="I26" s="396">
        <f>6.5*$R$33</f>
        <v>197.84375</v>
      </c>
      <c r="J26" s="396">
        <f>7.5*$R$33</f>
        <v>228.28125</v>
      </c>
      <c r="L26" s="20" t="s">
        <v>199</v>
      </c>
      <c r="M26" s="396">
        <f>7.1*$R$33</f>
        <v>216.10624999999999</v>
      </c>
      <c r="N26" s="396">
        <f>12.9*$R$33</f>
        <v>392.64375000000001</v>
      </c>
      <c r="P26" s="424" t="s">
        <v>199</v>
      </c>
      <c r="Q26" s="425">
        <v>267</v>
      </c>
      <c r="R26" s="425">
        <v>305.125</v>
      </c>
      <c r="S26" s="425">
        <v>268.5</v>
      </c>
      <c r="T26" s="426">
        <v>307.5</v>
      </c>
      <c r="U26" s="110">
        <v>4.1946522697403392E-2</v>
      </c>
      <c r="V26" s="168">
        <v>2.1486685483425305E-2</v>
      </c>
      <c r="X26" s="424" t="s">
        <v>199</v>
      </c>
      <c r="Y26" s="425">
        <v>270.5</v>
      </c>
      <c r="Z26" s="425">
        <v>345.5</v>
      </c>
      <c r="AA26" s="425">
        <v>262.75</v>
      </c>
      <c r="AB26" s="425">
        <v>334.125</v>
      </c>
      <c r="AC26" s="423">
        <v>2.8472574485801518E-2</v>
      </c>
      <c r="AD26" s="168">
        <v>2.4819973718791064E-2</v>
      </c>
    </row>
    <row r="27" spans="2:33">
      <c r="B27" s="413" t="s">
        <v>24</v>
      </c>
      <c r="C27" s="414">
        <f>C21</f>
        <v>46023</v>
      </c>
      <c r="D27" s="414">
        <f>D21</f>
        <v>46082</v>
      </c>
      <c r="E27" s="415" t="s">
        <v>169</v>
      </c>
      <c r="F27" s="415" t="s">
        <v>170</v>
      </c>
      <c r="H27" s="20" t="s">
        <v>200</v>
      </c>
      <c r="I27" s="396">
        <f>7.1*$R$33</f>
        <v>216.10624999999999</v>
      </c>
      <c r="J27" s="396">
        <f>8.1*$R$33</f>
        <v>246.54374999999999</v>
      </c>
      <c r="L27" s="20" t="s">
        <v>200</v>
      </c>
      <c r="M27" s="396">
        <f>10.4*$R$33</f>
        <v>316.55</v>
      </c>
      <c r="N27" s="396">
        <f>19.1*$R$33</f>
        <v>581.35625000000005</v>
      </c>
      <c r="P27" s="424" t="s">
        <v>200</v>
      </c>
      <c r="Q27" s="425">
        <v>313.75</v>
      </c>
      <c r="R27" s="425">
        <v>355.875</v>
      </c>
      <c r="S27" s="425">
        <v>284.25</v>
      </c>
      <c r="T27" s="426">
        <v>347.625</v>
      </c>
      <c r="U27" s="110">
        <v>1.9773414381884604E-3</v>
      </c>
      <c r="V27" s="168">
        <v>1.4465715662838597E-3</v>
      </c>
      <c r="X27" s="424" t="s">
        <v>200</v>
      </c>
      <c r="Y27" s="425">
        <v>398.25</v>
      </c>
      <c r="Z27" s="425">
        <v>500.375</v>
      </c>
      <c r="AA27" s="425">
        <v>409.25</v>
      </c>
      <c r="AB27" s="425">
        <v>564.875</v>
      </c>
      <c r="AC27" s="423">
        <v>1.9677842328417062E-3</v>
      </c>
      <c r="AD27" s="168">
        <v>1.7345597897503286E-3</v>
      </c>
    </row>
    <row r="28" spans="2:33">
      <c r="B28" s="420" t="s">
        <v>26</v>
      </c>
      <c r="C28" s="54">
        <v>0.23024</v>
      </c>
      <c r="D28" s="54">
        <f>Q7</f>
        <v>0.20127263378676605</v>
      </c>
      <c r="E28" s="54">
        <f>S7</f>
        <v>0.19725317009613288</v>
      </c>
      <c r="F28" s="54">
        <f>U7</f>
        <v>0.22559947442140277</v>
      </c>
      <c r="H28" s="20" t="s">
        <v>201</v>
      </c>
      <c r="I28" s="396">
        <f>19.2*$R$33</f>
        <v>584.4</v>
      </c>
      <c r="J28" s="396">
        <f>9.8*$R$33</f>
        <v>298.28750000000002</v>
      </c>
      <c r="L28" s="20" t="s">
        <v>201</v>
      </c>
      <c r="M28" s="396">
        <f>22.4*$R$33</f>
        <v>681.8</v>
      </c>
      <c r="N28" s="396">
        <f>19*$R$33</f>
        <v>578.3125</v>
      </c>
      <c r="P28" s="424" t="s">
        <v>201</v>
      </c>
      <c r="Q28" s="425">
        <v>807</v>
      </c>
      <c r="R28" s="425">
        <v>354.125</v>
      </c>
      <c r="S28" s="425">
        <v>933.75</v>
      </c>
      <c r="T28" s="426">
        <v>413.875</v>
      </c>
      <c r="U28" s="110">
        <v>0.14001555254072998</v>
      </c>
      <c r="V28" s="168">
        <v>0.23920294645498355</v>
      </c>
      <c r="X28" s="424" t="s">
        <v>201</v>
      </c>
      <c r="Y28" s="425">
        <v>796.25</v>
      </c>
      <c r="Z28" s="425">
        <v>411.5</v>
      </c>
      <c r="AA28" s="425">
        <v>962.25</v>
      </c>
      <c r="AB28" s="425">
        <v>475.125</v>
      </c>
      <c r="AC28" s="423">
        <v>8.0058956959505378E-2</v>
      </c>
      <c r="AD28" s="168">
        <v>0.13965083536699832</v>
      </c>
    </row>
    <row r="29" spans="2:33">
      <c r="B29" s="420" t="s">
        <v>27</v>
      </c>
      <c r="C29" s="54">
        <v>0.29241</v>
      </c>
      <c r="D29" s="54">
        <f>Q9</f>
        <v>0.25418456747082041</v>
      </c>
      <c r="E29" s="54">
        <f>S9</f>
        <v>0.24910843953208306</v>
      </c>
      <c r="F29" s="54">
        <f>U9</f>
        <v>0.28490661521426924</v>
      </c>
      <c r="H29" s="20" t="s">
        <v>202</v>
      </c>
      <c r="I29" s="396">
        <f>9.8*$R$33</f>
        <v>298.28750000000002</v>
      </c>
      <c r="J29" s="396">
        <f>9.7*$R$33</f>
        <v>295.24374999999998</v>
      </c>
      <c r="L29" s="20" t="s">
        <v>202</v>
      </c>
      <c r="M29" s="396">
        <f>8.5*$R$33</f>
        <v>258.71875</v>
      </c>
      <c r="N29" s="396">
        <f>14.6*$R$33</f>
        <v>444.38749999999999</v>
      </c>
      <c r="P29" s="424" t="s">
        <v>202</v>
      </c>
      <c r="Q29" s="425">
        <v>413.75</v>
      </c>
      <c r="R29" s="425">
        <v>400.625</v>
      </c>
      <c r="S29" s="425">
        <v>390.75</v>
      </c>
      <c r="T29" s="426">
        <v>383</v>
      </c>
      <c r="U29" s="110">
        <v>0.1034058367365011</v>
      </c>
      <c r="V29" s="168">
        <v>3.2649666963467494E-2</v>
      </c>
      <c r="X29" s="424" t="s">
        <v>202</v>
      </c>
      <c r="Y29" s="425">
        <v>401.25</v>
      </c>
      <c r="Z29" s="425">
        <v>458</v>
      </c>
      <c r="AA29" s="425">
        <v>376.5</v>
      </c>
      <c r="AB29" s="425">
        <v>438.5</v>
      </c>
      <c r="AC29" s="423">
        <v>4.8529425839610271E-2</v>
      </c>
      <c r="AD29" s="168">
        <v>3.5006570302233905E-2</v>
      </c>
    </row>
    <row r="30" spans="2:33">
      <c r="B30" s="420" t="s">
        <v>636</v>
      </c>
      <c r="D30" s="54">
        <f>Q15</f>
        <v>0.1971252566735113</v>
      </c>
      <c r="E30" s="403">
        <f>S15</f>
        <v>0.1971252566735113</v>
      </c>
      <c r="F30" s="403">
        <f>U15</f>
        <v>0.1971252566735113</v>
      </c>
      <c r="H30" s="20" t="s">
        <v>203</v>
      </c>
      <c r="I30" s="396">
        <f>10.5*$R$33</f>
        <v>319.59375</v>
      </c>
      <c r="J30" s="396">
        <f>11.1*$R$33</f>
        <v>337.85624999999999</v>
      </c>
      <c r="L30" s="20" t="s">
        <v>203</v>
      </c>
      <c r="M30" s="396">
        <f>12*$R$33</f>
        <v>365.25</v>
      </c>
      <c r="N30" s="396">
        <f>24*$R$33</f>
        <v>730.5</v>
      </c>
      <c r="P30" s="424" t="s">
        <v>203</v>
      </c>
      <c r="Q30" s="425">
        <v>348</v>
      </c>
      <c r="R30" s="425">
        <v>314.625</v>
      </c>
      <c r="S30" s="425">
        <v>497.75</v>
      </c>
      <c r="T30" s="426">
        <v>489.625</v>
      </c>
      <c r="U30" s="110">
        <v>2.1761626160508266E-2</v>
      </c>
      <c r="V30" s="168">
        <v>4.6766077704682493E-3</v>
      </c>
      <c r="X30" s="424" t="s">
        <v>203</v>
      </c>
      <c r="Y30" s="425">
        <v>349.25</v>
      </c>
      <c r="Z30" s="425">
        <v>342.375</v>
      </c>
      <c r="AA30" s="425">
        <v>576.75</v>
      </c>
      <c r="AB30" s="425">
        <v>647.625</v>
      </c>
      <c r="AC30" s="423">
        <v>0.10653503440751128</v>
      </c>
      <c r="AD30" s="168">
        <v>2.9905012201989864E-2</v>
      </c>
    </row>
    <row r="31" spans="2:33">
      <c r="B31" s="406"/>
      <c r="C31" s="56"/>
      <c r="D31" s="56"/>
      <c r="E31" s="79"/>
      <c r="F31" s="79"/>
      <c r="H31" s="20" t="s">
        <v>204</v>
      </c>
      <c r="I31" s="396">
        <f>5.9*$R$33</f>
        <v>179.58125000000001</v>
      </c>
      <c r="J31" s="396">
        <f>7.8*$R$33</f>
        <v>237.41249999999999</v>
      </c>
      <c r="L31" s="20" t="s">
        <v>204</v>
      </c>
      <c r="M31" s="396">
        <f>6.7*$R$33</f>
        <v>203.93125000000001</v>
      </c>
      <c r="N31" s="396">
        <f>15.7*$R$33</f>
        <v>477.86874999999998</v>
      </c>
      <c r="P31" s="55" t="s">
        <v>204</v>
      </c>
      <c r="Q31" s="427">
        <v>197.75</v>
      </c>
      <c r="R31" s="427">
        <v>171.125</v>
      </c>
      <c r="S31" s="427">
        <v>215</v>
      </c>
      <c r="T31" s="428">
        <v>303.875</v>
      </c>
      <c r="U31" s="429">
        <v>1.9635546649535715E-3</v>
      </c>
      <c r="V31" s="169">
        <v>6.5605492893772597E-5</v>
      </c>
      <c r="X31" s="55" t="s">
        <v>204</v>
      </c>
      <c r="Y31" s="427">
        <v>204</v>
      </c>
      <c r="Z31" s="427">
        <v>168.5</v>
      </c>
      <c r="AA31" s="427">
        <v>345</v>
      </c>
      <c r="AB31" s="427">
        <v>449</v>
      </c>
      <c r="AC31" s="430">
        <v>1.277815529799106E-2</v>
      </c>
      <c r="AD31" s="169">
        <v>4.9408672798948751E-4</v>
      </c>
      <c r="AG31" s="397"/>
    </row>
    <row r="32" spans="2:33">
      <c r="B32" s="406"/>
      <c r="C32" s="56"/>
      <c r="D32" s="56"/>
      <c r="E32" s="79"/>
      <c r="F32" s="79"/>
    </row>
    <row r="33" spans="2:39">
      <c r="B33" s="406"/>
      <c r="C33" s="56"/>
      <c r="D33" s="56"/>
      <c r="E33" s="79"/>
      <c r="F33" s="79"/>
      <c r="Q33" s="21" t="s">
        <v>45</v>
      </c>
      <c r="R33" s="20">
        <f>365.25/12</f>
        <v>30.4375</v>
      </c>
    </row>
    <row r="34" spans="2:39">
      <c r="B34" s="406"/>
      <c r="C34" s="56"/>
      <c r="D34" s="56"/>
      <c r="E34" s="79"/>
      <c r="F34" s="79"/>
      <c r="N34" s="21"/>
    </row>
    <row r="35" spans="2:39">
      <c r="B35" s="406"/>
      <c r="C35" s="549" t="s">
        <v>238</v>
      </c>
      <c r="D35" s="549"/>
      <c r="E35" s="549"/>
      <c r="F35" s="549"/>
      <c r="G35" s="549"/>
      <c r="H35" s="549"/>
      <c r="I35" s="549"/>
      <c r="J35" s="549"/>
      <c r="L35" s="406"/>
      <c r="M35" s="549" t="s">
        <v>244</v>
      </c>
      <c r="N35" s="549"/>
      <c r="O35" s="549"/>
      <c r="P35" s="549"/>
      <c r="Q35" s="549"/>
      <c r="R35" s="549"/>
      <c r="S35" s="549"/>
      <c r="T35" s="549"/>
    </row>
    <row r="36" spans="2:39" ht="15" thickBot="1">
      <c r="B36" s="406"/>
      <c r="C36" s="550">
        <f>$C$27</f>
        <v>46023</v>
      </c>
      <c r="D36" s="551"/>
      <c r="E36" s="550">
        <f>$D$27</f>
        <v>46082</v>
      </c>
      <c r="F36" s="551"/>
      <c r="G36" s="552" t="str">
        <f>$E$21</f>
        <v>Authorized</v>
      </c>
      <c r="H36" s="552"/>
      <c r="I36" s="553" t="str">
        <f>$F$21</f>
        <v>w/Pending</v>
      </c>
      <c r="J36" s="552"/>
      <c r="L36" s="406"/>
      <c r="M36" s="550">
        <f>$C$27</f>
        <v>46023</v>
      </c>
      <c r="N36" s="551"/>
      <c r="O36" s="550">
        <f>$D$27</f>
        <v>46082</v>
      </c>
      <c r="P36" s="551"/>
      <c r="Q36" s="552" t="str">
        <f>$E$21</f>
        <v>Authorized</v>
      </c>
      <c r="R36" s="552"/>
      <c r="S36" s="553" t="str">
        <f>$F$21</f>
        <v>w/Pending</v>
      </c>
      <c r="T36" s="552"/>
    </row>
    <row r="37" spans="2:39" ht="15" thickBot="1">
      <c r="B37" s="406"/>
      <c r="C37" s="56" t="s">
        <v>143</v>
      </c>
      <c r="D37" s="56" t="s">
        <v>144</v>
      </c>
      <c r="E37" s="56" t="s">
        <v>143</v>
      </c>
      <c r="F37" s="56" t="s">
        <v>144</v>
      </c>
      <c r="G37" s="56" t="s">
        <v>143</v>
      </c>
      <c r="H37" s="56" t="s">
        <v>144</v>
      </c>
      <c r="I37" s="56" t="s">
        <v>143</v>
      </c>
      <c r="J37" s="56" t="s">
        <v>144</v>
      </c>
      <c r="L37" s="406"/>
      <c r="M37" s="56" t="s">
        <v>143</v>
      </c>
      <c r="N37" s="56" t="s">
        <v>144</v>
      </c>
      <c r="O37" s="56" t="s">
        <v>143</v>
      </c>
      <c r="P37" s="56" t="s">
        <v>144</v>
      </c>
      <c r="Q37" s="56" t="s">
        <v>143</v>
      </c>
      <c r="R37" s="56" t="s">
        <v>144</v>
      </c>
      <c r="S37" s="56" t="s">
        <v>143</v>
      </c>
      <c r="T37" s="56" t="s">
        <v>144</v>
      </c>
      <c r="AD37" s="554" t="s">
        <v>418</v>
      </c>
      <c r="AE37" s="555"/>
      <c r="AF37" s="555"/>
      <c r="AG37" s="556"/>
    </row>
    <row r="38" spans="2:39" ht="15" thickBot="1">
      <c r="B38" s="20" t="s">
        <v>195</v>
      </c>
      <c r="C38" s="56">
        <f>IF(I22&lt;Q22,$C$22*I22+$C$23*(Q22-I22),$C$22*Q22)+($C$24*365.25/12)</f>
        <v>197.59919562499999</v>
      </c>
      <c r="D38" s="56">
        <f>IF(J22&lt;R22,$C$22*J22+$C$23*(R22-J22),$C$22*R22)+($C$24*365.25/12)</f>
        <v>152.61431125000001</v>
      </c>
      <c r="E38" s="56">
        <f>IF(I22&lt;Q22,$D$22*I22+$D$23*(Q22-I22),$D$22*Q22)+($D$24*365.25/12)</f>
        <v>194.10722147094313</v>
      </c>
      <c r="F38" s="56">
        <f>IF(J22&lt;R22,$D$22*J22+$D$23*(R22-J22),$D$22*R22)+($D$24*365.25/12)</f>
        <v>155.42797245492142</v>
      </c>
      <c r="G38" s="56">
        <f>IF(I22&lt;Q22,$E$22*I22+$E$23*(Q22-I22),$E$22*Q22)+($E$24*365.25/12)</f>
        <v>190.71313421819178</v>
      </c>
      <c r="H38" s="56">
        <f>IF(J22&lt;R22,$E$22*J22+$E$23*(R22-J22),$E$22*R22)+($E$24*365.25/12)</f>
        <v>152.80631925878185</v>
      </c>
      <c r="I38" s="56">
        <f>IF(I22&lt;Q22, $F$22*I22+$F$23*(Q22-I22), $F$22*Q22)+($F$24*365.25/12)</f>
        <v>214.64912110052481</v>
      </c>
      <c r="J38" s="56">
        <f>IF(J22&lt;R22, $F$22*J22+$F$23*(R22-J22), $F$22*R22)+($F$24*365.25/12)</f>
        <v>171.29490008767883</v>
      </c>
      <c r="K38" s="431"/>
      <c r="L38" s="20" t="s">
        <v>195</v>
      </c>
      <c r="M38" s="56">
        <f>IF(M22&lt;Y22,$C$22*M22+$C$23*(Y22-M22),$C$22*Y22)</f>
        <v>223.4626385</v>
      </c>
      <c r="N38" s="56">
        <f t="shared" ref="N38:N47" si="8">IF(N22&lt;Z22,$C$22*N22+$C$23*(Z22-N22),$C$22*Z22)</f>
        <v>197.47228125000001</v>
      </c>
      <c r="O38" s="56">
        <f>IF(M22&lt;Y22,$D$22*M22+$D$23*(Y22-M22),$D$22*Y22)+($D$24*365.25/12)</f>
        <v>216.35116194766144</v>
      </c>
      <c r="P38" s="56">
        <f>IF(N22&lt;Z22,$D$22*N22+$D$23*(Z22-N22),$D$22*Z22)+($D$24*365.25/12)</f>
        <v>194.07926262260324</v>
      </c>
      <c r="Q38" s="56">
        <f>IF(M22&lt;Y22,$E$22*M22+$E$23*(Y22-M22),$E$22*Y22)+($E$24*365.25/12)</f>
        <v>212.51285776685268</v>
      </c>
      <c r="R38" s="56">
        <f>IF(N22&lt;Z22,$E$22*N22+$E$23*(Z22-N22),$E$22*Z22)+($E$24*365.25/12)</f>
        <v>190.68573371488677</v>
      </c>
      <c r="S38" s="56">
        <f>IF(M22&lt;Y22,$F$22*M22+$F$23*(Y22-M22),$F$22*Y22)+($F$24*365.25/12)</f>
        <v>239.5815780679487</v>
      </c>
      <c r="T38" s="56">
        <f>IF(N22&lt;Z22,$F$22*N22+$F$23*(Z22-N22),$F$22*Z22)+($F$24*365.25/12)</f>
        <v>214.61778300268091</v>
      </c>
      <c r="W38" s="20" t="s">
        <v>209</v>
      </c>
      <c r="Y38" s="432">
        <v>2026</v>
      </c>
      <c r="Z38" s="432">
        <f>Y38+1</f>
        <v>2027</v>
      </c>
      <c r="AA38" s="432">
        <f>Z38+1</f>
        <v>2028</v>
      </c>
      <c r="AB38" s="432">
        <f>AA38+1</f>
        <v>2029</v>
      </c>
      <c r="AD38" s="433">
        <v>2026</v>
      </c>
      <c r="AE38" s="434">
        <f>AD38+1</f>
        <v>2027</v>
      </c>
      <c r="AF38" s="434">
        <f>AE38+1</f>
        <v>2028</v>
      </c>
      <c r="AG38" s="435">
        <f>AF38+1</f>
        <v>2029</v>
      </c>
    </row>
    <row r="39" spans="2:39" ht="15.5">
      <c r="B39" s="20" t="s">
        <v>196</v>
      </c>
      <c r="C39" s="56">
        <f t="shared" ref="C39:D39" si="9">IF(I23&lt;Q23,$C$22*I23+$C$23*(Q23-I23),$C$22*Q23)+($C$24*365.25/12)</f>
        <v>139.39803025000001</v>
      </c>
      <c r="D39" s="56">
        <f t="shared" si="9"/>
        <v>163.99151125</v>
      </c>
      <c r="E39" s="56">
        <f t="shared" ref="E39:F39" si="10">IF(I23&lt;Q23,$D$22*I23+$D$23*(Q23-I23),$D$22*Q23)+($D$24*365.25/12)</f>
        <v>144.05390446718073</v>
      </c>
      <c r="F39" s="56">
        <f t="shared" si="10"/>
        <v>165.19635485213669</v>
      </c>
      <c r="G39" s="56">
        <f t="shared" ref="G39:H39" si="11">IF(I23&lt;Q23,$E$22*I23+$E$23*(Q23-I23),$E$22*Q23)+($E$24*365.25/12)</f>
        <v>141.65939418874132</v>
      </c>
      <c r="H39" s="56">
        <f t="shared" si="11"/>
        <v>162.37962467199236</v>
      </c>
      <c r="I39" s="56">
        <f t="shared" ref="I39:J39" si="12">IF(I23&lt;Q23, $F$22*I23+$F$23*(Q23-I23), $F$22*Q23)+($F$24*365.25/12)</f>
        <v>158.54610403035653</v>
      </c>
      <c r="J39" s="56">
        <f t="shared" si="12"/>
        <v>182.24393917609143</v>
      </c>
      <c r="K39" s="431"/>
      <c r="L39" s="20" t="s">
        <v>196</v>
      </c>
      <c r="M39" s="56">
        <f t="shared" ref="M39:M47" si="13">IF(M23&lt;Y23,$C$22*M23+$C$23*(Y23-M23),$C$22*Y23)</f>
        <v>196.86933937500001</v>
      </c>
      <c r="N39" s="56">
        <f t="shared" si="8"/>
        <v>235.35857999999999</v>
      </c>
      <c r="O39" s="56">
        <f t="shared" ref="O39:P39" si="14">IF(M23&lt;Y23,$D$22*M23+$D$23*(Y23-M23),$D$22*Y23)+($D$24*365.25/12)</f>
        <v>193.3694728670572</v>
      </c>
      <c r="P39" s="56">
        <f t="shared" si="14"/>
        <v>226.68126007426915</v>
      </c>
      <c r="Q39" s="56">
        <f t="shared" ref="Q39:R39" si="15">IF(M23&lt;Y23,$E$22*M23+$E$23*(Y23-M23),$E$22*Y23)+($E$24*365.25/12)</f>
        <v>189.99011863424175</v>
      </c>
      <c r="R39" s="56">
        <f t="shared" si="15"/>
        <v>222.63666130904826</v>
      </c>
      <c r="S39" s="56">
        <f t="shared" ref="S39:T39" si="16">IF(M23&lt;Y23,$F$22*M23+$F$23*(Y23-M23),$F$22*Y23)+($F$24*365.25/12)</f>
        <v>213.82220442456915</v>
      </c>
      <c r="T39" s="56">
        <f t="shared" si="16"/>
        <v>251.16022472367428</v>
      </c>
      <c r="W39" s="20" t="s">
        <v>26</v>
      </c>
      <c r="X39" s="20" t="s">
        <v>143</v>
      </c>
      <c r="Y39" s="75">
        <f>SUM(AD39,AD44)</f>
        <v>1452800430.3594003</v>
      </c>
      <c r="Z39" s="75">
        <f>SUM(AE39,AE44)</f>
        <v>1659433953.5665271</v>
      </c>
      <c r="AA39" s="75">
        <f>Y39</f>
        <v>1452800430.3594003</v>
      </c>
      <c r="AB39" s="75">
        <f>AA39</f>
        <v>1452800430.3594003</v>
      </c>
      <c r="AC39" s="21"/>
      <c r="AD39" s="436">
        <v>794834958.93426108</v>
      </c>
      <c r="AE39" s="114">
        <v>893946305.38636506</v>
      </c>
      <c r="AF39" s="114">
        <f>AD39</f>
        <v>794834958.93426108</v>
      </c>
      <c r="AG39" s="437">
        <f t="shared" ref="AG39:AG42" si="17">AF39</f>
        <v>794834958.93426108</v>
      </c>
    </row>
    <row r="40" spans="2:39" ht="15.5">
      <c r="B40" s="20" t="s">
        <v>197</v>
      </c>
      <c r="C40" s="56">
        <f t="shared" ref="C40:D40" si="18">IF(I24&lt;Q24,$C$22*I24+$C$23*(Q24-I24),$C$22*Q24)+($C$24*365.25/12)</f>
        <v>297.127547875</v>
      </c>
      <c r="D40" s="56">
        <f t="shared" si="18"/>
        <v>155.1908895</v>
      </c>
      <c r="E40" s="56">
        <f t="shared" ref="E40:F40" si="19">IF(I24&lt;Q24,$D$22*I24+$D$23*(Q24-I24),$D$22*Q24)+($D$24*365.25/12)</f>
        <v>279.65487492333006</v>
      </c>
      <c r="F40" s="56">
        <f t="shared" si="19"/>
        <v>157.62687216713636</v>
      </c>
      <c r="G40" s="56">
        <f t="shared" ref="G40:H40" si="20">IF(I24&lt;Q24,$E$22*I24+$E$23*(Q24-I24),$E$22*Q24)+($E$24*365.25/12)</f>
        <v>274.55238012206405</v>
      </c>
      <c r="H40" s="56">
        <f t="shared" si="20"/>
        <v>154.9613064063013</v>
      </c>
      <c r="I40" s="56">
        <f t="shared" ref="I40:J40" si="21">IF(I24&lt;Q24, $F$22*I24+$F$23*(Q24-I24), $F$22*Q24)+($F$24*365.25/12)</f>
        <v>310.53650178283476</v>
      </c>
      <c r="J40" s="56">
        <f t="shared" si="21"/>
        <v>173.75957007310078</v>
      </c>
      <c r="K40" s="431"/>
      <c r="L40" s="20" t="s">
        <v>197</v>
      </c>
      <c r="M40" s="56">
        <f t="shared" si="13"/>
        <v>287.75910262500003</v>
      </c>
      <c r="N40" s="56">
        <f t="shared" si="8"/>
        <v>189.14770125000001</v>
      </c>
      <c r="O40" s="56">
        <f t="shared" ref="O40:P40" si="22">IF(M24&lt;Y24,$D$22*M24+$D$23*(Y24-M24),$D$22*Y24)+($D$24*365.25/12)</f>
        <v>271.66007863407816</v>
      </c>
      <c r="P40" s="56">
        <f t="shared" si="22"/>
        <v>186.91577753959049</v>
      </c>
      <c r="Q40" s="56">
        <f t="shared" ref="Q40:R40" si="23">IF(M24&lt;Y24,$E$22*M24+$E$23*(Y24-M24),$E$22*Y24)+($E$24*365.25/12)</f>
        <v>266.7172418687511</v>
      </c>
      <c r="R40" s="56">
        <f t="shared" si="23"/>
        <v>183.66530517984003</v>
      </c>
      <c r="S40" s="56">
        <f t="shared" ref="S40:T40" si="24">IF(M24&lt;Y24,$F$22*M24+$F$23*(Y24-M24),$F$22*Y24)+($F$24*365.25/12)</f>
        <v>301.57541349662381</v>
      </c>
      <c r="T40" s="56">
        <f t="shared" si="24"/>
        <v>206.58848244975351</v>
      </c>
      <c r="W40" s="20" t="s">
        <v>26</v>
      </c>
      <c r="X40" s="20" t="s">
        <v>144</v>
      </c>
      <c r="Y40" s="75">
        <f t="shared" ref="Y40:Z40" si="25">SUM(AD40,AD45)</f>
        <v>2191990574.7972364</v>
      </c>
      <c r="Z40" s="75">
        <f t="shared" si="25"/>
        <v>1937488582.052937</v>
      </c>
      <c r="AA40" s="75">
        <f t="shared" ref="AA40:AA42" si="26">Y40</f>
        <v>2191990574.7972364</v>
      </c>
      <c r="AB40" s="75">
        <f t="shared" ref="AB40:AB42" si="27">AA40</f>
        <v>2191990574.7972364</v>
      </c>
      <c r="AC40" s="21"/>
      <c r="AD40" s="436">
        <v>1096491637.6342962</v>
      </c>
      <c r="AE40" s="114">
        <v>928246068.25713003</v>
      </c>
      <c r="AF40" s="114">
        <f t="shared" ref="AF40:AF42" si="28">AD40</f>
        <v>1096491637.6342962</v>
      </c>
      <c r="AG40" s="437">
        <f t="shared" si="17"/>
        <v>1096491637.6342962</v>
      </c>
    </row>
    <row r="41" spans="2:39" ht="15.5">
      <c r="B41" s="20" t="s">
        <v>198</v>
      </c>
      <c r="C41" s="56">
        <f t="shared" ref="C41:D41" si="29">IF(I25&lt;Q25,$C$22*I25+$C$23*(Q25-I25),$C$22*Q25)+($C$24*365.25/12)</f>
        <v>245.96978125000001</v>
      </c>
      <c r="D41" s="56">
        <f t="shared" si="29"/>
        <v>155.59545100000003</v>
      </c>
      <c r="E41" s="56">
        <f t="shared" ref="E41:F41" si="30">IF(I25&lt;Q25,$D$22*I25+$D$23*(Q25-I25),$D$22*Q25)+($D$24*365.25/12)</f>
        <v>235.67118946865665</v>
      </c>
      <c r="F41" s="56">
        <f t="shared" si="30"/>
        <v>157.96978180187475</v>
      </c>
      <c r="G41" s="56">
        <f t="shared" ref="G41:H41" si="31">IF(I25&lt;Q25,$E$22*I25+$E$23*(Q25-I25),$E$22*Q25)+($E$24*365.25/12)</f>
        <v>231.44705961616245</v>
      </c>
      <c r="H41" s="56">
        <f t="shared" si="31"/>
        <v>155.29736805182196</v>
      </c>
      <c r="I41" s="56">
        <f t="shared" ref="I41:J41" si="32">IF(I25&lt;Q25, $F$22*I25+$F$23*(Q25-I25), $F$22*Q25)+($F$24*365.25/12)</f>
        <v>261.23672299520774</v>
      </c>
      <c r="J41" s="56">
        <f t="shared" si="32"/>
        <v>174.14392552130826</v>
      </c>
      <c r="K41" s="431"/>
      <c r="L41" s="20" t="s">
        <v>198</v>
      </c>
      <c r="M41" s="56">
        <f t="shared" si="13"/>
        <v>243.62427025</v>
      </c>
      <c r="N41" s="56">
        <f t="shared" si="8"/>
        <v>184.27592999999999</v>
      </c>
      <c r="O41" s="56">
        <f t="shared" ref="O41:P41" si="33">IF(M25&lt;Y25,$D$22*M25+$D$23*(Y25-M25),$D$22*Y25)+($D$24*365.25/12)</f>
        <v>233.71956611484021</v>
      </c>
      <c r="P41" s="56">
        <f t="shared" si="33"/>
        <v>182.72351070123645</v>
      </c>
      <c r="Q41" s="56">
        <f t="shared" ref="Q41:R41" si="34">IF(M25&lt;Y25,$E$22*M25+$E$23*(Y25-M25),$E$22*Y25)+($E$24*365.25/12)</f>
        <v>229.53441065772643</v>
      </c>
      <c r="R41" s="56">
        <f t="shared" si="34"/>
        <v>179.55675893489791</v>
      </c>
      <c r="S41" s="56">
        <f t="shared" ref="S41:T41" si="35">IF(M25&lt;Y25,$F$22*M25+$F$23*(Y25-M25),$F$22*Y25)+($F$24*365.25/12)</f>
        <v>259.049216454423</v>
      </c>
      <c r="T41" s="56">
        <f t="shared" si="35"/>
        <v>201.88951678525623</v>
      </c>
      <c r="W41" s="20" t="s">
        <v>27</v>
      </c>
      <c r="X41" s="20" t="s">
        <v>143</v>
      </c>
      <c r="Y41" s="75">
        <f>SUM(AD41,AD46)</f>
        <v>1236691652.402801</v>
      </c>
      <c r="Z41" s="75">
        <f>SUM(AE41,AE46)</f>
        <v>1200476146.4625549</v>
      </c>
      <c r="AA41" s="75">
        <f t="shared" si="26"/>
        <v>1236691652.402801</v>
      </c>
      <c r="AB41" s="75">
        <f t="shared" si="27"/>
        <v>1236691652.402801</v>
      </c>
      <c r="AC41" s="21"/>
      <c r="AD41" s="436">
        <v>610276988.03953397</v>
      </c>
      <c r="AE41" s="114">
        <v>571964704.96252704</v>
      </c>
      <c r="AF41" s="114">
        <f t="shared" si="28"/>
        <v>610276988.03953397</v>
      </c>
      <c r="AG41" s="437">
        <f t="shared" si="17"/>
        <v>610276988.03953397</v>
      </c>
    </row>
    <row r="42" spans="2:39" ht="16" thickBot="1">
      <c r="B42" s="20" t="s">
        <v>199</v>
      </c>
      <c r="C42" s="56">
        <f t="shared" ref="C42:D42" si="36">IF(I26&lt;Q26,$C$22*I26+$C$23*(Q26-I26),$C$22*Q26)+($C$24*365.25/12)</f>
        <v>107.645616875</v>
      </c>
      <c r="D42" s="56">
        <f t="shared" si="36"/>
        <v>122.80712187500001</v>
      </c>
      <c r="E42" s="56">
        <f t="shared" ref="E42:F42" si="37">IF(I26&lt;Q26,$D$22*I26+$D$23*(Q26-I26),$D$22*Q26)+($D$24*365.25/12)</f>
        <v>116.71818435393651</v>
      </c>
      <c r="F42" s="56">
        <f t="shared" si="37"/>
        <v>129.75796375937182</v>
      </c>
      <c r="G42" s="56">
        <f t="shared" ref="G42:H42" si="38">IF(I26&lt;Q26,$E$22*I26+$E$23*(Q26-I26),$E$22*Q26)+($E$24*365.25/12)</f>
        <v>114.8695750873997</v>
      </c>
      <c r="H42" s="56">
        <f t="shared" si="38"/>
        <v>127.6489469109998</v>
      </c>
      <c r="I42" s="56">
        <f t="shared" ref="I42:J42" si="39">IF(I26&lt;Q26, $F$22*I26+$F$23*(Q26-I26), $F$22*Q26)+($F$24*365.25/12)</f>
        <v>127.90644887976174</v>
      </c>
      <c r="J42" s="56">
        <f t="shared" si="39"/>
        <v>142.52228276184744</v>
      </c>
      <c r="K42" s="431"/>
      <c r="L42" s="20" t="s">
        <v>199</v>
      </c>
      <c r="M42" s="56">
        <f t="shared" si="13"/>
        <v>107.55780112500001</v>
      </c>
      <c r="N42" s="56">
        <f t="shared" si="8"/>
        <v>130.733745</v>
      </c>
      <c r="O42" s="56">
        <f t="shared" ref="O42:P42" si="40">IF(M26&lt;Y26,$D$22*M26+$D$23*(Y26-M26),$D$22*Y26)+($D$24*365.25/12)</f>
        <v>116.65611829111242</v>
      </c>
      <c r="P42" s="56">
        <f t="shared" si="40"/>
        <v>136.64927709913181</v>
      </c>
      <c r="Q42" s="56">
        <f t="shared" ref="Q42:R42" si="41">IF(M26&lt;Y26,$E$22*M26+$E$23*(Y26-M26),$E$22*Y26)+($E$24*365.25/12)</f>
        <v>114.80874849902004</v>
      </c>
      <c r="R42" s="56">
        <f t="shared" si="41"/>
        <v>134.40263903902922</v>
      </c>
      <c r="S42" s="56">
        <f t="shared" ref="S42:T42" si="42">IF(M26&lt;Y26,$F$22*M26+$F$23*(Y26-M26),$F$22*Y26)+($F$24*365.25/12)</f>
        <v>127.83688119493006</v>
      </c>
      <c r="T42" s="56">
        <f t="shared" si="42"/>
        <v>150.2465155016551</v>
      </c>
      <c r="W42" s="20" t="s">
        <v>27</v>
      </c>
      <c r="X42" s="20" t="s">
        <v>144</v>
      </c>
      <c r="Y42" s="75">
        <f>SUM(AD42,AD47)</f>
        <v>1347324889.4706311</v>
      </c>
      <c r="Z42" s="75">
        <f>SUM(AE42,AE47)</f>
        <v>1163301957.726511</v>
      </c>
      <c r="AA42" s="75">
        <f t="shared" si="26"/>
        <v>1347324889.4706311</v>
      </c>
      <c r="AB42" s="75">
        <f t="shared" si="27"/>
        <v>1347324889.4706311</v>
      </c>
      <c r="AC42" s="21"/>
      <c r="AD42" s="436">
        <v>484665397.85843801</v>
      </c>
      <c r="AE42" s="114">
        <v>394223604.33712298</v>
      </c>
      <c r="AF42" s="114">
        <f t="shared" si="28"/>
        <v>484665397.85843801</v>
      </c>
      <c r="AG42" s="437">
        <f t="shared" si="17"/>
        <v>484665397.85843801</v>
      </c>
    </row>
    <row r="43" spans="2:39" ht="15" customHeight="1" thickBot="1">
      <c r="B43" s="20" t="s">
        <v>200</v>
      </c>
      <c r="C43" s="56">
        <f t="shared" ref="C43:D43" si="43">IF(I27&lt;Q27,$C$22*I27+$C$23*(Q27-I27),$C$22*Q27)+($C$24*365.25/12)</f>
        <v>128.06046362500001</v>
      </c>
      <c r="D43" s="56">
        <f t="shared" si="43"/>
        <v>145.11816862500001</v>
      </c>
      <c r="E43" s="56">
        <f t="shared" ref="E43:F43" si="44">IF(I27&lt;Q27,$D$22*I27+$D$23*(Q27-I27),$D$22*Q27)+($D$24*365.25/12)</f>
        <v>134.25955740276083</v>
      </c>
      <c r="F43" s="56">
        <f t="shared" si="44"/>
        <v>148.92740054106537</v>
      </c>
      <c r="G43" s="56">
        <f t="shared" ref="G43:H43" si="45">IF(I27&lt;Q27,$E$22*I27+$E$23*(Q27-I27),$E$22*Q27)+($E$24*365.25/12)</f>
        <v>132.06064262907645</v>
      </c>
      <c r="H43" s="56">
        <f t="shared" si="45"/>
        <v>146.43556535487832</v>
      </c>
      <c r="I43" s="56">
        <f t="shared" ref="I43:J43" si="46">IF(I27&lt;Q27, $F$22*I27+$F$23*(Q27-I27), $F$22*Q27)+($F$24*365.25/12)</f>
        <v>147.56796205217358</v>
      </c>
      <c r="J43" s="56">
        <f t="shared" si="46"/>
        <v>164.00863578232804</v>
      </c>
      <c r="K43" s="431"/>
      <c r="L43" s="20" t="s">
        <v>200</v>
      </c>
      <c r="M43" s="56">
        <f t="shared" si="13"/>
        <v>158.50923950000001</v>
      </c>
      <c r="N43" s="56">
        <f t="shared" si="8"/>
        <v>189.33689625</v>
      </c>
      <c r="O43" s="56">
        <f t="shared" ref="O43:P43" si="47">IF(M27&lt;Y27,$D$22*M27+$D$23*(Y27-M27),$D$22*Y27)+($D$24*365.25/12)</f>
        <v>160.47598369965746</v>
      </c>
      <c r="P43" s="56">
        <f t="shared" si="47"/>
        <v>187.07858401874989</v>
      </c>
      <c r="Q43" s="56">
        <f t="shared" ref="Q43:R43" si="48">IF(M27&lt;Y27,$E$22*M27+$E$23*(Y27-M27),$E$22*Y27)+($E$24*365.25/12)</f>
        <v>157.75352048515438</v>
      </c>
      <c r="R43" s="56">
        <f t="shared" si="48"/>
        <v>183.82486037381838</v>
      </c>
      <c r="S43" s="56">
        <f>IF(M27&lt;Y27,$F$22*M27+$F$23*(Y27-M27),$F$22*Y27)+($F$24*365.25/12)</f>
        <v>176.9530398072211</v>
      </c>
      <c r="T43" s="56">
        <f t="shared" ref="T43" si="49">IF(N27&lt;Z27,$F$22*N27+$F$23*(Z27-N27),$F$22*Z27)+($F$24*365.25/12)</f>
        <v>206.77096655322913</v>
      </c>
      <c r="AC43" s="21"/>
      <c r="AD43" s="554" t="s">
        <v>419</v>
      </c>
      <c r="AE43" s="555"/>
      <c r="AF43" s="555"/>
      <c r="AG43" s="556"/>
    </row>
    <row r="44" spans="2:39" ht="15" customHeight="1">
      <c r="B44" s="20" t="s">
        <v>201</v>
      </c>
      <c r="C44" s="56">
        <f t="shared" ref="C44:D44" si="50">IF(I28&lt;Q28,$C$22*I28+$C$23*(Q28-I28),$C$22*Q28)+($C$24*365.25/12)</f>
        <v>326.65464600000001</v>
      </c>
      <c r="D44" s="56">
        <f t="shared" si="50"/>
        <v>139.338774</v>
      </c>
      <c r="E44" s="56">
        <f t="shared" ref="E44:F44" si="51">IF(I28&lt;Q28,$D$22*I28+$D$23*(Q28-I28),$D$22*Q28)+($D$24*365.25/12)</f>
        <v>305.0399595756557</v>
      </c>
      <c r="F44" s="56">
        <f t="shared" si="51"/>
        <v>144.00302747552857</v>
      </c>
      <c r="G44" s="56">
        <f t="shared" ref="G44:H44" si="52">IF(I28&lt;Q28,$E$22*I28+$E$23*(Q28-I28),$E$22*Q28)+($E$24*365.25/12)</f>
        <v>299.4305184294048</v>
      </c>
      <c r="H44" s="56">
        <f t="shared" si="52"/>
        <v>141.60953322304752</v>
      </c>
      <c r="I44" s="56">
        <f t="shared" ref="I44:J44" si="53">IF(I28&lt;Q28, $F$22*I28+$F$23*(Q28-I28), $F$22*Q28)+($F$24*365.25/12)</f>
        <v>338.9897576873343</v>
      </c>
      <c r="J44" s="56">
        <f t="shared" si="53"/>
        <v>158.48907778510437</v>
      </c>
      <c r="K44" s="431"/>
      <c r="L44" s="20" t="s">
        <v>201</v>
      </c>
      <c r="M44" s="56">
        <f t="shared" si="13"/>
        <v>312.24132450000002</v>
      </c>
      <c r="N44" s="56">
        <f t="shared" si="8"/>
        <v>155.70748499999999</v>
      </c>
      <c r="O44" s="56">
        <f t="shared" ref="O44:P44" si="54">IF(M28&lt;Y28,$D$22*M28+$D$23*(Y28-M28),$D$22*Y28)+($D$24*365.25/12)</f>
        <v>292.73588853845149</v>
      </c>
      <c r="P44" s="56">
        <f t="shared" si="54"/>
        <v>158.13973234817004</v>
      </c>
      <c r="Q44" s="56">
        <f t="shared" ref="Q44:R44" si="55">IF(M28&lt;Y28,$E$22*M28+$E$23*(Y28-M28),$E$22*Y28)+($E$24*365.25/12)</f>
        <v>287.3721626981046</v>
      </c>
      <c r="R44" s="56">
        <f t="shared" si="55"/>
        <v>155.4639246441694</v>
      </c>
      <c r="S44" s="56">
        <f t="shared" ref="S44:T44" si="56">IF(M28&lt;Y28,$F$22*M28+$F$23*(Y28-M28),$F$22*Y28)+($F$24*365.25/12)</f>
        <v>325.19855365222628</v>
      </c>
      <c r="T44" s="56">
        <f t="shared" si="56"/>
        <v>174.33441716043725</v>
      </c>
      <c r="AC44" s="21"/>
      <c r="AD44" s="436">
        <v>657965471.42513907</v>
      </c>
      <c r="AE44" s="114">
        <v>765487648.18016207</v>
      </c>
      <c r="AF44" s="114">
        <f>AD44</f>
        <v>657965471.42513907</v>
      </c>
      <c r="AG44" s="437">
        <f t="shared" ref="AG44:AG47" si="57">AF44</f>
        <v>657965471.42513907</v>
      </c>
    </row>
    <row r="45" spans="2:39" ht="15" customHeight="1">
      <c r="B45" s="20" t="s">
        <v>202</v>
      </c>
      <c r="C45" s="56">
        <f t="shared" ref="C45:D45" si="58">IF(I29&lt;Q29,$C$22*I29+$C$23*(Q29-I29),$C$22*Q29)+($C$24*365.25/12)</f>
        <v>167.60400525</v>
      </c>
      <c r="D45" s="56">
        <f t="shared" si="58"/>
        <v>161.673264125</v>
      </c>
      <c r="E45" s="56">
        <f t="shared" ref="E45:F45" si="59">IF(I29&lt;Q29,$D$22*I29+$D$23*(Q29-I29),$D$22*Q29)+($D$24*365.25/12)</f>
        <v>168.27135249361035</v>
      </c>
      <c r="F45" s="56">
        <f t="shared" si="59"/>
        <v>163.17703867498068</v>
      </c>
      <c r="G45" s="56">
        <f t="shared" ref="G45:H45" si="60">IF(I29&lt;Q29,$E$22*I29+$E$23*(Q29-I29),$E$22*Q29)+($E$24*365.25/12)</f>
        <v>165.39321385899234</v>
      </c>
      <c r="H45" s="56">
        <f t="shared" si="60"/>
        <v>160.40063473244388</v>
      </c>
      <c r="I45" s="56">
        <f t="shared" ref="I45:J45" si="61">IF(I29&lt;Q29, $F$22*I29+$F$23*(Q29-I29), $F$22*Q29)+($F$24*365.25/12)</f>
        <v>185.69059677037941</v>
      </c>
      <c r="J45" s="56">
        <f t="shared" si="61"/>
        <v>179.98055811088577</v>
      </c>
      <c r="K45" s="431"/>
      <c r="L45" s="20" t="s">
        <v>202</v>
      </c>
      <c r="M45" s="56">
        <f t="shared" si="13"/>
        <v>165.46352687500001</v>
      </c>
      <c r="N45" s="56">
        <f t="shared" si="8"/>
        <v>174.60479175</v>
      </c>
      <c r="O45" s="56">
        <f t="shared" ref="O45:P45" si="62">IF(M29&lt;Y29,$D$22*M29+$D$23*(Y29-M29),$D$22*Y29)+($D$24*365.25/12)</f>
        <v>166.40466729141079</v>
      </c>
      <c r="P45" s="56">
        <f t="shared" si="62"/>
        <v>174.38883290579881</v>
      </c>
      <c r="Q45" s="56">
        <f t="shared" ref="Q45:R45" si="63">IF(M29&lt;Y29,$E$22*M29+$E$23*(Y29-M29),$E$22*Y29)+($E$24*365.25/12)</f>
        <v>163.56380681652527</v>
      </c>
      <c r="R45" s="56">
        <f t="shared" si="63"/>
        <v>171.3885266921497</v>
      </c>
      <c r="S45" s="56">
        <f t="shared" ref="S45:T45" si="64">IF(M29&lt;Y29,$F$22*M29+$F$23*(Y29-M29),$F$22*Y29)+($F$24*365.25/12)</f>
        <v>183.59829444093023</v>
      </c>
      <c r="T45" s="56">
        <f t="shared" si="64"/>
        <v>192.54746717450533</v>
      </c>
      <c r="W45" s="20" t="s">
        <v>634</v>
      </c>
      <c r="Y45" s="397">
        <f>SUM(AD70,AD75)</f>
        <v>429782.40072200005</v>
      </c>
      <c r="Z45" s="397">
        <f t="shared" ref="Y45:AB46" si="65">SUM(AE70,AE75)</f>
        <v>526267.91020899999</v>
      </c>
      <c r="AA45" s="397">
        <f t="shared" si="65"/>
        <v>429782.40072200005</v>
      </c>
      <c r="AB45" s="397">
        <f t="shared" si="65"/>
        <v>429782.40072200005</v>
      </c>
      <c r="AC45" s="21"/>
      <c r="AD45" s="436">
        <v>1095498937.16294</v>
      </c>
      <c r="AE45" s="114">
        <v>1009242513.7958069</v>
      </c>
      <c r="AF45" s="114">
        <f t="shared" ref="AF45:AF47" si="66">AD45</f>
        <v>1095498937.16294</v>
      </c>
      <c r="AG45" s="437">
        <f t="shared" si="57"/>
        <v>1095498937.16294</v>
      </c>
    </row>
    <row r="46" spans="2:39" ht="15.5">
      <c r="B46" s="20" t="s">
        <v>203</v>
      </c>
      <c r="C46" s="56">
        <f t="shared" ref="C46:D46" si="67">IF(I30&lt;Q30,$C$22*I30+$C$23*(Q30-I30),$C$22*Q30)+($C$24*365.25/12)</f>
        <v>134.39706187499999</v>
      </c>
      <c r="D46" s="56">
        <f t="shared" si="67"/>
        <v>119.05095375000001</v>
      </c>
      <c r="E46" s="56">
        <f t="shared" ref="E46:F46" si="68">IF(I30&lt;Q30,$D$22*I30+$D$23*(Q30-I30),$D$22*Q30)+($D$24*365.25/12)</f>
        <v>139.77566275064046</v>
      </c>
      <c r="F46" s="56">
        <f t="shared" si="68"/>
        <v>126.59597701104008</v>
      </c>
      <c r="G46" s="56">
        <f t="shared" ref="G46:H46" si="69">IF(I30&lt;Q30,$E$22*I30+$E$23*(Q30-I30),$E$22*Q30)+($E$24*365.25/12)</f>
        <v>137.46659000494387</v>
      </c>
      <c r="H46" s="56">
        <f t="shared" si="69"/>
        <v>124.55010581086705</v>
      </c>
      <c r="I46" s="56">
        <f t="shared" ref="I46:J46" si="70">IF(I30&lt;Q30, $F$22*I30+$F$23*(Q30-I30), $F$22*Q30)+($F$24*365.25/12)</f>
        <v>153.75077212387527</v>
      </c>
      <c r="J46" s="56">
        <f t="shared" si="70"/>
        <v>138.97812211203541</v>
      </c>
      <c r="K46" s="431"/>
      <c r="L46" s="20" t="s">
        <v>203</v>
      </c>
      <c r="M46" s="56">
        <f t="shared" si="13"/>
        <v>132.15270749999999</v>
      </c>
      <c r="N46" s="56">
        <f t="shared" si="8"/>
        <v>129.55127625</v>
      </c>
      <c r="O46" s="56">
        <f t="shared" ref="O46:P46" si="71">IF(M30&lt;Y30,$D$22*M30+$D$23*(Y30-M30),$D$22*Y30)+($D$24*365.25/12)</f>
        <v>137.87032569282718</v>
      </c>
      <c r="P46" s="56">
        <f t="shared" si="71"/>
        <v>135.63173660438568</v>
      </c>
      <c r="Q46" s="56">
        <f t="shared" ref="Q46:R46" si="72">IF(M30&lt;Y30,$E$22*M30+$E$23*(Y30-M30),$E$22*Y30)+($E$24*365.25/12)</f>
        <v>135.59930299386673</v>
      </c>
      <c r="R46" s="56">
        <f t="shared" si="72"/>
        <v>133.40541907666463</v>
      </c>
      <c r="S46" s="56">
        <f t="shared" ref="S46" si="73">IF(M30&lt;Y30,$F$22*M30+$F$23*(Y30-M30),$F$22*Y30)+($F$24*365.25/12)</f>
        <v>151.61514627772226</v>
      </c>
      <c r="T46" s="56">
        <f>IF(N30&lt;Z30,$F$22*N30+$F$23*(Z30-N30),$F$22*Z30)+($F$24*365.25/12)</f>
        <v>149.10598985493243</v>
      </c>
      <c r="W46" s="20" t="s">
        <v>635</v>
      </c>
      <c r="Y46" s="397">
        <f t="shared" si="65"/>
        <v>12894039.693124</v>
      </c>
      <c r="Z46" s="397">
        <f t="shared" si="65"/>
        <v>16349017.563563</v>
      </c>
      <c r="AA46" s="397">
        <f t="shared" si="65"/>
        <v>12894039.693124</v>
      </c>
      <c r="AB46" s="397">
        <f t="shared" si="65"/>
        <v>12894039.693124</v>
      </c>
      <c r="AC46" s="21"/>
      <c r="AD46" s="436">
        <v>626414664.36326694</v>
      </c>
      <c r="AE46" s="114">
        <v>628511441.50002801</v>
      </c>
      <c r="AF46" s="114">
        <f t="shared" si="66"/>
        <v>626414664.36326694</v>
      </c>
      <c r="AG46" s="437">
        <f t="shared" si="57"/>
        <v>626414664.36326694</v>
      </c>
      <c r="AJ46" s="396"/>
    </row>
    <row r="47" spans="2:39" ht="16" thickBot="1">
      <c r="B47" s="20" t="s">
        <v>204</v>
      </c>
      <c r="C47" s="56">
        <f t="shared" ref="C47:D47" si="74">IF(I31&lt;Q31,$C$22*I31+$C$23*(Q31-I31),$C$22*Q31)+($C$24*365.25/12)</f>
        <v>76.564645124999998</v>
      </c>
      <c r="D47" s="56">
        <f t="shared" si="74"/>
        <v>64.751988749999995</v>
      </c>
      <c r="E47" s="56">
        <f t="shared" ref="E47:F47" si="75">IF(I31&lt;Q31,$D$22*I31+$D$23*(Q31-I31),$D$22*Q31)+($D$24*365.25/12)</f>
        <v>90.01895280772284</v>
      </c>
      <c r="F47" s="56">
        <f t="shared" si="75"/>
        <v>79.870517492297921</v>
      </c>
      <c r="G47" s="56">
        <f t="shared" ref="G47:H47" si="76">IF(I31&lt;Q31,$E$22*I31+$E$23*(Q31-I31),$E$22*Q31)+($E$24*365.25/12)</f>
        <v>88.703533720838109</v>
      </c>
      <c r="H47" s="56">
        <f t="shared" si="76"/>
        <v>78.757765139085024</v>
      </c>
      <c r="I47" s="56">
        <f t="shared" ref="I47:J47" si="77">IF(I31&lt;Q31, $F$22*I31+$F$23*(Q31-I31), $F$22*Q31)+($F$24*365.25/12)</f>
        <v>97.980211561963074</v>
      </c>
      <c r="J47" s="56">
        <f t="shared" si="77"/>
        <v>86.605184414531763</v>
      </c>
      <c r="K47" s="431"/>
      <c r="L47" s="20" t="s">
        <v>204</v>
      </c>
      <c r="M47" s="56">
        <f t="shared" si="13"/>
        <v>77.198136625000004</v>
      </c>
      <c r="N47" s="56">
        <f t="shared" si="8"/>
        <v>63.758715000000002</v>
      </c>
      <c r="O47" s="56">
        <f>IF(M31&lt;Y31,$D$22*M31+$D$23*(Y31-M31),$D$22*Y31)+($D$24*365.25/12)</f>
        <v>90.580639951551447</v>
      </c>
      <c r="P47" s="56">
        <f t="shared" ref="P47" si="78">IF(N31&lt;Z31,$D$22*N31+$D$23*(Z31-N31),$D$22*Z31)+($D$24*365.25/12)</f>
        <v>79.015783476711178</v>
      </c>
      <c r="Q47" s="56">
        <f t="shared" ref="Q47:R47" si="79">IF(M31&lt;Y31,$E$22*M31+$E$23*(Y31-M31),$E$22*Y31)+($E$24*365.25/12)</f>
        <v>89.254003835120088</v>
      </c>
      <c r="R47" s="56">
        <f t="shared" si="79"/>
        <v>77.920100370698762</v>
      </c>
      <c r="S47" s="56">
        <f t="shared" ref="S47:T47" si="80">IF(M31&lt;Y31,$F$22*M31+$F$23*(Y31-M31),$F$22*Y31)+($F$24*365.25/12)</f>
        <v>98.609787088714711</v>
      </c>
      <c r="T47" s="56">
        <f t="shared" si="80"/>
        <v>85.647142871284743</v>
      </c>
      <c r="AC47" s="21"/>
      <c r="AD47" s="438">
        <v>862659491.61219311</v>
      </c>
      <c r="AE47" s="114">
        <v>769078353.38938808</v>
      </c>
      <c r="AF47" s="114">
        <f t="shared" si="66"/>
        <v>862659491.61219311</v>
      </c>
      <c r="AG47" s="439">
        <f t="shared" si="57"/>
        <v>862659491.61219311</v>
      </c>
      <c r="AM47" s="440"/>
    </row>
    <row r="48" spans="2:39" s="440" customFormat="1" ht="15" thickBot="1">
      <c r="B48" s="20" t="s">
        <v>194</v>
      </c>
      <c r="C48" s="78">
        <f t="shared" ref="C48:J48" si="81">SUMPRODUCT(C38:C47,$U$22:$U$31)</f>
        <v>253.0318413746771</v>
      </c>
      <c r="D48" s="78">
        <f t="shared" si="81"/>
        <v>151.31337681086688</v>
      </c>
      <c r="E48" s="78">
        <f t="shared" si="81"/>
        <v>241.74091860757559</v>
      </c>
      <c r="F48" s="78">
        <f t="shared" si="81"/>
        <v>154.29029068644891</v>
      </c>
      <c r="G48" s="78">
        <f t="shared" si="81"/>
        <v>237.39557478064853</v>
      </c>
      <c r="H48" s="78">
        <f t="shared" si="81"/>
        <v>151.69135727329149</v>
      </c>
      <c r="I48" s="78">
        <f t="shared" si="81"/>
        <v>268.04007066278541</v>
      </c>
      <c r="J48" s="78">
        <f t="shared" si="81"/>
        <v>170.01971227800317</v>
      </c>
      <c r="L48" s="20" t="s">
        <v>194</v>
      </c>
      <c r="M48" s="78">
        <f t="shared" ref="M48:T48" si="82">SUMPRODUCT(M38:M47,$AC$22:$AC$31)</f>
        <v>234.81223561170768</v>
      </c>
      <c r="N48" s="78">
        <f t="shared" si="82"/>
        <v>176.6403878255326</v>
      </c>
      <c r="O48" s="78">
        <f t="shared" si="82"/>
        <v>226.12697867475751</v>
      </c>
      <c r="P48" s="78">
        <f t="shared" si="82"/>
        <v>176.15235372568586</v>
      </c>
      <c r="Q48" s="78">
        <f t="shared" si="82"/>
        <v>222.09344904455915</v>
      </c>
      <c r="R48" s="78">
        <f t="shared" si="82"/>
        <v>173.11682957023396</v>
      </c>
      <c r="S48" s="78">
        <f t="shared" si="82"/>
        <v>250.53895003740047</v>
      </c>
      <c r="T48" s="78">
        <f t="shared" si="82"/>
        <v>194.52413614639954</v>
      </c>
      <c r="W48" s="20"/>
      <c r="X48" s="20"/>
      <c r="Y48" s="20"/>
      <c r="Z48" s="20"/>
      <c r="AA48" s="20"/>
      <c r="AB48" s="20"/>
      <c r="AC48" s="21"/>
      <c r="AD48" s="554" t="s">
        <v>420</v>
      </c>
      <c r="AE48" s="555"/>
      <c r="AF48" s="555"/>
      <c r="AG48" s="556"/>
    </row>
    <row r="49" spans="2:33" ht="15" thickBot="1">
      <c r="B49" s="406"/>
      <c r="C49" s="56"/>
      <c r="D49" s="56"/>
      <c r="E49" s="79"/>
      <c r="F49" s="441"/>
      <c r="G49" s="442"/>
      <c r="H49" s="443"/>
      <c r="I49" s="443"/>
      <c r="J49" s="443"/>
      <c r="L49" s="406"/>
      <c r="M49" s="56"/>
      <c r="N49" s="56"/>
      <c r="O49" s="79"/>
      <c r="P49" s="441"/>
      <c r="Q49" s="442"/>
      <c r="R49" s="443"/>
      <c r="S49" s="443"/>
      <c r="T49" s="443"/>
      <c r="W49" s="440"/>
      <c r="X49" s="440"/>
      <c r="Y49" s="440"/>
      <c r="Z49" s="440"/>
      <c r="AA49" s="440"/>
      <c r="AB49" s="440"/>
      <c r="AC49" s="21"/>
      <c r="AD49" s="433">
        <f>AD38</f>
        <v>2026</v>
      </c>
      <c r="AE49" s="434">
        <f>AD49+1</f>
        <v>2027</v>
      </c>
      <c r="AF49" s="434">
        <f>AE49+1</f>
        <v>2028</v>
      </c>
      <c r="AG49" s="435">
        <f>AF49+1</f>
        <v>2029</v>
      </c>
    </row>
    <row r="50" spans="2:33" ht="15.5">
      <c r="B50" s="406"/>
      <c r="C50" s="56"/>
      <c r="D50" s="56"/>
      <c r="E50" s="79"/>
      <c r="F50" s="56"/>
      <c r="G50" s="96"/>
      <c r="H50" s="443"/>
      <c r="I50" s="443"/>
      <c r="J50" s="443"/>
      <c r="L50" s="406"/>
      <c r="M50" s="56"/>
      <c r="N50" s="56"/>
      <c r="O50" s="79"/>
      <c r="P50" s="56"/>
      <c r="Q50" s="96"/>
      <c r="R50" s="443"/>
      <c r="S50" s="443"/>
      <c r="T50" s="443"/>
      <c r="W50" s="20" t="s">
        <v>210</v>
      </c>
      <c r="Y50" s="20">
        <f>Y38</f>
        <v>2026</v>
      </c>
      <c r="Z50" s="20">
        <f>Z38</f>
        <v>2027</v>
      </c>
      <c r="AA50" s="20">
        <f>AA38</f>
        <v>2028</v>
      </c>
      <c r="AB50" s="20">
        <f>AB38</f>
        <v>2029</v>
      </c>
      <c r="AC50" s="21"/>
      <c r="AD50" s="436">
        <v>659447431.55494094</v>
      </c>
      <c r="AE50" s="114">
        <v>672979279.84568608</v>
      </c>
      <c r="AF50" s="114">
        <f>AD50</f>
        <v>659447431.55494094</v>
      </c>
      <c r="AG50" s="437">
        <f t="shared" ref="AG50:AG53" si="83">AF50</f>
        <v>659447431.55494094</v>
      </c>
    </row>
    <row r="51" spans="2:33" ht="15.5">
      <c r="B51" s="406"/>
      <c r="C51" s="549" t="s">
        <v>239</v>
      </c>
      <c r="D51" s="549"/>
      <c r="E51" s="549"/>
      <c r="F51" s="549"/>
      <c r="G51" s="549"/>
      <c r="H51" s="549"/>
      <c r="I51" s="549"/>
      <c r="J51" s="549"/>
      <c r="L51" s="406"/>
      <c r="M51" s="549" t="s">
        <v>245</v>
      </c>
      <c r="N51" s="549"/>
      <c r="O51" s="549"/>
      <c r="P51" s="549"/>
      <c r="Q51" s="549"/>
      <c r="R51" s="549"/>
      <c r="S51" s="549"/>
      <c r="T51" s="549"/>
      <c r="W51" s="20" t="s">
        <v>26</v>
      </c>
      <c r="X51" s="20" t="s">
        <v>143</v>
      </c>
      <c r="Y51" s="75">
        <f t="shared" ref="Y51:Z54" si="84">SUM(AD50,AD55)</f>
        <v>910964982.79669785</v>
      </c>
      <c r="Z51" s="75">
        <f t="shared" si="84"/>
        <v>984900590.29698014</v>
      </c>
      <c r="AA51" s="75">
        <f>Y51</f>
        <v>910964982.79669785</v>
      </c>
      <c r="AB51" s="75">
        <f>AA51</f>
        <v>910964982.79669785</v>
      </c>
      <c r="AC51" s="21"/>
      <c r="AD51" s="436">
        <v>1237511192.5295119</v>
      </c>
      <c r="AE51" s="114">
        <v>1118464742.7457731</v>
      </c>
      <c r="AF51" s="114">
        <f t="shared" ref="AF51:AF53" si="85">AD51</f>
        <v>1237511192.5295119</v>
      </c>
      <c r="AG51" s="437">
        <f t="shared" si="83"/>
        <v>1237511192.5295119</v>
      </c>
    </row>
    <row r="52" spans="2:33" ht="15.5">
      <c r="B52" s="406"/>
      <c r="C52" s="550">
        <f>$C$27</f>
        <v>46023</v>
      </c>
      <c r="D52" s="551"/>
      <c r="E52" s="550">
        <f>$D$27</f>
        <v>46082</v>
      </c>
      <c r="F52" s="551"/>
      <c r="G52" s="552" t="str">
        <f>$E$21</f>
        <v>Authorized</v>
      </c>
      <c r="H52" s="552"/>
      <c r="I52" s="553" t="str">
        <f>$F$21</f>
        <v>w/Pending</v>
      </c>
      <c r="J52" s="552"/>
      <c r="L52" s="406"/>
      <c r="M52" s="550">
        <f>$C$27</f>
        <v>46023</v>
      </c>
      <c r="N52" s="551"/>
      <c r="O52" s="550">
        <f>$D$27</f>
        <v>46082</v>
      </c>
      <c r="P52" s="551"/>
      <c r="Q52" s="552" t="str">
        <f>$E$21</f>
        <v>Authorized</v>
      </c>
      <c r="R52" s="552"/>
      <c r="S52" s="553" t="str">
        <f>$F$21</f>
        <v>w/Pending</v>
      </c>
      <c r="T52" s="552"/>
      <c r="W52" s="20" t="s">
        <v>26</v>
      </c>
      <c r="X52" s="20" t="s">
        <v>144</v>
      </c>
      <c r="Y52" s="75">
        <f t="shared" si="84"/>
        <v>1698591264.0983658</v>
      </c>
      <c r="Z52" s="75">
        <f t="shared" si="84"/>
        <v>1631440436.625447</v>
      </c>
      <c r="AA52" s="75">
        <f t="shared" ref="AA52:AA54" si="86">Y52</f>
        <v>1698591264.0983658</v>
      </c>
      <c r="AB52" s="75">
        <f t="shared" ref="AB52:AB54" si="87">AA52</f>
        <v>1698591264.0983658</v>
      </c>
      <c r="AC52" s="21"/>
      <c r="AD52" s="436">
        <v>481804702.37536198</v>
      </c>
      <c r="AE52" s="114">
        <v>422942893.22398198</v>
      </c>
      <c r="AF52" s="114">
        <f t="shared" si="85"/>
        <v>481804702.37536198</v>
      </c>
      <c r="AG52" s="437">
        <f t="shared" si="83"/>
        <v>481804702.37536198</v>
      </c>
    </row>
    <row r="53" spans="2:33" ht="16" thickBot="1">
      <c r="B53" s="406"/>
      <c r="C53" s="56" t="s">
        <v>143</v>
      </c>
      <c r="D53" s="56" t="s">
        <v>144</v>
      </c>
      <c r="E53" s="56" t="s">
        <v>143</v>
      </c>
      <c r="F53" s="56" t="s">
        <v>144</v>
      </c>
      <c r="G53" s="56" t="s">
        <v>143</v>
      </c>
      <c r="H53" s="56" t="s">
        <v>144</v>
      </c>
      <c r="I53" s="56" t="s">
        <v>143</v>
      </c>
      <c r="J53" s="56" t="s">
        <v>144</v>
      </c>
      <c r="L53" s="406"/>
      <c r="M53" s="56" t="s">
        <v>143</v>
      </c>
      <c r="N53" s="56" t="s">
        <v>144</v>
      </c>
      <c r="O53" s="56" t="s">
        <v>143</v>
      </c>
      <c r="P53" s="56" t="s">
        <v>144</v>
      </c>
      <c r="Q53" s="56" t="s">
        <v>143</v>
      </c>
      <c r="R53" s="56" t="s">
        <v>144</v>
      </c>
      <c r="S53" s="56" t="s">
        <v>143</v>
      </c>
      <c r="T53" s="56" t="s">
        <v>144</v>
      </c>
      <c r="W53" s="20" t="s">
        <v>27</v>
      </c>
      <c r="X53" s="20" t="s">
        <v>143</v>
      </c>
      <c r="Y53" s="75">
        <f t="shared" si="84"/>
        <v>708171358.60665298</v>
      </c>
      <c r="Z53" s="75">
        <f t="shared" si="84"/>
        <v>673150320.47419095</v>
      </c>
      <c r="AA53" s="75">
        <f t="shared" si="86"/>
        <v>708171358.60665298</v>
      </c>
      <c r="AB53" s="75">
        <f t="shared" si="87"/>
        <v>708171358.60665298</v>
      </c>
      <c r="AC53" s="21"/>
      <c r="AD53" s="436">
        <v>461109260.99737298</v>
      </c>
      <c r="AE53" s="114">
        <v>406166652.87648797</v>
      </c>
      <c r="AF53" s="114">
        <f t="shared" si="85"/>
        <v>461109260.99737298</v>
      </c>
      <c r="AG53" s="437">
        <f t="shared" si="83"/>
        <v>461109260.99737298</v>
      </c>
    </row>
    <row r="54" spans="2:33" ht="16" thickBot="1">
      <c r="B54" s="20" t="s">
        <v>195</v>
      </c>
      <c r="C54" s="56">
        <f>IF(I22&lt;S22,$C$28*I22+$C$29*(S22-I22),$C$28*S22)</f>
        <v>150.99649593750001</v>
      </c>
      <c r="D54" s="56">
        <f t="shared" ref="D54:D63" si="88">IF(J22&lt;T22,$C$28*J22+$C$29*(T22-J22),$C$28*T22)</f>
        <v>128.27725562500001</v>
      </c>
      <c r="E54" s="56">
        <f>IF(I22&lt;S22,$D$28*I22+$D$29*(S22-I22),$D$28*S22)+($D$30*365.25/12)</f>
        <v>137.72208836014437</v>
      </c>
      <c r="F54" s="56">
        <f>IF(J22&lt;T22,$D$28*J22+$D$29*(T22-J22),$D$28*T22)+($D$30*365.25/12)</f>
        <v>117.88677954259211</v>
      </c>
      <c r="G54" s="56">
        <f>IF(I22&lt;S22,$E$28*I22+$E$29*(S22-I22),$E$28*S22)+($E$30*365.25/12)</f>
        <v>135.09156606082925</v>
      </c>
      <c r="H54" s="56">
        <f>IF(J22&lt;T22,$E$28*J22+$E$29*(T22-J22),$E$28*T22)+($E$30*365.25/12)</f>
        <v>115.65237320839677</v>
      </c>
      <c r="I54" s="56">
        <f>IF(I22&lt;S22,$F$28*I22+$F$29*(S22-I22),$F$28*S22)+($F$30*365.25/12)</f>
        <v>153.64269411419627</v>
      </c>
      <c r="J54" s="56">
        <f>IF(J22&lt;T22,$F$28*J22+$F$29*(T22-J22),$F$28*T22)+($F$30*365.25/12)</f>
        <v>131.40998835566393</v>
      </c>
      <c r="L54" s="20" t="s">
        <v>195</v>
      </c>
      <c r="M54" s="56">
        <f t="shared" ref="M54:M63" si="89">IF(M22&lt;AA22,$C$28*M22+$C$29*(AA22-M22),$C$28*AA22)</f>
        <v>169.41792699999999</v>
      </c>
      <c r="N54" s="56">
        <f t="shared" ref="N54:N63" si="90">IF(N22&lt;AB22,$C$28*N22+$C$29*(AB22-N22),$C$28*AB22)</f>
        <v>157.77196000000001</v>
      </c>
      <c r="O54" s="56">
        <f>IF(M22&lt;AA22,$D$28*M22+$D$29*(AA22-M22),$D$28*AA22)+($D$30*365.25/12)</f>
        <v>153.7938844844208</v>
      </c>
      <c r="P54" s="56">
        <f>IF(N22&lt;AB22,$D$28*N22+$D$29*(AB22-N22),$D$28*AB22)+($D$30*365.25/12)</f>
        <v>143.92207230238142</v>
      </c>
      <c r="Q54" s="56">
        <f>IF(M22&lt;AA22,$E$28*M22+$E$29*(AA22-M22),$E$28*AA22)+($E$30*365.25/12)</f>
        <v>150.84240448832696</v>
      </c>
      <c r="R54" s="56">
        <f>IF(N22&lt;AB22,$E$28*N22+$E$29*(AB22-N22),$E$28*AB22)+($E$30*365.25/12)</f>
        <v>141.16773480837506</v>
      </c>
      <c r="S54" s="56">
        <f>IF(M22&lt;AA22,$F$28*M22+$F$29*(AA22-M22),$F$28*AA22)+($F$30*365.25/12)</f>
        <v>171.65700977365131</v>
      </c>
      <c r="T54" s="56">
        <f>IF(N22&lt;AB22,$F$28*N22+$F$29*(AB22-N22),$F$28*AB22)+($F$30*365.25/12)</f>
        <v>160.59203984726625</v>
      </c>
      <c r="W54" s="20" t="s">
        <v>27</v>
      </c>
      <c r="X54" s="20" t="s">
        <v>144</v>
      </c>
      <c r="Y54" s="75">
        <f t="shared" si="84"/>
        <v>766750452.53234386</v>
      </c>
      <c r="Z54" s="75">
        <f t="shared" si="84"/>
        <v>731606226.05462289</v>
      </c>
      <c r="AA54" s="75">
        <f t="shared" si="86"/>
        <v>766750452.53234386</v>
      </c>
      <c r="AB54" s="75">
        <f t="shared" si="87"/>
        <v>766750452.53234386</v>
      </c>
      <c r="AC54" s="21"/>
      <c r="AD54" s="554" t="s">
        <v>421</v>
      </c>
      <c r="AE54" s="555"/>
      <c r="AF54" s="555"/>
      <c r="AG54" s="556"/>
    </row>
    <row r="55" spans="2:33" ht="15.5">
      <c r="B55" s="20" t="s">
        <v>196</v>
      </c>
      <c r="C55" s="56">
        <f t="shared" ref="C55:C63" si="91">IF(I23&lt;S23,$C$28*I23+$C$29*(S23-I23),$C$28*S23)</f>
        <v>76.123203625000002</v>
      </c>
      <c r="D55" s="56">
        <f t="shared" si="88"/>
        <v>108.100965625</v>
      </c>
      <c r="E55" s="56">
        <f t="shared" ref="E55:F55" si="92">IF(I23&lt;S23,$D$28*I23+$D$29*(S23-I23),$D$28*S23)+($D$30*365.25/12)</f>
        <v>72.509285299895737</v>
      </c>
      <c r="F55" s="56">
        <f t="shared" si="92"/>
        <v>100.34804438710549</v>
      </c>
      <c r="G55" s="56">
        <f t="shared" ref="G55:H55" si="93">IF(I23&lt;S23,$E$28*I23+$E$29*(S23-I23),$E$28*S23)+($E$30*365.25/12)</f>
        <v>71.181078616635901</v>
      </c>
      <c r="H55" s="56">
        <f t="shared" si="93"/>
        <v>98.463890880683039</v>
      </c>
      <c r="I55" s="56">
        <f t="shared" ref="I55:J55" si="94">IF(I23&lt;S23,$F$28*I23+$F$29*(S23-I23),$F$28*S23)+($F$30*365.25/12)</f>
        <v>80.547937916367516</v>
      </c>
      <c r="J55" s="56">
        <f t="shared" si="94"/>
        <v>111.75143190587934</v>
      </c>
      <c r="L55" s="20" t="s">
        <v>196</v>
      </c>
      <c r="M55" s="56">
        <f t="shared" si="89"/>
        <v>133.04455531249999</v>
      </c>
      <c r="N55" s="56">
        <f t="shared" si="90"/>
        <v>146.40386000000001</v>
      </c>
      <c r="O55" s="56">
        <f t="shared" ref="O55:P55" si="95">IF(M23&lt;AA23,$D$28*M23+$D$29*(AA23-M23),$D$28*AA23)+($D$30*365.25/12)</f>
        <v>121.94482006729697</v>
      </c>
      <c r="P55" s="56">
        <f t="shared" si="95"/>
        <v>133.98423600915987</v>
      </c>
      <c r="Q55" s="56">
        <f t="shared" ref="Q55:R55" si="96">IF(M23&lt;AA23,$E$28*M23+$E$29*(AA23-M23),$E$28*AA23)+($E$30*365.25/12)</f>
        <v>119.62937367198012</v>
      </c>
      <c r="R55" s="56">
        <f t="shared" si="96"/>
        <v>131.4283595348785</v>
      </c>
      <c r="S55" s="56">
        <f t="shared" ref="S55:T55" si="97">IF(M23&lt;AA23,$F$28*M23+$F$29*(AA23-M23),$F$28*AA23)+($F$30*365.25/12)</f>
        <v>135.95850442727289</v>
      </c>
      <c r="T55" s="56">
        <f t="shared" si="97"/>
        <v>149.45306579770948</v>
      </c>
      <c r="AC55" s="21"/>
      <c r="AD55" s="436">
        <v>251517551.24175698</v>
      </c>
      <c r="AE55" s="114">
        <v>311921310.451294</v>
      </c>
      <c r="AF55" s="114">
        <f>AD55</f>
        <v>251517551.24175698</v>
      </c>
      <c r="AG55" s="437">
        <f t="shared" ref="AG55:AG58" si="98">AF55</f>
        <v>251517551.24175698</v>
      </c>
    </row>
    <row r="56" spans="2:33" ht="15.5">
      <c r="B56" s="20" t="s">
        <v>197</v>
      </c>
      <c r="C56" s="56">
        <f t="shared" si="91"/>
        <v>218.70992606250002</v>
      </c>
      <c r="D56" s="56">
        <f t="shared" si="88"/>
        <v>109.96737025</v>
      </c>
      <c r="E56" s="56">
        <f t="shared" ref="E56:F56" si="99">IF(I24&lt;S24,$D$28*I24+$D$29*(S24-I24),$D$28*S24)+($D$30*365.25/12)</f>
        <v>196.72821587088384</v>
      </c>
      <c r="F56" s="56">
        <f t="shared" si="99"/>
        <v>101.94980999468758</v>
      </c>
      <c r="G56" s="56">
        <f t="shared" ref="G56:H56" si="100">IF(I24&lt;S24,$E$28*I24+$E$29*(S24-I24),$E$28*S24)+($E$30*365.25/12)</f>
        <v>192.91932678323747</v>
      </c>
      <c r="H56" s="56">
        <f t="shared" si="100"/>
        <v>100.0336688375873</v>
      </c>
      <c r="I56" s="56">
        <f t="shared" ref="I56:J56" si="101">IF(I24&lt;S24,$F$28*I24+$F$29*(S24-I24),$F$28*S24)+($F$30*365.25/12)</f>
        <v>219.78060418978038</v>
      </c>
      <c r="J56" s="56">
        <f t="shared" si="101"/>
        <v>113.54679510264474</v>
      </c>
      <c r="L56" s="20" t="s">
        <v>197</v>
      </c>
      <c r="M56" s="56">
        <f t="shared" si="89"/>
        <v>218.56750493750002</v>
      </c>
      <c r="N56" s="56">
        <f t="shared" si="90"/>
        <v>137.05036000000001</v>
      </c>
      <c r="O56" s="56">
        <f t="shared" ref="O56:P56" si="102">IF(M24&lt;AA24,$D$28*M24+$D$29*(AA24-M24),$D$28*AA24)+($D$30*365.25/12)</f>
        <v>196.68013831428914</v>
      </c>
      <c r="P56" s="56">
        <f t="shared" si="102"/>
        <v>125.8075352615725</v>
      </c>
      <c r="Q56" s="56">
        <f t="shared" ref="Q56:R56" si="103">IF(M24&lt;AA24,$E$28*M24+$E$29*(AA24-M24),$E$28*AA24)+($E$30*365.25/12)</f>
        <v>192.8722093471988</v>
      </c>
      <c r="R56" s="56">
        <f t="shared" si="103"/>
        <v>123.41494949972309</v>
      </c>
      <c r="S56" s="56">
        <f t="shared" ref="S56" si="104">IF(M24&lt;AA24,$F$28*M24+$F$29*(AA24-M24),$F$28*AA24)+($F$30*365.25/12)</f>
        <v>219.72671573363425</v>
      </c>
      <c r="T56" s="56">
        <f>IF(N24&lt;AB24,$F$28*N24+$F$29*(AB24-N24),$F$28*AB24)+($F$30*365.25/12)</f>
        <v>140.28808714933999</v>
      </c>
      <c r="AC56" s="21"/>
      <c r="AD56" s="436">
        <v>461080071.56885397</v>
      </c>
      <c r="AE56" s="114">
        <v>512975693.87967396</v>
      </c>
      <c r="AF56" s="114">
        <f t="shared" ref="AF56:AF58" si="105">AD56</f>
        <v>461080071.56885397</v>
      </c>
      <c r="AG56" s="437">
        <f t="shared" si="98"/>
        <v>461080071.56885397</v>
      </c>
    </row>
    <row r="57" spans="2:33" ht="15.5">
      <c r="B57" s="20" t="s">
        <v>198</v>
      </c>
      <c r="C57" s="56">
        <f t="shared" si="91"/>
        <v>179.007301875</v>
      </c>
      <c r="D57" s="56">
        <f t="shared" si="88"/>
        <v>108.37206262500001</v>
      </c>
      <c r="E57" s="56">
        <f>IF(I25&lt;S25,$D$28*I25+$D$29*(S25-I25),$D$28*S25)+($D$30*365.25/12)</f>
        <v>162.1227997560533</v>
      </c>
      <c r="F57" s="56">
        <f t="shared" ref="F57" si="106">IF(J25&lt;T25,$D$28*J25+$D$29*(T25-J25),$D$28*T25)+($D$30*365.25/12)</f>
        <v>100.55616556056123</v>
      </c>
      <c r="G57" s="56">
        <f t="shared" ref="G57:H57" si="107">IF(I25&lt;S25,$E$28*I25+$E$29*(S25-I25),$E$28*S25)+($E$30*365.25/12)</f>
        <v>159.00498928627891</v>
      </c>
      <c r="H57" s="56">
        <f t="shared" si="107"/>
        <v>98.667855823437094</v>
      </c>
      <c r="I57" s="56">
        <f t="shared" ref="I57:J57" si="108">IF(I25&lt;S25,$F$28*I25+$F$29*(S25-I25),$F$28*S25)+($F$30*365.25/12)</f>
        <v>180.99260037247734</v>
      </c>
      <c r="J57" s="56">
        <f t="shared" si="108"/>
        <v>111.98470766952499</v>
      </c>
      <c r="L57" s="20" t="s">
        <v>198</v>
      </c>
      <c r="M57" s="56">
        <f t="shared" si="89"/>
        <v>180.87290862500001</v>
      </c>
      <c r="N57" s="56">
        <f t="shared" si="90"/>
        <v>127.40906</v>
      </c>
      <c r="O57" s="56">
        <f t="shared" ref="O57:P57" si="109">IF(M25&lt;AA25,$D$28*M25+$D$29*(AA25-M25),$D$28*AA25)+($D$30*365.25/12)</f>
        <v>163.84090211086487</v>
      </c>
      <c r="P57" s="56">
        <f t="shared" si="109"/>
        <v>117.37924372175166</v>
      </c>
      <c r="Q57" s="56">
        <f t="shared" ref="Q57:R57" si="110">IF(M25&lt;AA25,$E$28*M25+$E$29*(AA25-M25),$E$28*AA25)+($E$30*365.25/12)</f>
        <v>160.68878071713607</v>
      </c>
      <c r="R57" s="56">
        <f t="shared" si="110"/>
        <v>115.15497300194754</v>
      </c>
      <c r="S57" s="56">
        <f t="shared" ref="S57:T57" si="111">IF(M25&lt;AA25,$F$28*M25+$F$29*(AA25-M25),$F$28*AA25)+($F$30*365.25/12)</f>
        <v>182.9183613711549</v>
      </c>
      <c r="T57" s="56">
        <f t="shared" si="111"/>
        <v>130.84110915794378</v>
      </c>
      <c r="W57" s="20" t="s">
        <v>636</v>
      </c>
      <c r="Y57" s="397">
        <f>SUM(AD61,AD65)</f>
        <v>7779985.4698770009</v>
      </c>
      <c r="Z57" s="397">
        <f>SUM(AE61,AE65)</f>
        <v>7037335.0606429996</v>
      </c>
      <c r="AA57" s="397">
        <f>SUM(AF61,AF65)</f>
        <v>7779985.4698770009</v>
      </c>
      <c r="AB57" s="397">
        <f>SUM(AG61,AG65)</f>
        <v>7779985.4698770009</v>
      </c>
      <c r="AC57" s="21"/>
      <c r="AD57" s="436">
        <v>226366656.23129103</v>
      </c>
      <c r="AE57" s="114">
        <v>250207427.25020891</v>
      </c>
      <c r="AF57" s="114">
        <f t="shared" si="105"/>
        <v>226366656.23129103</v>
      </c>
      <c r="AG57" s="437">
        <f t="shared" si="98"/>
        <v>226366656.23129103</v>
      </c>
    </row>
    <row r="58" spans="2:33" ht="16" thickBot="1">
      <c r="B58" s="20" t="s">
        <v>199</v>
      </c>
      <c r="C58" s="56">
        <f t="shared" si="91"/>
        <v>66.2121390625</v>
      </c>
      <c r="D58" s="56">
        <f t="shared" si="88"/>
        <v>75.7238296875</v>
      </c>
      <c r="E58" s="56">
        <f t="shared" ref="E58:F58" si="112">IF(I26&lt;S26,$D$28*I26+$D$29*(S26-I26),$D$28*S26)+($D$30*365.25/12)</f>
        <v>63.780260986110648</v>
      </c>
      <c r="F58" s="56">
        <f t="shared" si="112"/>
        <v>72.082952135964234</v>
      </c>
      <c r="G58" s="56">
        <f t="shared" ref="G58:H58" si="113">IF(I26&lt;S26,$E$28*I26+$E$29*(S26-I26),$E$28*S26)+($E$30*365.25/12)</f>
        <v>62.626375051895529</v>
      </c>
      <c r="H58" s="56">
        <f t="shared" si="113"/>
        <v>70.763259430190047</v>
      </c>
      <c r="I58" s="56">
        <f t="shared" ref="I58:J58" si="114">IF(I26&lt;S26,$F$28*I26+$F$29*(S26-I26),$F$28*S26)+($F$30*365.25/12)</f>
        <v>70.763879048792617</v>
      </c>
      <c r="J58" s="56">
        <f t="shared" si="114"/>
        <v>80.070075944266236</v>
      </c>
      <c r="L58" s="20" t="s">
        <v>199</v>
      </c>
      <c r="M58" s="56">
        <f t="shared" si="89"/>
        <v>63.395401937499997</v>
      </c>
      <c r="N58" s="56">
        <f t="shared" si="90"/>
        <v>76.928939999999997</v>
      </c>
      <c r="O58" s="56">
        <f t="shared" ref="O58:P58" si="115">IF(M26&lt;AA26,$D$28*M26+$D$29*(AA26-M26),$D$28*AA26)+($D$30*365.25/12)</f>
        <v>61.352395534248394</v>
      </c>
      <c r="P58" s="56">
        <f t="shared" si="115"/>
        <v>73.250218764003208</v>
      </c>
      <c r="Q58" s="56">
        <f t="shared" ref="Q58:R58" si="116">IF(M26&lt;AA26,$E$28*M26+$E$29*(AA26-M26),$E$28*AA26)+($E$30*365.25/12)</f>
        <v>60.246994666512016</v>
      </c>
      <c r="R58" s="56">
        <f t="shared" si="116"/>
        <v>71.907215458370402</v>
      </c>
      <c r="S58" s="56">
        <f t="shared" ref="S58:T58" si="117">IF(M26&lt;AA26,$F$28*M26+$F$29*(AA26-M26),$F$28*AA26)+($F$30*365.25/12)</f>
        <v>68.042569352580841</v>
      </c>
      <c r="T58" s="56">
        <f t="shared" si="117"/>
        <v>81.378424391051198</v>
      </c>
      <c r="AC58" s="21"/>
      <c r="AD58" s="438">
        <v>305641191.53497094</v>
      </c>
      <c r="AE58" s="114">
        <v>325439573.17813492</v>
      </c>
      <c r="AF58" s="114">
        <f t="shared" si="105"/>
        <v>305641191.53497094</v>
      </c>
      <c r="AG58" s="439">
        <f t="shared" si="98"/>
        <v>305641191.53497094</v>
      </c>
    </row>
    <row r="59" spans="2:33" ht="15" thickBot="1">
      <c r="B59" s="20" t="s">
        <v>200</v>
      </c>
      <c r="C59" s="56">
        <f t="shared" si="91"/>
        <v>69.682216937500002</v>
      </c>
      <c r="D59" s="56">
        <f t="shared" si="88"/>
        <v>86.321401312500001</v>
      </c>
      <c r="E59" s="56">
        <f t="shared" ref="E59:F59" si="118">IF(I27&lt;S27,$D$28*I27+$D$29*(S27-I27),$D$28*S27)+($D$30*365.25/12)</f>
        <v>66.817363734871037</v>
      </c>
      <c r="F59" s="56">
        <f t="shared" si="118"/>
        <v>81.315803716825869</v>
      </c>
      <c r="G59" s="56">
        <f t="shared" ref="G59:H59" si="119">IF(I27&lt;S27,$E$28*I27+$E$29*(S27-I27),$E$28*S27)+($E$30*365.25/12)</f>
        <v>65.602826116451809</v>
      </c>
      <c r="H59" s="56">
        <f t="shared" si="119"/>
        <v>79.811728708340837</v>
      </c>
      <c r="I59" s="56">
        <f t="shared" ref="I59:J59" si="120">IF(I27&lt;S27,$F$28*I27+$F$29*(S27-I27),$F$28*S27)+($F$30*365.25/12)</f>
        <v>74.168061579687631</v>
      </c>
      <c r="J59" s="56">
        <f t="shared" si="120"/>
        <v>90.418857221009063</v>
      </c>
      <c r="L59" s="20" t="s">
        <v>200</v>
      </c>
      <c r="M59" s="56">
        <f t="shared" si="89"/>
        <v>99.988878999999997</v>
      </c>
      <c r="N59" s="56">
        <f t="shared" si="90"/>
        <v>130.05681999999999</v>
      </c>
      <c r="O59" s="56">
        <f t="shared" ref="O59:P59" si="121">IF(M27&lt;AA27,$D$28*M27+$D$29*(AA27-M27),$D$28*AA27)+($D$30*365.25/12)</f>
        <v>93.275761629745844</v>
      </c>
      <c r="P59" s="56">
        <f t="shared" si="121"/>
        <v>119.69387901029947</v>
      </c>
      <c r="Q59" s="56">
        <f t="shared" ref="Q59:R59" si="122">IF(M27&lt;AA27,$E$28*M27+$E$29*(AA27-M27),$E$28*AA27)+($E$30*365.25/12)</f>
        <v>91.532843338554954</v>
      </c>
      <c r="R59" s="56">
        <f t="shared" si="122"/>
        <v>117.42338445805306</v>
      </c>
      <c r="S59" s="56">
        <f t="shared" ref="S59:T59" si="123">IF(M27&lt;AA27,$F$28*M27+$F$29*(AA27-M27),$F$28*AA27)+($F$30*365.25/12)</f>
        <v>103.8243568584578</v>
      </c>
      <c r="T59" s="56">
        <f t="shared" si="123"/>
        <v>133.43550311378988</v>
      </c>
      <c r="AD59" s="554" t="s">
        <v>641</v>
      </c>
      <c r="AE59" s="555"/>
      <c r="AF59" s="555"/>
      <c r="AG59" s="556"/>
    </row>
    <row r="60" spans="2:33">
      <c r="B60" s="20" t="s">
        <v>201</v>
      </c>
      <c r="C60" s="56">
        <f t="shared" si="91"/>
        <v>236.70568950000001</v>
      </c>
      <c r="D60" s="56">
        <f t="shared" si="88"/>
        <v>102.47665487500001</v>
      </c>
      <c r="E60" s="56">
        <f t="shared" ref="E60" si="124">IF(I28&lt;S28,$D$28*I28+$D$29*(S28-I28),$D$28*S28)+($D$30*365.25/12)</f>
        <v>212.42310583091719</v>
      </c>
      <c r="F60" s="56">
        <f>IF(J28&lt;T28,$D$28*J28+$D$29*(T28-J28),$D$28*T28)+($D$30*365.25/12)</f>
        <v>95.417669443203437</v>
      </c>
      <c r="G60" s="56">
        <f t="shared" ref="G60:H60" si="125">IF(I28&lt;S28,$E$28*I28+$E$29*(S28-I28),$E$28*S28)+($E$30*365.25/12)</f>
        <v>208.30078595471326</v>
      </c>
      <c r="H60" s="56">
        <f t="shared" si="125"/>
        <v>93.631976729464895</v>
      </c>
      <c r="I60" s="56">
        <f t="shared" ref="I60:J60" si="126">IF(I28&lt;S28,$F$28*I28+$F$29*(S28-I28),$F$28*S28)+($F$30*365.25/12)</f>
        <v>237.37245887697276</v>
      </c>
      <c r="J60" s="56">
        <f t="shared" si="126"/>
        <v>106.22514661255352</v>
      </c>
      <c r="L60" s="20" t="s">
        <v>201</v>
      </c>
      <c r="M60" s="56">
        <f t="shared" si="89"/>
        <v>238.9840165</v>
      </c>
      <c r="N60" s="56">
        <f t="shared" si="90"/>
        <v>109.39278</v>
      </c>
      <c r="O60" s="56">
        <f t="shared" ref="O60:P60" si="127">IF(M28&lt;AA28,$D$28*M28+$D$29*(AA28-M28),$D$28*AA28)+($D$30*365.25/12)</f>
        <v>214.51374366300868</v>
      </c>
      <c r="P60" s="56">
        <f t="shared" si="127"/>
        <v>101.62966012793721</v>
      </c>
      <c r="Q60" s="56">
        <f t="shared" ref="Q60:R60" si="128">IF(M28&lt;AA28,$E$28*M28+$E$29*(AA28-M28),$E$28*AA28)+($E$30*365.25/12)</f>
        <v>210.34967323831609</v>
      </c>
      <c r="R60" s="56">
        <f t="shared" si="128"/>
        <v>99.719912441925132</v>
      </c>
      <c r="S60" s="56">
        <f t="shared" ref="S60:T60" si="129">IF(M28&lt;AA28,$F$28*M28+$F$29*(AA28-M28),$F$28*AA28)+($F$30*365.25/12)</f>
        <v>239.71578189735419</v>
      </c>
      <c r="T60" s="56">
        <f t="shared" si="129"/>
        <v>113.187950284469</v>
      </c>
      <c r="AD60" s="444">
        <f>AD49</f>
        <v>2026</v>
      </c>
      <c r="AE60" s="445">
        <f>AD60+1</f>
        <v>2027</v>
      </c>
      <c r="AF60" s="445">
        <f>AE60+1</f>
        <v>2028</v>
      </c>
      <c r="AG60" s="446">
        <f>AF60+1</f>
        <v>2029</v>
      </c>
    </row>
    <row r="61" spans="2:33" ht="16" thickBot="1">
      <c r="B61" s="20" t="s">
        <v>202</v>
      </c>
      <c r="C61" s="56">
        <f t="shared" si="91"/>
        <v>95.714673625000003</v>
      </c>
      <c r="D61" s="56">
        <f t="shared" si="88"/>
        <v>93.637726062499993</v>
      </c>
      <c r="E61" s="56">
        <f t="shared" ref="E61:F61" si="130">IF(I29&lt;S29,$D$28*I29+$D$29*(S29-I29),$D$28*S29)+($D$30*365.25/12)</f>
        <v>89.539651320440711</v>
      </c>
      <c r="F61" s="56">
        <f t="shared" si="130"/>
        <v>87.730771620692693</v>
      </c>
      <c r="G61" s="56">
        <f t="shared" ref="G61:H61" si="131">IF(I29&lt;S29,$E$28*I29+$E$29*(S29-I29),$E$28*S29)+($E$30*365.25/12)</f>
        <v>87.87134406528547</v>
      </c>
      <c r="H61" s="56">
        <f t="shared" si="131"/>
        <v>86.098588135257501</v>
      </c>
      <c r="I61" s="56">
        <f t="shared" ref="I61:J61" si="132">IF(I29&lt;S29,$F$28*I29+$F$29*(S29-I29),$F$28*S29)+($F$30*365.25/12)</f>
        <v>99.636681135723549</v>
      </c>
      <c r="J61" s="56">
        <f t="shared" si="132"/>
        <v>97.609170977601252</v>
      </c>
      <c r="L61" s="20" t="s">
        <v>202</v>
      </c>
      <c r="M61" s="56">
        <f t="shared" si="89"/>
        <v>94.007820312500002</v>
      </c>
      <c r="N61" s="56">
        <f t="shared" si="90"/>
        <v>100.96024</v>
      </c>
      <c r="O61" s="56">
        <f t="shared" ref="O61:P61" si="133">IF(M29&lt;AA29,$D$28*M29+$D$29*(AA29-M29),$D$28*AA29)+($D$30*365.25/12)</f>
        <v>88.011180309942446</v>
      </c>
      <c r="P61" s="56">
        <f t="shared" si="133"/>
        <v>94.258049915496912</v>
      </c>
      <c r="Q61" s="56">
        <f t="shared" ref="Q61:R61" si="134">IF(M29&lt;AA29,$E$28*M29+$E$29*(AA29-M29),$E$28*AA29)+($E$30*365.25/12)</f>
        <v>86.373396994447035</v>
      </c>
      <c r="R61" s="56">
        <f t="shared" si="134"/>
        <v>92.495515087154274</v>
      </c>
      <c r="S61" s="56">
        <f t="shared" ref="S61:T61" si="135">IF(M29&lt;AA29,$F$28*M29+$F$29*(AA29-M29),$F$28*AA29)+($F$30*365.25/12)</f>
        <v>97.923471296167946</v>
      </c>
      <c r="T61" s="56">
        <f t="shared" si="135"/>
        <v>104.92536953378512</v>
      </c>
      <c r="AD61" s="438">
        <v>4969855.3746780008</v>
      </c>
      <c r="AE61" s="447">
        <v>4142658.2921729996</v>
      </c>
      <c r="AF61" s="448">
        <f>AD61</f>
        <v>4969855.3746780008</v>
      </c>
      <c r="AG61" s="449">
        <f>AF61</f>
        <v>4969855.3746780008</v>
      </c>
    </row>
    <row r="62" spans="2:33" ht="15" thickBot="1">
      <c r="B62" s="20" t="s">
        <v>203</v>
      </c>
      <c r="C62" s="56">
        <f t="shared" si="91"/>
        <v>125.6779340625</v>
      </c>
      <c r="D62" s="56">
        <f t="shared" si="88"/>
        <v>122.1667231875</v>
      </c>
      <c r="E62" s="56">
        <f t="shared" ref="E62:F62" si="136">IF(I30&lt;S30,$D$28*I30+$D$29*(S30-I30),$D$28*S30)+($D$30*365.25/12)</f>
        <v>115.61004515276261</v>
      </c>
      <c r="F62" s="56">
        <f t="shared" si="136"/>
        <v>112.57849135315715</v>
      </c>
      <c r="G62" s="56">
        <f t="shared" ref="G62" si="137">IF(I30&lt;S30,$E$28*I30+$E$29*(S30-I30),$E$28*S30)+($E$30*365.25/12)</f>
        <v>113.42110576079864</v>
      </c>
      <c r="H62" s="56">
        <f>IF(J30&lt;T30,$E$28*J30+$E$29*(T30-J30),$E$28*T30)+($E$30*365.25/12)</f>
        <v>110.45009283152643</v>
      </c>
      <c r="I62" s="56">
        <f t="shared" ref="I62:J62" si="138">IF(I30&lt;S30,$F$28*I30+$F$29*(S30-I30),$F$28*S30)+($F$30*365.25/12)</f>
        <v>128.85807619513236</v>
      </c>
      <c r="J62" s="56">
        <f t="shared" si="138"/>
        <v>125.46011328778668</v>
      </c>
      <c r="L62" s="20" t="s">
        <v>203</v>
      </c>
      <c r="M62" s="56">
        <f t="shared" si="89"/>
        <v>145.939875</v>
      </c>
      <c r="N62" s="56">
        <f t="shared" si="90"/>
        <v>149.10918000000001</v>
      </c>
      <c r="O62" s="56">
        <f t="shared" ref="O62:P62" si="139">IF(M30&lt;AA30,$D$28*M30+$D$29*(AA30-M30),$D$28*AA30)+($D$30*365.25/12)</f>
        <v>133.27486551069481</v>
      </c>
      <c r="P62" s="56">
        <f t="shared" si="139"/>
        <v>136.34918945615436</v>
      </c>
      <c r="Q62" s="56">
        <f t="shared" ref="Q62:R62" si="140">IF(M30&lt;AA30,$E$28*M30+$E$29*(AA30-M30),$E$28*AA30)+($E$30*365.25/12)</f>
        <v>130.73315533864809</v>
      </c>
      <c r="R62" s="56">
        <f t="shared" si="140"/>
        <v>133.74608428350805</v>
      </c>
      <c r="S62" s="56">
        <f t="shared" ref="S62:T62" si="141">IF(M30&lt;AA30,$F$28*M30+$F$29*(AA30-M30),$F$28*AA30)+($F$30*365.25/12)</f>
        <v>148.65795715023532</v>
      </c>
      <c r="T62" s="56">
        <f t="shared" si="141"/>
        <v>152.10385962216097</v>
      </c>
    </row>
    <row r="63" spans="2:33" ht="15" thickBot="1">
      <c r="B63" s="20" t="s">
        <v>204</v>
      </c>
      <c r="C63" s="56">
        <f t="shared" si="91"/>
        <v>51.7035836875</v>
      </c>
      <c r="D63" s="56">
        <f t="shared" si="88"/>
        <v>74.096153624999999</v>
      </c>
      <c r="E63" s="56">
        <f t="shared" ref="E63:F63" si="142">IF(I31&lt;S31,$D$28*I31+$D$29*(S31-I31),$D$28*S31)+($D$30*365.25/12)</f>
        <v>51.147690815326797</v>
      </c>
      <c r="F63" s="56">
        <f t="shared" si="142"/>
        <v>70.678380984429992</v>
      </c>
      <c r="G63" s="56">
        <f t="shared" ref="G63:H63" si="143">IF(I31&lt;S31,$E$28*I31+$E$29*(S31-I31),$E$28*S31)+($E$30*365.25/12)</f>
        <v>50.246080395003133</v>
      </c>
      <c r="H63" s="56">
        <f t="shared" si="143"/>
        <v>69.386737907849223</v>
      </c>
      <c r="I63" s="56">
        <f t="shared" ref="I63:J63" si="144">IF(I31&lt;S31,$F$28*I31+$F$29*(S31-I31),$F$28*S31)+($F$30*365.25/12)</f>
        <v>56.604471793558936</v>
      </c>
      <c r="J63" s="56">
        <f t="shared" si="144"/>
        <v>78.495741134749665</v>
      </c>
      <c r="L63" s="20" t="s">
        <v>204</v>
      </c>
      <c r="M63" s="56">
        <f t="shared" si="89"/>
        <v>88.203044187499998</v>
      </c>
      <c r="N63" s="56">
        <f t="shared" si="90"/>
        <v>103.37775999999999</v>
      </c>
      <c r="O63" s="56">
        <f t="shared" ref="O63:P63" si="145">IF(M31&lt;AA31,$D$28*M31+$D$29*(AA31-M31),$D$28*AA31)+($D$30*365.25/12)</f>
        <v>82.903279001326723</v>
      </c>
      <c r="P63" s="56">
        <f t="shared" si="145"/>
        <v>96.371412570257959</v>
      </c>
      <c r="Q63" s="56">
        <f t="shared" ref="Q63:R63" si="146">IF(M31&lt;AA31,$E$28*M31+$E$29*(AA31-M31),$E$28*AA31)+($E$30*365.25/12)</f>
        <v>81.367501723408537</v>
      </c>
      <c r="R63" s="56">
        <f t="shared" si="146"/>
        <v>94.566673373163667</v>
      </c>
      <c r="S63" s="56">
        <f t="shared" ref="S63:T63" si="147">IF(M31&lt;AA31,$F$28*M31+$F$29*(AA31-M31),$F$28*AA31)+($F$30*365.25/12)</f>
        <v>92.198202893107634</v>
      </c>
      <c r="T63" s="56">
        <f t="shared" si="147"/>
        <v>107.29416401520984</v>
      </c>
      <c r="AD63" s="554" t="s">
        <v>685</v>
      </c>
      <c r="AE63" s="555"/>
      <c r="AF63" s="555"/>
      <c r="AG63" s="556"/>
    </row>
    <row r="64" spans="2:33">
      <c r="B64" s="20" t="s">
        <v>194</v>
      </c>
      <c r="C64" s="78">
        <f>SUMPRODUCT(C54:C63,$V$22:$V$31)</f>
        <v>202.48994298604629</v>
      </c>
      <c r="D64" s="78">
        <f t="shared" ref="D64:J64" si="148">SUMPRODUCT(D54:D63,$V$22:$V$31)</f>
        <v>106.96460265565565</v>
      </c>
      <c r="E64" s="78">
        <f t="shared" si="148"/>
        <v>182.59301418424832</v>
      </c>
      <c r="F64" s="78">
        <f t="shared" si="148"/>
        <v>99.33036200351404</v>
      </c>
      <c r="G64" s="78">
        <f t="shared" si="148"/>
        <v>179.06640852912957</v>
      </c>
      <c r="H64" s="78">
        <f t="shared" si="148"/>
        <v>97.466531863028038</v>
      </c>
      <c r="I64" s="78">
        <f t="shared" si="148"/>
        <v>203.93694968320744</v>
      </c>
      <c r="J64" s="78">
        <f t="shared" si="148"/>
        <v>110.61074722089936</v>
      </c>
      <c r="L64" s="20" t="s">
        <v>194</v>
      </c>
      <c r="M64" s="78">
        <f>SUMPRODUCT(M54:M63,$AD$22:$AD$31)</f>
        <v>192.88263196792494</v>
      </c>
      <c r="N64" s="78">
        <f t="shared" ref="N64:T64" si="149">SUMPRODUCT(N54:N63,$AD$22:$AD$31)</f>
        <v>132.17970580081848</v>
      </c>
      <c r="O64" s="78">
        <f t="shared" si="149"/>
        <v>174.28482639765664</v>
      </c>
      <c r="P64" s="78">
        <f t="shared" si="149"/>
        <v>121.54967651012252</v>
      </c>
      <c r="Q64" s="78">
        <f t="shared" si="149"/>
        <v>170.92413728327608</v>
      </c>
      <c r="R64" s="78">
        <f t="shared" si="149"/>
        <v>119.24212122822119</v>
      </c>
      <c r="S64" s="78">
        <f t="shared" si="149"/>
        <v>194.62459179934768</v>
      </c>
      <c r="T64" s="78">
        <f t="shared" si="149"/>
        <v>135.51560179743004</v>
      </c>
      <c r="AD64" s="444">
        <v>2026</v>
      </c>
      <c r="AE64" s="445">
        <v>2027</v>
      </c>
      <c r="AF64" s="445">
        <v>2028</v>
      </c>
      <c r="AG64" s="446">
        <v>2029</v>
      </c>
    </row>
    <row r="65" spans="2:33" ht="16" thickBot="1">
      <c r="B65" s="406"/>
      <c r="C65" s="56"/>
      <c r="D65" s="56"/>
      <c r="E65" s="79"/>
      <c r="F65" s="56"/>
      <c r="G65" s="442"/>
      <c r="H65" s="443"/>
      <c r="I65" s="443"/>
      <c r="J65" s="443"/>
      <c r="AD65" s="450">
        <v>2810130.0951990001</v>
      </c>
      <c r="AE65" s="447">
        <v>2894676.76847</v>
      </c>
      <c r="AF65" s="451">
        <f>AD65</f>
        <v>2810130.0951990001</v>
      </c>
      <c r="AG65" s="452">
        <f t="shared" ref="AG65" si="150">AF65</f>
        <v>2810130.0951990001</v>
      </c>
    </row>
    <row r="66" spans="2:33">
      <c r="B66" s="406"/>
      <c r="C66" s="56"/>
      <c r="D66" s="56"/>
      <c r="E66" s="79"/>
      <c r="G66" s="96"/>
      <c r="H66" s="443"/>
      <c r="I66" s="443"/>
    </row>
    <row r="67" spans="2:33" ht="15" thickBot="1">
      <c r="B67" s="406"/>
      <c r="C67" s="549" t="s">
        <v>217</v>
      </c>
      <c r="D67" s="549"/>
      <c r="E67" s="549"/>
      <c r="F67" s="549"/>
      <c r="G67" s="549"/>
      <c r="H67" s="549"/>
      <c r="I67" s="549"/>
      <c r="J67" s="549"/>
      <c r="L67" s="406"/>
      <c r="M67" s="549" t="s">
        <v>219</v>
      </c>
      <c r="N67" s="549"/>
      <c r="O67" s="549"/>
      <c r="P67" s="549"/>
      <c r="Q67" s="549"/>
      <c r="R67" s="549"/>
      <c r="S67" s="549"/>
      <c r="T67" s="549"/>
    </row>
    <row r="68" spans="2:33" ht="15" thickBot="1">
      <c r="B68" s="406"/>
      <c r="C68" s="550">
        <f>$C$27</f>
        <v>46023</v>
      </c>
      <c r="D68" s="551"/>
      <c r="E68" s="550">
        <f>$D$27</f>
        <v>46082</v>
      </c>
      <c r="F68" s="551"/>
      <c r="G68" s="552" t="str">
        <f>$E$21</f>
        <v>Authorized</v>
      </c>
      <c r="H68" s="552"/>
      <c r="I68" s="553" t="str">
        <f>$F$21</f>
        <v>w/Pending</v>
      </c>
      <c r="J68" s="552"/>
      <c r="L68" s="406"/>
      <c r="M68" s="550">
        <f>$C$27</f>
        <v>46023</v>
      </c>
      <c r="N68" s="551"/>
      <c r="O68" s="550">
        <f>$D$27</f>
        <v>46082</v>
      </c>
      <c r="P68" s="551"/>
      <c r="Q68" s="552" t="str">
        <f>$E$21</f>
        <v>Authorized</v>
      </c>
      <c r="R68" s="552"/>
      <c r="S68" s="553" t="str">
        <f>$F$21</f>
        <v>w/Pending</v>
      </c>
      <c r="T68" s="552"/>
      <c r="AD68" s="554" t="s">
        <v>640</v>
      </c>
      <c r="AE68" s="555"/>
      <c r="AF68" s="555"/>
      <c r="AG68" s="556"/>
    </row>
    <row r="69" spans="2:33">
      <c r="B69" s="406"/>
      <c r="C69" s="56" t="s">
        <v>143</v>
      </c>
      <c r="D69" s="56" t="s">
        <v>144</v>
      </c>
      <c r="E69" s="56" t="s">
        <v>143</v>
      </c>
      <c r="F69" s="56" t="s">
        <v>144</v>
      </c>
      <c r="G69" s="56" t="s">
        <v>143</v>
      </c>
      <c r="H69" s="56" t="s">
        <v>144</v>
      </c>
      <c r="I69" s="56" t="s">
        <v>143</v>
      </c>
      <c r="J69" s="56" t="s">
        <v>144</v>
      </c>
      <c r="L69" s="406"/>
      <c r="M69" s="56" t="s">
        <v>143</v>
      </c>
      <c r="N69" s="56" t="s">
        <v>144</v>
      </c>
      <c r="O69" s="56" t="s">
        <v>143</v>
      </c>
      <c r="P69" s="56" t="s">
        <v>144</v>
      </c>
      <c r="Q69" s="56" t="s">
        <v>143</v>
      </c>
      <c r="R69" s="56" t="s">
        <v>144</v>
      </c>
      <c r="S69" s="56" t="s">
        <v>143</v>
      </c>
      <c r="T69" s="56" t="s">
        <v>144</v>
      </c>
      <c r="AD69" s="444">
        <v>2026</v>
      </c>
      <c r="AE69" s="445">
        <v>2027</v>
      </c>
      <c r="AF69" s="445">
        <v>2028</v>
      </c>
      <c r="AG69" s="446">
        <v>2029</v>
      </c>
    </row>
    <row r="70" spans="2:33" ht="15" customHeight="1">
      <c r="B70" s="20" t="s">
        <v>195</v>
      </c>
      <c r="C70" s="56">
        <f t="shared" ref="C70:C79" si="151">C$22*I22</f>
        <v>155.48281593749999</v>
      </c>
      <c r="D70" s="56">
        <f t="shared" ref="D70:D79" si="152">C$22*J22</f>
        <v>126.689701875</v>
      </c>
      <c r="E70" s="56">
        <f>D$22*I22+($D$24*365.25/12)</f>
        <v>157.94639965416826</v>
      </c>
      <c r="F70" s="56">
        <f t="shared" ref="F70:F79" si="153">D$22*J22+($D$24*365.25/12)</f>
        <v>133.16928860710007</v>
      </c>
      <c r="G70" s="56">
        <f t="shared" ref="G70:G79" si="154">E$22*I22+($E$24*365.25/12)</f>
        <v>155.27445285132012</v>
      </c>
      <c r="H70" s="56">
        <f t="shared" ref="H70:H79" si="155">E$22*J22+($E$24*365.25/12)</f>
        <v>130.99214676774233</v>
      </c>
      <c r="I70" s="56">
        <f>F$22*I22+($F$24*365.25/12)</f>
        <v>174.11771728755994</v>
      </c>
      <c r="J70" s="56">
        <f t="shared" ref="J70:J79" si="156">F$22*J22+($F$24*365.25/12)</f>
        <v>146.34591778986365</v>
      </c>
      <c r="L70" s="20" t="s">
        <v>195</v>
      </c>
      <c r="M70" s="56">
        <f t="shared" ref="M70:M79" si="157">C$22*M22</f>
        <v>175.06213349999999</v>
      </c>
      <c r="N70" s="56">
        <f t="shared" ref="N70:N79" si="158">C$22*N22</f>
        <v>299.44838625</v>
      </c>
      <c r="O70" s="56">
        <f>D$22*M22+($D$24*365.25/12)</f>
        <v>174.79483516617464</v>
      </c>
      <c r="P70" s="56">
        <f t="shared" ref="P70:P79" si="159">D$22*N22+($D$24*365.25/12)</f>
        <v>281.83195488950923</v>
      </c>
      <c r="Q70" s="56">
        <f>E$22*M22+($E$24*365.25/12)</f>
        <v>171.78642098815303</v>
      </c>
      <c r="R70" s="56">
        <f t="shared" ref="R70:R79" si="160">E$22*N22+($E$24*365.25/12)</f>
        <v>276.68598326920909</v>
      </c>
      <c r="S70" s="56">
        <f t="shared" ref="S70:S79" si="161">F$22*M22+($F$24*365.25/12)</f>
        <v>193.00254094599342</v>
      </c>
      <c r="T70" s="56">
        <f t="shared" ref="T70:T79" si="162">F$22*N22+($F$24*365.25/12)</f>
        <v>312.97671477604138</v>
      </c>
      <c r="V70" s="453"/>
      <c r="W70" s="453"/>
      <c r="X70" s="454"/>
      <c r="Y70" s="454"/>
      <c r="AD70" s="455">
        <v>232076.69742000001</v>
      </c>
      <c r="AE70" s="456">
        <v>281192.557241</v>
      </c>
      <c r="AF70" s="456">
        <f>AD70</f>
        <v>232076.69742000001</v>
      </c>
      <c r="AG70" s="457">
        <f t="shared" ref="AG70" si="163">AF70</f>
        <v>232076.69742000001</v>
      </c>
    </row>
    <row r="71" spans="2:33" ht="15" customHeight="1" thickBot="1">
      <c r="B71" s="20" t="s">
        <v>196</v>
      </c>
      <c r="C71" s="56">
        <f t="shared" si="151"/>
        <v>112.86900712500001</v>
      </c>
      <c r="D71" s="56">
        <f t="shared" si="152"/>
        <v>126.689701875</v>
      </c>
      <c r="E71" s="56">
        <f t="shared" ref="E71:E79" si="164">D$22*I23+($D$24*365.25/12)</f>
        <v>121.27627530450732</v>
      </c>
      <c r="F71" s="56">
        <f t="shared" si="153"/>
        <v>133.16928860710007</v>
      </c>
      <c r="G71" s="56">
        <f t="shared" si="154"/>
        <v>119.33663984762498</v>
      </c>
      <c r="H71" s="56">
        <f t="shared" si="155"/>
        <v>130.99214676774233</v>
      </c>
      <c r="I71" s="56">
        <f t="shared" ref="I71:I79" si="165">F$22*I23+($F$24*365.25/12)</f>
        <v>133.01545403096944</v>
      </c>
      <c r="J71" s="56">
        <f t="shared" si="156"/>
        <v>146.34591778986365</v>
      </c>
      <c r="L71" s="20" t="s">
        <v>196</v>
      </c>
      <c r="M71" s="56">
        <f t="shared" si="157"/>
        <v>97.896587812500002</v>
      </c>
      <c r="N71" s="56">
        <f t="shared" si="158"/>
        <v>299.44838625</v>
      </c>
      <c r="O71" s="56">
        <f t="shared" ref="O71:O79" si="166">D$22*M23+($D$24*365.25/12)</f>
        <v>108.39217756003185</v>
      </c>
      <c r="P71" s="56">
        <f t="shared" si="159"/>
        <v>281.83195488950923</v>
      </c>
      <c r="Q71" s="56">
        <f t="shared" ref="Q71:Q79" si="167">E$22*M23+($E$24*365.25/12)</f>
        <v>106.7098406841645</v>
      </c>
      <c r="R71" s="56">
        <f t="shared" si="160"/>
        <v>276.68598326920909</v>
      </c>
      <c r="S71" s="56">
        <f t="shared" si="161"/>
        <v>118.57411829216737</v>
      </c>
      <c r="T71" s="56">
        <f t="shared" si="162"/>
        <v>312.97671477604138</v>
      </c>
      <c r="V71" s="453"/>
      <c r="W71" s="453"/>
      <c r="X71" s="454"/>
      <c r="Y71" s="454"/>
      <c r="AD71" s="458">
        <v>4927018.8152379999</v>
      </c>
      <c r="AE71" s="456">
        <v>6746577.6071450002</v>
      </c>
      <c r="AF71" s="456">
        <f>AD71</f>
        <v>4927018.8152379999</v>
      </c>
      <c r="AG71" s="452">
        <f t="shared" ref="AG71" si="168">AF71</f>
        <v>4927018.8152379999</v>
      </c>
    </row>
    <row r="72" spans="2:33" ht="15" thickBot="1">
      <c r="B72" s="20" t="s">
        <v>197</v>
      </c>
      <c r="C72" s="56">
        <f t="shared" si="151"/>
        <v>203.85524756249998</v>
      </c>
      <c r="D72" s="56">
        <f t="shared" si="152"/>
        <v>119.77935450000001</v>
      </c>
      <c r="E72" s="56">
        <f t="shared" si="164"/>
        <v>199.57194621324282</v>
      </c>
      <c r="F72" s="56">
        <f t="shared" si="153"/>
        <v>127.2227819558037</v>
      </c>
      <c r="G72" s="56">
        <f t="shared" si="154"/>
        <v>196.06872707173082</v>
      </c>
      <c r="H72" s="56">
        <f t="shared" si="155"/>
        <v>125.16439330768364</v>
      </c>
      <c r="I72" s="56">
        <f t="shared" si="165"/>
        <v>220.77434044368971</v>
      </c>
      <c r="J72" s="56">
        <f t="shared" si="156"/>
        <v>139.68068591041654</v>
      </c>
      <c r="L72" s="20" t="s">
        <v>197</v>
      </c>
      <c r="M72" s="56">
        <f t="shared" si="157"/>
        <v>229.1931879375</v>
      </c>
      <c r="N72" s="56">
        <f t="shared" si="158"/>
        <v>307.51045818749998</v>
      </c>
      <c r="O72" s="56">
        <f t="shared" si="166"/>
        <v>221.37580393466283</v>
      </c>
      <c r="P72" s="56">
        <f t="shared" si="159"/>
        <v>288.76954598268833</v>
      </c>
      <c r="Q72" s="56">
        <f t="shared" si="167"/>
        <v>217.43715642527928</v>
      </c>
      <c r="R72" s="56">
        <f t="shared" si="160"/>
        <v>283.48502897261085</v>
      </c>
      <c r="S72" s="56">
        <f t="shared" si="161"/>
        <v>245.21352400166242</v>
      </c>
      <c r="T72" s="56">
        <f t="shared" si="162"/>
        <v>320.7528186353963</v>
      </c>
      <c r="V72" s="453"/>
      <c r="W72" s="453"/>
      <c r="X72" s="454"/>
      <c r="Y72" s="454"/>
      <c r="AD72" s="397"/>
      <c r="AE72" s="397"/>
      <c r="AF72" s="397"/>
      <c r="AG72" s="397"/>
    </row>
    <row r="73" spans="2:33" s="440" customFormat="1" ht="14.25" customHeight="1" thickBot="1">
      <c r="B73" s="20" t="s">
        <v>198</v>
      </c>
      <c r="C73" s="56">
        <f t="shared" si="151"/>
        <v>172.758684375</v>
      </c>
      <c r="D73" s="56">
        <f t="shared" si="152"/>
        <v>117.475905375</v>
      </c>
      <c r="E73" s="56">
        <f t="shared" si="164"/>
        <v>172.8126662824092</v>
      </c>
      <c r="F73" s="56">
        <f t="shared" si="153"/>
        <v>125.24061307203823</v>
      </c>
      <c r="G73" s="56">
        <f t="shared" si="154"/>
        <v>169.8438365014668</v>
      </c>
      <c r="H73" s="56">
        <f t="shared" si="155"/>
        <v>123.22180882099741</v>
      </c>
      <c r="I73" s="56">
        <f t="shared" si="165"/>
        <v>190.78079698617773</v>
      </c>
      <c r="J73" s="56">
        <f t="shared" si="156"/>
        <v>137.45894195060083</v>
      </c>
      <c r="L73" s="20" t="s">
        <v>198</v>
      </c>
      <c r="M73" s="56">
        <f t="shared" si="157"/>
        <v>205.006972125</v>
      </c>
      <c r="N73" s="56">
        <f t="shared" si="158"/>
        <v>272.95872131250002</v>
      </c>
      <c r="O73" s="56">
        <f t="shared" si="166"/>
        <v>200.56303065512557</v>
      </c>
      <c r="P73" s="56">
        <f t="shared" si="159"/>
        <v>259.03701272620651</v>
      </c>
      <c r="Q73" s="56">
        <f t="shared" si="167"/>
        <v>197.04001931507395</v>
      </c>
      <c r="R73" s="56">
        <f t="shared" si="160"/>
        <v>254.34626167231755</v>
      </c>
      <c r="S73" s="56">
        <f t="shared" si="161"/>
        <v>221.88521242359758</v>
      </c>
      <c r="T73" s="56">
        <f t="shared" si="162"/>
        <v>287.42665923816077</v>
      </c>
      <c r="V73" s="459"/>
      <c r="W73" s="459"/>
      <c r="X73" s="454"/>
      <c r="Y73" s="454"/>
      <c r="AD73" s="559" t="s">
        <v>686</v>
      </c>
      <c r="AE73" s="560"/>
      <c r="AF73" s="561"/>
      <c r="AG73" s="562"/>
    </row>
    <row r="74" spans="2:33">
      <c r="B74" s="20" t="s">
        <v>199</v>
      </c>
      <c r="C74" s="56">
        <f t="shared" si="151"/>
        <v>74.8620965625</v>
      </c>
      <c r="D74" s="56">
        <f t="shared" si="152"/>
        <v>86.379342187500001</v>
      </c>
      <c r="E74" s="56">
        <f t="shared" si="164"/>
        <v>88.570488722377306</v>
      </c>
      <c r="F74" s="56">
        <f t="shared" si="153"/>
        <v>98.481333141204587</v>
      </c>
      <c r="G74" s="56">
        <f t="shared" si="154"/>
        <v>87.283995817302269</v>
      </c>
      <c r="H74" s="56">
        <f t="shared" si="155"/>
        <v>96.996918250733387</v>
      </c>
      <c r="I74" s="56">
        <f t="shared" si="165"/>
        <v>96.356678694010341</v>
      </c>
      <c r="J74" s="56">
        <f t="shared" si="156"/>
        <v>107.46539849308886</v>
      </c>
      <c r="L74" s="20" t="s">
        <v>199</v>
      </c>
      <c r="M74" s="56">
        <f t="shared" si="157"/>
        <v>81.7724439375</v>
      </c>
      <c r="N74" s="56">
        <f t="shared" si="158"/>
        <v>148.57246856250001</v>
      </c>
      <c r="O74" s="56">
        <f t="shared" si="166"/>
        <v>94.516995373673666</v>
      </c>
      <c r="P74" s="56">
        <f t="shared" si="159"/>
        <v>151.99989300287189</v>
      </c>
      <c r="Q74" s="56">
        <f t="shared" si="167"/>
        <v>93.111749277360943</v>
      </c>
      <c r="R74" s="56">
        <f t="shared" si="160"/>
        <v>149.44669939126146</v>
      </c>
      <c r="S74" s="56">
        <f t="shared" si="161"/>
        <v>103.02191057345743</v>
      </c>
      <c r="T74" s="56">
        <f t="shared" si="162"/>
        <v>167.45248540811284</v>
      </c>
      <c r="V74" s="453"/>
      <c r="W74" s="453"/>
      <c r="X74" s="454"/>
      <c r="Y74" s="454"/>
      <c r="AD74" s="460">
        <v>2026</v>
      </c>
      <c r="AE74" s="461">
        <v>2027</v>
      </c>
      <c r="AF74" s="462">
        <v>2028</v>
      </c>
      <c r="AG74" s="463">
        <v>2029</v>
      </c>
    </row>
    <row r="75" spans="2:33">
      <c r="B75" s="20" t="s">
        <v>200</v>
      </c>
      <c r="C75" s="56">
        <f t="shared" si="151"/>
        <v>81.7724439375</v>
      </c>
      <c r="D75" s="56">
        <f t="shared" si="152"/>
        <v>93.289689562500001</v>
      </c>
      <c r="E75" s="56">
        <f t="shared" si="164"/>
        <v>94.516995373673666</v>
      </c>
      <c r="F75" s="56">
        <f t="shared" si="153"/>
        <v>104.42783979250095</v>
      </c>
      <c r="G75" s="56">
        <f t="shared" si="154"/>
        <v>93.111749277360943</v>
      </c>
      <c r="H75" s="56">
        <f t="shared" si="155"/>
        <v>102.82467171079206</v>
      </c>
      <c r="I75" s="56">
        <f t="shared" si="165"/>
        <v>103.02191057345743</v>
      </c>
      <c r="J75" s="56">
        <f t="shared" si="156"/>
        <v>114.13063037253595</v>
      </c>
      <c r="L75" s="20" t="s">
        <v>200</v>
      </c>
      <c r="M75" s="56">
        <f t="shared" si="157"/>
        <v>119.77935450000001</v>
      </c>
      <c r="N75" s="56">
        <f t="shared" si="158"/>
        <v>219.97939143750003</v>
      </c>
      <c r="O75" s="56">
        <f t="shared" si="166"/>
        <v>127.2227819558037</v>
      </c>
      <c r="P75" s="56">
        <f t="shared" si="159"/>
        <v>213.44712839960104</v>
      </c>
      <c r="Q75" s="56">
        <f t="shared" si="167"/>
        <v>125.16439330768364</v>
      </c>
      <c r="R75" s="56">
        <f t="shared" si="160"/>
        <v>209.66681847853442</v>
      </c>
      <c r="S75" s="56">
        <f t="shared" si="161"/>
        <v>139.68068591041654</v>
      </c>
      <c r="T75" s="56">
        <f t="shared" si="162"/>
        <v>236.32654816239963</v>
      </c>
      <c r="V75" s="453"/>
      <c r="W75" s="453"/>
      <c r="X75" s="454"/>
      <c r="Y75" s="454"/>
      <c r="AB75" s="440"/>
      <c r="AD75" s="455">
        <v>197705.70330200001</v>
      </c>
      <c r="AE75" s="456">
        <v>245075.35296800002</v>
      </c>
      <c r="AF75" s="464">
        <f>AD75</f>
        <v>197705.70330200001</v>
      </c>
      <c r="AG75" s="465">
        <f t="shared" ref="AG75" si="169">AF75</f>
        <v>197705.70330200001</v>
      </c>
    </row>
    <row r="76" spans="2:33" ht="15" thickBot="1">
      <c r="B76" s="20" t="s">
        <v>201</v>
      </c>
      <c r="C76" s="56">
        <f t="shared" si="151"/>
        <v>221.13111599999999</v>
      </c>
      <c r="D76" s="56">
        <f t="shared" si="152"/>
        <v>112.86900712500001</v>
      </c>
      <c r="E76" s="56">
        <f t="shared" si="164"/>
        <v>214.43821284148376</v>
      </c>
      <c r="F76" s="56">
        <f t="shared" si="153"/>
        <v>121.27627530450732</v>
      </c>
      <c r="G76" s="56">
        <f t="shared" si="154"/>
        <v>210.6381107218775</v>
      </c>
      <c r="H76" s="56">
        <f t="shared" si="155"/>
        <v>119.33663984762498</v>
      </c>
      <c r="I76" s="56">
        <f t="shared" si="165"/>
        <v>237.43742014230747</v>
      </c>
      <c r="J76" s="56">
        <f t="shared" si="156"/>
        <v>133.01545403096944</v>
      </c>
      <c r="L76" s="20" t="s">
        <v>201</v>
      </c>
      <c r="M76" s="56">
        <f t="shared" si="157"/>
        <v>257.98630199999997</v>
      </c>
      <c r="N76" s="56">
        <f t="shared" si="158"/>
        <v>218.82766687500001</v>
      </c>
      <c r="O76" s="56">
        <f t="shared" si="166"/>
        <v>246.15291498173104</v>
      </c>
      <c r="P76" s="56">
        <f t="shared" si="159"/>
        <v>212.45604395771829</v>
      </c>
      <c r="Q76" s="56">
        <f t="shared" si="167"/>
        <v>241.71946250885708</v>
      </c>
      <c r="R76" s="56">
        <f t="shared" si="160"/>
        <v>208.69552623519129</v>
      </c>
      <c r="S76" s="56">
        <f t="shared" si="161"/>
        <v>272.98532349935869</v>
      </c>
      <c r="T76" s="56">
        <f t="shared" si="162"/>
        <v>235.21567618249179</v>
      </c>
      <c r="V76" s="453"/>
      <c r="W76" s="453"/>
      <c r="X76" s="454"/>
      <c r="Y76" s="454"/>
      <c r="AD76" s="458">
        <v>7967020.8778860001</v>
      </c>
      <c r="AE76" s="456">
        <v>9602439.9564180002</v>
      </c>
      <c r="AF76" s="464">
        <f>AD76</f>
        <v>7967020.8778860001</v>
      </c>
      <c r="AG76" s="466">
        <f t="shared" ref="AG76" si="170">AF76</f>
        <v>7967020.8778860001</v>
      </c>
    </row>
    <row r="77" spans="2:33">
      <c r="B77" s="20" t="s">
        <v>202</v>
      </c>
      <c r="C77" s="56">
        <f t="shared" si="151"/>
        <v>112.86900712500001</v>
      </c>
      <c r="D77" s="56">
        <f t="shared" si="152"/>
        <v>111.71728256249999</v>
      </c>
      <c r="E77" s="56">
        <f t="shared" si="164"/>
        <v>121.27627530450732</v>
      </c>
      <c r="F77" s="56">
        <f t="shared" si="153"/>
        <v>120.28519086262459</v>
      </c>
      <c r="G77" s="56">
        <f t="shared" si="154"/>
        <v>119.33663984762498</v>
      </c>
      <c r="H77" s="56">
        <f t="shared" si="155"/>
        <v>118.36534760428185</v>
      </c>
      <c r="I77" s="56">
        <f t="shared" si="165"/>
        <v>133.01545403096944</v>
      </c>
      <c r="J77" s="56">
        <f t="shared" si="156"/>
        <v>131.90458205106157</v>
      </c>
      <c r="L77" s="20" t="s">
        <v>202</v>
      </c>
      <c r="M77" s="56">
        <f t="shared" si="157"/>
        <v>97.896587812500002</v>
      </c>
      <c r="N77" s="56">
        <f t="shared" si="158"/>
        <v>168.151786125</v>
      </c>
      <c r="O77" s="56">
        <f t="shared" si="166"/>
        <v>108.39217756003185</v>
      </c>
      <c r="P77" s="56">
        <f t="shared" si="159"/>
        <v>168.84832851487826</v>
      </c>
      <c r="Q77" s="56">
        <f t="shared" si="167"/>
        <v>106.7098406841645</v>
      </c>
      <c r="R77" s="56">
        <f t="shared" si="160"/>
        <v>165.95866752809437</v>
      </c>
      <c r="S77" s="56">
        <f t="shared" si="161"/>
        <v>118.57411829216737</v>
      </c>
      <c r="T77" s="56">
        <f t="shared" si="162"/>
        <v>186.33730906654631</v>
      </c>
      <c r="V77" s="453"/>
      <c r="W77" s="453"/>
      <c r="X77" s="454"/>
      <c r="Y77" s="454"/>
    </row>
    <row r="78" spans="2:33">
      <c r="B78" s="20" t="s">
        <v>203</v>
      </c>
      <c r="C78" s="56">
        <f t="shared" si="151"/>
        <v>120.9310790625</v>
      </c>
      <c r="D78" s="56">
        <f t="shared" si="152"/>
        <v>127.84142643749999</v>
      </c>
      <c r="E78" s="56">
        <f t="shared" si="164"/>
        <v>128.21386639768642</v>
      </c>
      <c r="F78" s="56">
        <f t="shared" si="153"/>
        <v>134.16037304898279</v>
      </c>
      <c r="G78" s="56">
        <f t="shared" si="154"/>
        <v>126.13568555102675</v>
      </c>
      <c r="H78" s="56">
        <f t="shared" si="155"/>
        <v>131.96343901108543</v>
      </c>
      <c r="I78" s="56">
        <f t="shared" si="165"/>
        <v>140.79155789032441</v>
      </c>
      <c r="J78" s="56">
        <f t="shared" si="156"/>
        <v>147.45678976977149</v>
      </c>
      <c r="L78" s="20" t="s">
        <v>203</v>
      </c>
      <c r="M78" s="56">
        <f t="shared" si="157"/>
        <v>138.20694750000001</v>
      </c>
      <c r="N78" s="56">
        <f t="shared" si="158"/>
        <v>276.41389500000002</v>
      </c>
      <c r="O78" s="56">
        <f t="shared" si="166"/>
        <v>143.08013302592735</v>
      </c>
      <c r="P78" s="56">
        <f t="shared" si="159"/>
        <v>262.01026605185467</v>
      </c>
      <c r="Q78" s="56">
        <f t="shared" si="167"/>
        <v>140.70506920117344</v>
      </c>
      <c r="R78" s="56">
        <f t="shared" si="160"/>
        <v>257.26013840234685</v>
      </c>
      <c r="S78" s="56">
        <f t="shared" si="161"/>
        <v>157.45463758894218</v>
      </c>
      <c r="T78" s="56">
        <f t="shared" si="162"/>
        <v>290.75927517788432</v>
      </c>
      <c r="V78" s="453"/>
      <c r="W78" s="453"/>
      <c r="X78" s="454"/>
      <c r="Y78" s="454"/>
    </row>
    <row r="79" spans="2:33">
      <c r="B79" s="20" t="s">
        <v>204</v>
      </c>
      <c r="C79" s="56">
        <f t="shared" si="151"/>
        <v>67.951749187499999</v>
      </c>
      <c r="D79" s="56">
        <f t="shared" si="152"/>
        <v>89.834515874999994</v>
      </c>
      <c r="E79" s="56">
        <f t="shared" si="164"/>
        <v>82.623982071080945</v>
      </c>
      <c r="F79" s="56">
        <f t="shared" si="153"/>
        <v>101.45458646685276</v>
      </c>
      <c r="G79" s="56">
        <f t="shared" si="154"/>
        <v>81.45624235724361</v>
      </c>
      <c r="H79" s="56">
        <f t="shared" si="155"/>
        <v>99.910794980762731</v>
      </c>
      <c r="I79" s="56">
        <f t="shared" si="165"/>
        <v>89.691446814563236</v>
      </c>
      <c r="J79" s="56">
        <f t="shared" si="156"/>
        <v>110.79801443281239</v>
      </c>
      <c r="L79" s="20" t="s">
        <v>204</v>
      </c>
      <c r="M79" s="56">
        <f t="shared" si="157"/>
        <v>77.1655456875</v>
      </c>
      <c r="N79" s="56">
        <f t="shared" si="158"/>
        <v>180.82075631249998</v>
      </c>
      <c r="O79" s="56">
        <f t="shared" si="166"/>
        <v>90.552657606142759</v>
      </c>
      <c r="P79" s="56">
        <f t="shared" si="159"/>
        <v>179.75025737558826</v>
      </c>
      <c r="Q79" s="56">
        <f t="shared" si="167"/>
        <v>89.226580303988499</v>
      </c>
      <c r="R79" s="56">
        <f t="shared" si="160"/>
        <v>176.64288220486858</v>
      </c>
      <c r="S79" s="56">
        <f t="shared" si="161"/>
        <v>98.578422653826038</v>
      </c>
      <c r="T79" s="56">
        <f t="shared" si="162"/>
        <v>198.55690084553268</v>
      </c>
      <c r="V79" s="56"/>
      <c r="W79" s="453"/>
      <c r="X79" s="454"/>
      <c r="Y79" s="454"/>
      <c r="AB79" s="440"/>
    </row>
    <row r="80" spans="2:33">
      <c r="B80" s="20" t="s">
        <v>194</v>
      </c>
      <c r="C80" s="78">
        <f t="shared" ref="C80:J80" si="171">SUMPRODUCT(C70:C79,$U$22:$U$31)</f>
        <v>176.02153810013954</v>
      </c>
      <c r="D80" s="78">
        <f t="shared" si="171"/>
        <v>116.19623743987103</v>
      </c>
      <c r="E80" s="78">
        <f t="shared" si="171"/>
        <v>175.62042402971773</v>
      </c>
      <c r="F80" s="78">
        <f t="shared" si="171"/>
        <v>124.13943053015551</v>
      </c>
      <c r="G80" s="78">
        <f t="shared" si="171"/>
        <v>172.59552264030543</v>
      </c>
      <c r="H80" s="78">
        <f t="shared" si="171"/>
        <v>122.14261716362086</v>
      </c>
      <c r="I80" s="78">
        <f t="shared" si="171"/>
        <v>193.92791470495564</v>
      </c>
      <c r="J80" s="78">
        <f t="shared" si="171"/>
        <v>136.22466485084391</v>
      </c>
      <c r="L80" s="20" t="s">
        <v>194</v>
      </c>
      <c r="M80" s="78">
        <f t="shared" ref="M80:T80" si="172">SUMPRODUCT(M70:M79,$AC$22:$AC$31)</f>
        <v>191.84483591152912</v>
      </c>
      <c r="N80" s="78">
        <f t="shared" si="172"/>
        <v>273.55750829511413</v>
      </c>
      <c r="O80" s="78">
        <f t="shared" si="172"/>
        <v>189.23672152892576</v>
      </c>
      <c r="P80" s="78">
        <f t="shared" si="172"/>
        <v>259.55228215936216</v>
      </c>
      <c r="Q80" s="78">
        <f t="shared" si="172"/>
        <v>185.93989935043638</v>
      </c>
      <c r="R80" s="78">
        <f t="shared" si="172"/>
        <v>254.85124104895388</v>
      </c>
      <c r="S80" s="78">
        <f t="shared" si="172"/>
        <v>209.18994760825225</v>
      </c>
      <c r="T80" s="78">
        <f t="shared" si="172"/>
        <v>288.00420677216124</v>
      </c>
      <c r="V80" s="56"/>
      <c r="X80" s="454"/>
      <c r="Y80" s="454"/>
    </row>
    <row r="81" spans="2:20">
      <c r="B81" s="406"/>
      <c r="C81" s="56"/>
      <c r="D81" s="56"/>
      <c r="E81" s="79"/>
      <c r="F81" s="441"/>
      <c r="G81" s="443"/>
      <c r="H81" s="443"/>
      <c r="I81" s="443"/>
      <c r="J81" s="443"/>
      <c r="L81" s="406"/>
      <c r="M81" s="56"/>
      <c r="N81" s="56"/>
      <c r="O81" s="79"/>
      <c r="P81" s="441"/>
      <c r="Q81" s="443"/>
      <c r="R81" s="443"/>
      <c r="S81" s="443"/>
      <c r="T81" s="443"/>
    </row>
    <row r="82" spans="2:20">
      <c r="B82" s="406"/>
      <c r="C82" s="56"/>
      <c r="D82" s="56"/>
      <c r="E82" s="79"/>
      <c r="F82" s="56"/>
      <c r="G82" s="443"/>
      <c r="H82" s="443"/>
      <c r="I82" s="443"/>
      <c r="J82" s="443"/>
      <c r="L82" s="406"/>
      <c r="M82" s="56"/>
      <c r="N82" s="56"/>
      <c r="O82" s="79"/>
      <c r="P82" s="56"/>
      <c r="Q82" s="443"/>
      <c r="R82" s="443"/>
      <c r="S82" s="443"/>
      <c r="T82" s="443"/>
    </row>
    <row r="83" spans="2:20">
      <c r="B83" s="406"/>
      <c r="C83" s="549" t="s">
        <v>218</v>
      </c>
      <c r="D83" s="549"/>
      <c r="E83" s="549"/>
      <c r="F83" s="549"/>
      <c r="G83" s="549"/>
      <c r="H83" s="549"/>
      <c r="I83" s="549"/>
      <c r="J83" s="549"/>
      <c r="L83" s="406"/>
      <c r="M83" s="549" t="s">
        <v>220</v>
      </c>
      <c r="N83" s="549"/>
      <c r="O83" s="549"/>
      <c r="P83" s="549"/>
      <c r="Q83" s="549"/>
      <c r="R83" s="549"/>
      <c r="S83" s="549"/>
      <c r="T83" s="549"/>
    </row>
    <row r="84" spans="2:20">
      <c r="B84" s="406"/>
      <c r="C84" s="550">
        <f>$C$27</f>
        <v>46023</v>
      </c>
      <c r="D84" s="551"/>
      <c r="E84" s="550">
        <f>$D$27</f>
        <v>46082</v>
      </c>
      <c r="F84" s="551"/>
      <c r="G84" s="552" t="str">
        <f>$E$21</f>
        <v>Authorized</v>
      </c>
      <c r="H84" s="552"/>
      <c r="I84" s="553" t="str">
        <f>$F$21</f>
        <v>w/Pending</v>
      </c>
      <c r="J84" s="552"/>
      <c r="L84" s="406"/>
      <c r="M84" s="550">
        <f>$C$27</f>
        <v>46023</v>
      </c>
      <c r="N84" s="551"/>
      <c r="O84" s="550">
        <f>$D$27</f>
        <v>46082</v>
      </c>
      <c r="P84" s="551"/>
      <c r="Q84" s="552" t="str">
        <f>$E$21</f>
        <v>Authorized</v>
      </c>
      <c r="R84" s="552"/>
      <c r="S84" s="553" t="str">
        <f>$F$21</f>
        <v>w/Pending</v>
      </c>
      <c r="T84" s="552"/>
    </row>
    <row r="85" spans="2:20">
      <c r="B85" s="406"/>
      <c r="C85" s="56" t="s">
        <v>143</v>
      </c>
      <c r="D85" s="56" t="s">
        <v>144</v>
      </c>
      <c r="E85" s="56" t="s">
        <v>143</v>
      </c>
      <c r="F85" s="56" t="s">
        <v>144</v>
      </c>
      <c r="G85" s="56" t="s">
        <v>143</v>
      </c>
      <c r="H85" s="56" t="s">
        <v>144</v>
      </c>
      <c r="I85" s="56" t="s">
        <v>143</v>
      </c>
      <c r="J85" s="56" t="s">
        <v>144</v>
      </c>
      <c r="L85" s="406"/>
      <c r="M85" s="56" t="s">
        <v>143</v>
      </c>
      <c r="N85" s="56" t="s">
        <v>144</v>
      </c>
      <c r="O85" s="56" t="s">
        <v>143</v>
      </c>
      <c r="P85" s="56" t="s">
        <v>144</v>
      </c>
      <c r="Q85" s="56" t="s">
        <v>143</v>
      </c>
      <c r="R85" s="56" t="s">
        <v>144</v>
      </c>
      <c r="S85" s="56" t="s">
        <v>143</v>
      </c>
      <c r="T85" s="56" t="s">
        <v>144</v>
      </c>
    </row>
    <row r="86" spans="2:20">
      <c r="B86" s="20" t="s">
        <v>195</v>
      </c>
      <c r="C86" s="56">
        <f t="shared" ref="C86:C95" si="173">C$28*I22</f>
        <v>94.607055000000003</v>
      </c>
      <c r="D86" s="56">
        <f t="shared" ref="D86:D95" si="174">C$28*J22</f>
        <v>77.087230000000005</v>
      </c>
      <c r="E86" s="56">
        <f>D$28*I22+($D$30*365.25/12)</f>
        <v>88.704183176943332</v>
      </c>
      <c r="F86" s="56">
        <f>D$28*J22+($D$30*365.25/12)</f>
        <v>73.388593699731601</v>
      </c>
      <c r="G86" s="56">
        <f>E$28*I22+($E$30*365.25/12)</f>
        <v>87.052560424814104</v>
      </c>
      <c r="H86" s="56">
        <f>E$28*J22+($E$30*365.25/12)</f>
        <v>72.042827012811486</v>
      </c>
      <c r="I86" s="56">
        <f>F$28*I22+($F$30*365.25/12)</f>
        <v>98.700234036469524</v>
      </c>
      <c r="J86" s="56">
        <f>F$28*J22+($F$30*365.25/12)</f>
        <v>81.53352402971592</v>
      </c>
      <c r="L86" s="20" t="s">
        <v>195</v>
      </c>
      <c r="M86" s="56">
        <f t="shared" ref="M86:M95" si="175">C$28*M22</f>
        <v>106.52053599999999</v>
      </c>
      <c r="N86" s="56">
        <f t="shared" ref="N86:N95" si="176">C$28*N22</f>
        <v>182.20617999999999</v>
      </c>
      <c r="O86" s="56">
        <f>D$28*M22+($D$30*365.25/12)</f>
        <v>99.118784021447311</v>
      </c>
      <c r="P86" s="56">
        <f>D$28*N22+($D$30*365.25/12)</f>
        <v>165.28213056300197</v>
      </c>
      <c r="Q86" s="56">
        <f>E$28*M22+($E$30*365.25/12)</f>
        <v>97.259179144975874</v>
      </c>
      <c r="R86" s="56">
        <f>E$28*N22+($E$30*365.25/12)</f>
        <v>162.10122748482715</v>
      </c>
      <c r="S86" s="56">
        <f>F$28*M22+($F$30*365.25/12)</f>
        <v>110.37359684106198</v>
      </c>
      <c r="T86" s="56">
        <f>F$28*N22+($F$30*365.25/12)</f>
        <v>184.53378407023763</v>
      </c>
    </row>
    <row r="87" spans="2:20">
      <c r="B87" s="20" t="s">
        <v>196</v>
      </c>
      <c r="C87" s="56">
        <f t="shared" si="173"/>
        <v>68.677714000000009</v>
      </c>
      <c r="D87" s="56">
        <f t="shared" si="174"/>
        <v>77.087230000000005</v>
      </c>
      <c r="E87" s="56">
        <f t="shared" ref="E87:E95" si="177">D$28*I23+($D$30*365.25/12)</f>
        <v>66.037110750669981</v>
      </c>
      <c r="F87" s="56">
        <f t="shared" ref="F87:F95" si="178">D$28*J23+($D$30*365.25/12)</f>
        <v>73.388593699731601</v>
      </c>
      <c r="G87" s="56">
        <f t="shared" ref="G87:G95" si="179">E$28*I23+($E$30*365.25/12)</f>
        <v>64.838154975050244</v>
      </c>
      <c r="H87" s="56">
        <f t="shared" ref="H87:H95" si="180">E$28*J23+($E$30*365.25/12)</f>
        <v>72.042827012811486</v>
      </c>
      <c r="I87" s="56">
        <f t="shared" ref="I87:I95" si="181">F$28*I23+($F$30*365.25/12)</f>
        <v>73.293503226474186</v>
      </c>
      <c r="J87" s="56">
        <f t="shared" ref="J87:J95" si="182">F$28*J23+($F$30*365.25/12)</f>
        <v>81.53352402971592</v>
      </c>
      <c r="L87" s="20" t="s">
        <v>196</v>
      </c>
      <c r="M87" s="56">
        <f t="shared" si="175"/>
        <v>59.567405000000001</v>
      </c>
      <c r="N87" s="56">
        <f t="shared" si="176"/>
        <v>182.20617999999999</v>
      </c>
      <c r="O87" s="56">
        <f t="shared" ref="O87:O95" si="183">D$28*M23+($D$30*365.25/12)</f>
        <v>58.073004222519877</v>
      </c>
      <c r="P87" s="56">
        <f>D$28*N23+($D$30*365.25/12)</f>
        <v>165.28213056300197</v>
      </c>
      <c r="Q87" s="56">
        <f t="shared" ref="Q87:Q95" si="184">E$28*M23+($E$30*365.25/12)</f>
        <v>57.033093600808883</v>
      </c>
      <c r="R87" s="56">
        <f t="shared" ref="R87:R95" si="185">E$28*N23+($E$30*365.25/12)</f>
        <v>162.10122748482715</v>
      </c>
      <c r="S87" s="56">
        <f t="shared" ref="S87:S95" si="186">F$28*M23+($F$30*365.25/12)</f>
        <v>64.366814022962302</v>
      </c>
      <c r="T87" s="56">
        <f t="shared" ref="T87:T95" si="187">F$28*N23+($F$30*365.25/12)</f>
        <v>184.53378407023763</v>
      </c>
    </row>
    <row r="88" spans="2:20">
      <c r="B88" s="20" t="s">
        <v>197</v>
      </c>
      <c r="C88" s="56">
        <f t="shared" si="173"/>
        <v>124.04036099999999</v>
      </c>
      <c r="D88" s="56">
        <f t="shared" si="174"/>
        <v>72.882472000000007</v>
      </c>
      <c r="E88" s="56">
        <f t="shared" si="177"/>
        <v>114.43437349865904</v>
      </c>
      <c r="F88" s="56">
        <f t="shared" si="178"/>
        <v>69.712852225200791</v>
      </c>
      <c r="G88" s="56">
        <f t="shared" si="179"/>
        <v>112.26891255697849</v>
      </c>
      <c r="H88" s="56">
        <f t="shared" si="180"/>
        <v>68.440490993930865</v>
      </c>
      <c r="I88" s="56">
        <f t="shared" si="181"/>
        <v>127.5403068478156</v>
      </c>
      <c r="J88" s="56">
        <f t="shared" si="182"/>
        <v>77.413513628095046</v>
      </c>
      <c r="L88" s="20" t="s">
        <v>197</v>
      </c>
      <c r="M88" s="56">
        <f t="shared" si="175"/>
        <v>139.457807</v>
      </c>
      <c r="N88" s="56">
        <f t="shared" si="176"/>
        <v>187.11173099999999</v>
      </c>
      <c r="O88" s="56">
        <f t="shared" si="183"/>
        <v>127.91209223860535</v>
      </c>
      <c r="P88" s="56">
        <f t="shared" ref="P88:P95" si="188">D$28*N24+($D$30*365.25/12)</f>
        <v>169.57049561662126</v>
      </c>
      <c r="Q88" s="56">
        <f t="shared" si="184"/>
        <v>125.47747795954078</v>
      </c>
      <c r="R88" s="56">
        <f t="shared" si="185"/>
        <v>166.30395284018789</v>
      </c>
      <c r="S88" s="56">
        <f t="shared" si="186"/>
        <v>142.64701165375877</v>
      </c>
      <c r="T88" s="56">
        <f t="shared" si="187"/>
        <v>189.34046287212863</v>
      </c>
    </row>
    <row r="89" spans="2:20">
      <c r="B89" s="20" t="s">
        <v>198</v>
      </c>
      <c r="C89" s="56">
        <f t="shared" si="173"/>
        <v>105.11895</v>
      </c>
      <c r="D89" s="56">
        <f t="shared" si="174"/>
        <v>71.480885999999998</v>
      </c>
      <c r="E89" s="56">
        <f t="shared" si="177"/>
        <v>97.89353686327037</v>
      </c>
      <c r="F89" s="56">
        <f t="shared" si="178"/>
        <v>68.48760506702385</v>
      </c>
      <c r="G89" s="56">
        <f t="shared" si="179"/>
        <v>96.058400472015677</v>
      </c>
      <c r="H89" s="56">
        <f t="shared" si="180"/>
        <v>67.239712320970654</v>
      </c>
      <c r="I89" s="56">
        <f t="shared" si="181"/>
        <v>109.0002600405217</v>
      </c>
      <c r="J89" s="56">
        <f t="shared" si="182"/>
        <v>76.040176827554745</v>
      </c>
      <c r="L89" s="20" t="s">
        <v>198</v>
      </c>
      <c r="M89" s="56">
        <f t="shared" si="175"/>
        <v>124.74115400000001</v>
      </c>
      <c r="N89" s="56">
        <f t="shared" si="176"/>
        <v>166.087941</v>
      </c>
      <c r="O89" s="56">
        <f t="shared" si="183"/>
        <v>115.04699707774752</v>
      </c>
      <c r="P89" s="56">
        <f t="shared" si="188"/>
        <v>151.19178824396718</v>
      </c>
      <c r="Q89" s="56">
        <f t="shared" si="184"/>
        <v>112.8693018934586</v>
      </c>
      <c r="R89" s="56">
        <f t="shared" si="185"/>
        <v>148.29227274578474</v>
      </c>
      <c r="S89" s="56">
        <f t="shared" si="186"/>
        <v>128.22697524808575</v>
      </c>
      <c r="T89" s="56">
        <f t="shared" si="187"/>
        <v>168.74041086402428</v>
      </c>
    </row>
    <row r="90" spans="2:20">
      <c r="B90" s="20" t="s">
        <v>199</v>
      </c>
      <c r="C90" s="56">
        <f t="shared" si="173"/>
        <v>45.551544999999997</v>
      </c>
      <c r="D90" s="56">
        <f t="shared" si="174"/>
        <v>52.559474999999999</v>
      </c>
      <c r="E90" s="56">
        <f t="shared" si="177"/>
        <v>45.820532640750493</v>
      </c>
      <c r="F90" s="56">
        <f t="shared" si="178"/>
        <v>51.946768431635185</v>
      </c>
      <c r="G90" s="56">
        <f t="shared" si="179"/>
        <v>45.025306871206787</v>
      </c>
      <c r="H90" s="56">
        <f t="shared" si="180"/>
        <v>51.029200236007838</v>
      </c>
      <c r="I90" s="56">
        <f t="shared" si="181"/>
        <v>50.633446017559407</v>
      </c>
      <c r="J90" s="56">
        <f t="shared" si="182"/>
        <v>57.500130020260848</v>
      </c>
      <c r="L90" s="20" t="s">
        <v>199</v>
      </c>
      <c r="M90" s="56">
        <f t="shared" si="175"/>
        <v>49.756302999999996</v>
      </c>
      <c r="N90" s="56">
        <f t="shared" si="176"/>
        <v>90.402297000000004</v>
      </c>
      <c r="O90" s="56">
        <f t="shared" si="183"/>
        <v>49.496274115281309</v>
      </c>
      <c r="P90" s="56">
        <f t="shared" si="188"/>
        <v>85.028441702412522</v>
      </c>
      <c r="Q90" s="56">
        <f t="shared" si="184"/>
        <v>48.627642890087415</v>
      </c>
      <c r="R90" s="56">
        <f t="shared" si="185"/>
        <v>83.450224405933483</v>
      </c>
      <c r="S90" s="56">
        <f t="shared" si="186"/>
        <v>54.753456419180267</v>
      </c>
      <c r="T90" s="56">
        <f t="shared" si="187"/>
        <v>94.580223634848664</v>
      </c>
    </row>
    <row r="91" spans="2:20">
      <c r="B91" s="20" t="s">
        <v>200</v>
      </c>
      <c r="C91" s="56">
        <f t="shared" si="173"/>
        <v>49.756302999999996</v>
      </c>
      <c r="D91" s="56">
        <f t="shared" si="174"/>
        <v>56.764232999999997</v>
      </c>
      <c r="E91" s="56">
        <f t="shared" si="177"/>
        <v>49.496274115281309</v>
      </c>
      <c r="F91" s="56">
        <f t="shared" si="178"/>
        <v>55.622509906166002</v>
      </c>
      <c r="G91" s="56">
        <f t="shared" si="179"/>
        <v>48.627642890087415</v>
      </c>
      <c r="H91" s="56">
        <f t="shared" si="180"/>
        <v>54.631536254888459</v>
      </c>
      <c r="I91" s="56">
        <f t="shared" si="181"/>
        <v>54.753456419180267</v>
      </c>
      <c r="J91" s="56">
        <f t="shared" si="182"/>
        <v>61.620140421881715</v>
      </c>
      <c r="L91" s="20" t="s">
        <v>200</v>
      </c>
      <c r="M91" s="56">
        <f t="shared" si="175"/>
        <v>72.882472000000007</v>
      </c>
      <c r="N91" s="56">
        <f t="shared" si="176"/>
        <v>133.85146300000002</v>
      </c>
      <c r="O91" s="56">
        <f t="shared" si="183"/>
        <v>69.712852225200791</v>
      </c>
      <c r="P91" s="56">
        <f t="shared" si="188"/>
        <v>123.01110360589762</v>
      </c>
      <c r="Q91" s="56">
        <f t="shared" si="184"/>
        <v>68.440490993930865</v>
      </c>
      <c r="R91" s="56">
        <f t="shared" si="185"/>
        <v>120.67436326769996</v>
      </c>
      <c r="S91" s="56">
        <f t="shared" si="186"/>
        <v>77.413513628095046</v>
      </c>
      <c r="T91" s="56">
        <f t="shared" si="187"/>
        <v>137.15366445159765</v>
      </c>
    </row>
    <row r="92" spans="2:20">
      <c r="B92" s="20" t="s">
        <v>201</v>
      </c>
      <c r="C92" s="56">
        <f t="shared" si="173"/>
        <v>134.552256</v>
      </c>
      <c r="D92" s="56">
        <f t="shared" si="174"/>
        <v>68.677714000000009</v>
      </c>
      <c r="E92" s="56">
        <f t="shared" si="177"/>
        <v>123.62372718498608</v>
      </c>
      <c r="F92" s="56">
        <f t="shared" si="178"/>
        <v>66.037110750669981</v>
      </c>
      <c r="G92" s="56">
        <f t="shared" si="179"/>
        <v>121.27475260418005</v>
      </c>
      <c r="H92" s="56">
        <f t="shared" si="180"/>
        <v>64.838154975050244</v>
      </c>
      <c r="I92" s="56">
        <f t="shared" si="181"/>
        <v>137.84033285186777</v>
      </c>
      <c r="J92" s="56">
        <f t="shared" si="182"/>
        <v>73.293503226474186</v>
      </c>
      <c r="L92" s="20" t="s">
        <v>201</v>
      </c>
      <c r="M92" s="56">
        <f t="shared" si="175"/>
        <v>156.977632</v>
      </c>
      <c r="N92" s="56">
        <f t="shared" si="176"/>
        <v>133.15066999999999</v>
      </c>
      <c r="O92" s="56">
        <f t="shared" si="183"/>
        <v>143.22768171581708</v>
      </c>
      <c r="P92" s="56">
        <f t="shared" si="188"/>
        <v>122.39848002680914</v>
      </c>
      <c r="Q92" s="56">
        <f t="shared" si="184"/>
        <v>140.4872113715434</v>
      </c>
      <c r="R92" s="56">
        <f t="shared" si="185"/>
        <v>120.07397393121985</v>
      </c>
      <c r="S92" s="56">
        <f t="shared" si="186"/>
        <v>159.81372166051239</v>
      </c>
      <c r="T92" s="56">
        <f t="shared" si="187"/>
        <v>136.4669960513275</v>
      </c>
    </row>
    <row r="93" spans="2:20">
      <c r="B93" s="20" t="s">
        <v>202</v>
      </c>
      <c r="C93" s="56">
        <f t="shared" si="173"/>
        <v>68.677714000000009</v>
      </c>
      <c r="D93" s="56">
        <f t="shared" si="174"/>
        <v>67.97692099999999</v>
      </c>
      <c r="E93" s="56">
        <f t="shared" si="177"/>
        <v>66.037110750669981</v>
      </c>
      <c r="F93" s="56">
        <f t="shared" si="178"/>
        <v>65.424487171581504</v>
      </c>
      <c r="G93" s="56">
        <f t="shared" si="179"/>
        <v>64.838154975050244</v>
      </c>
      <c r="H93" s="56">
        <f t="shared" si="180"/>
        <v>64.237765638570124</v>
      </c>
      <c r="I93" s="56">
        <f t="shared" si="181"/>
        <v>73.293503226474186</v>
      </c>
      <c r="J93" s="56">
        <f t="shared" si="182"/>
        <v>72.606834826204022</v>
      </c>
      <c r="L93" s="20" t="s">
        <v>202</v>
      </c>
      <c r="M93" s="56">
        <f t="shared" si="175"/>
        <v>59.567405000000001</v>
      </c>
      <c r="N93" s="56">
        <f t="shared" si="176"/>
        <v>102.31577799999999</v>
      </c>
      <c r="O93" s="56">
        <f t="shared" si="183"/>
        <v>58.073004222519877</v>
      </c>
      <c r="P93" s="56">
        <f t="shared" si="188"/>
        <v>95.443042546916502</v>
      </c>
      <c r="Q93" s="56">
        <f t="shared" si="184"/>
        <v>57.033093600808883</v>
      </c>
      <c r="R93" s="56">
        <f t="shared" si="185"/>
        <v>93.656843126095254</v>
      </c>
      <c r="S93" s="56">
        <f t="shared" si="186"/>
        <v>64.366814022962302</v>
      </c>
      <c r="T93" s="56">
        <f t="shared" si="187"/>
        <v>106.25358643944112</v>
      </c>
    </row>
    <row r="94" spans="2:20">
      <c r="B94" s="20" t="s">
        <v>203</v>
      </c>
      <c r="C94" s="56">
        <f t="shared" si="173"/>
        <v>73.583264999999997</v>
      </c>
      <c r="D94" s="56">
        <f t="shared" si="174"/>
        <v>77.788022999999995</v>
      </c>
      <c r="E94" s="56">
        <f t="shared" si="177"/>
        <v>70.325475804289255</v>
      </c>
      <c r="F94" s="56">
        <f t="shared" si="178"/>
        <v>74.001217278820079</v>
      </c>
      <c r="G94" s="56">
        <f t="shared" si="179"/>
        <v>69.040880330410971</v>
      </c>
      <c r="H94" s="56">
        <f t="shared" si="180"/>
        <v>72.643216349291592</v>
      </c>
      <c r="I94" s="56">
        <f t="shared" si="181"/>
        <v>78.100182028365197</v>
      </c>
      <c r="J94" s="56">
        <f t="shared" si="182"/>
        <v>82.220192429986056</v>
      </c>
      <c r="L94" s="20" t="s">
        <v>203</v>
      </c>
      <c r="M94" s="56">
        <f t="shared" si="175"/>
        <v>84.095160000000007</v>
      </c>
      <c r="N94" s="56">
        <f t="shared" si="176"/>
        <v>168.19032000000001</v>
      </c>
      <c r="O94" s="56">
        <f t="shared" si="183"/>
        <v>79.514829490616293</v>
      </c>
      <c r="P94" s="56">
        <f t="shared" si="188"/>
        <v>153.02965898123259</v>
      </c>
      <c r="Q94" s="56">
        <f t="shared" si="184"/>
        <v>78.04672037761253</v>
      </c>
      <c r="R94" s="56">
        <f t="shared" si="185"/>
        <v>150.09344075522506</v>
      </c>
      <c r="S94" s="56">
        <f t="shared" si="186"/>
        <v>88.400208032417368</v>
      </c>
      <c r="T94" s="56">
        <f t="shared" si="187"/>
        <v>170.80041606483474</v>
      </c>
    </row>
    <row r="95" spans="2:20">
      <c r="B95" s="20" t="s">
        <v>204</v>
      </c>
      <c r="C95" s="56">
        <f t="shared" si="173"/>
        <v>41.346787000000006</v>
      </c>
      <c r="D95" s="56">
        <f t="shared" si="174"/>
        <v>54.661853999999998</v>
      </c>
      <c r="E95" s="56">
        <f t="shared" si="177"/>
        <v>42.144791166219683</v>
      </c>
      <c r="F95" s="56">
        <f t="shared" si="178"/>
        <v>53.78463916890059</v>
      </c>
      <c r="G95" s="56">
        <f t="shared" si="179"/>
        <v>41.422970852326166</v>
      </c>
      <c r="H95" s="56">
        <f t="shared" si="180"/>
        <v>52.830368245448149</v>
      </c>
      <c r="I95" s="56">
        <f t="shared" si="181"/>
        <v>46.51343561593854</v>
      </c>
      <c r="J95" s="56">
        <f t="shared" si="182"/>
        <v>59.560135221071285</v>
      </c>
      <c r="L95" s="20" t="s">
        <v>204</v>
      </c>
      <c r="M95" s="56">
        <f t="shared" si="175"/>
        <v>46.953130999999999</v>
      </c>
      <c r="N95" s="56">
        <f t="shared" si="176"/>
        <v>110.024501</v>
      </c>
      <c r="O95" s="56">
        <f t="shared" si="183"/>
        <v>47.045779798927434</v>
      </c>
      <c r="P95" s="56">
        <f t="shared" si="188"/>
        <v>102.18190191688966</v>
      </c>
      <c r="Q95" s="56">
        <f t="shared" si="184"/>
        <v>46.226085544166999</v>
      </c>
      <c r="R95" s="56">
        <f t="shared" si="185"/>
        <v>100.2611258273764</v>
      </c>
      <c r="S95" s="56">
        <f t="shared" si="186"/>
        <v>52.006782818099694</v>
      </c>
      <c r="T95" s="56">
        <f t="shared" si="187"/>
        <v>113.80693884241271</v>
      </c>
    </row>
    <row r="96" spans="2:20">
      <c r="B96" s="20" t="s">
        <v>194</v>
      </c>
      <c r="C96" s="78">
        <f>SUMPRODUCT(C86:C95,$V$22:$V$31)</f>
        <v>116.79570538640571</v>
      </c>
      <c r="D96" s="78">
        <f t="shared" ref="D96:J96" si="189">SUMPRODUCT(D86:D95,$V$22:$V$31)</f>
        <v>71.005601536762569</v>
      </c>
      <c r="E96" s="78">
        <f t="shared" si="189"/>
        <v>108.10119543999764</v>
      </c>
      <c r="F96" s="78">
        <f t="shared" si="189"/>
        <v>68.072117941790509</v>
      </c>
      <c r="G96" s="78">
        <f t="shared" si="189"/>
        <v>106.06220961206787</v>
      </c>
      <c r="H96" s="78">
        <f t="shared" si="189"/>
        <v>66.832522575179212</v>
      </c>
      <c r="I96" s="78">
        <f t="shared" si="189"/>
        <v>120.44166847572153</v>
      </c>
      <c r="J96" s="78">
        <f t="shared" si="189"/>
        <v>75.57447180189881</v>
      </c>
      <c r="L96" s="20" t="s">
        <v>194</v>
      </c>
      <c r="M96" s="78">
        <f>SUMPRODUCT(M86:M95,$AD$22:$AD$31)</f>
        <v>125.59169542664314</v>
      </c>
      <c r="N96" s="78">
        <f t="shared" ref="N96:T96" si="190">SUMPRODUCT(N86:N95,$AD$22:$AD$31)</f>
        <v>167.59793771693185</v>
      </c>
      <c r="O96" s="78">
        <f t="shared" si="190"/>
        <v>115.79052866689456</v>
      </c>
      <c r="P96" s="78">
        <f t="shared" si="190"/>
        <v>152.51180655627718</v>
      </c>
      <c r="Q96" s="78">
        <f t="shared" si="190"/>
        <v>113.59798497504062</v>
      </c>
      <c r="R96" s="78">
        <f t="shared" si="190"/>
        <v>149.58592996976651</v>
      </c>
      <c r="S96" s="78">
        <f t="shared" si="190"/>
        <v>129.06037387049852</v>
      </c>
      <c r="T96" s="78">
        <f t="shared" si="190"/>
        <v>170.21997334542573</v>
      </c>
    </row>
    <row r="99" spans="2:25">
      <c r="B99" s="467">
        <f>Summary!I$4</f>
        <v>500</v>
      </c>
      <c r="C99" s="549" t="s">
        <v>240</v>
      </c>
      <c r="D99" s="549"/>
      <c r="E99" s="549"/>
      <c r="F99" s="549"/>
      <c r="G99" s="549"/>
      <c r="H99" s="549"/>
      <c r="I99" s="549"/>
      <c r="J99" s="549"/>
      <c r="L99" s="467">
        <f>Summary!I$4</f>
        <v>500</v>
      </c>
      <c r="M99" s="549" t="s">
        <v>242</v>
      </c>
      <c r="N99" s="549"/>
      <c r="O99" s="549"/>
      <c r="P99" s="549"/>
      <c r="Q99" s="549"/>
      <c r="R99" s="549"/>
      <c r="S99" s="549"/>
      <c r="T99" s="549"/>
    </row>
    <row r="100" spans="2:25">
      <c r="B100" s="406"/>
      <c r="C100" s="550">
        <f>$C$27</f>
        <v>46023</v>
      </c>
      <c r="D100" s="551"/>
      <c r="E100" s="550">
        <f>$D$27</f>
        <v>46082</v>
      </c>
      <c r="F100" s="551"/>
      <c r="G100" s="552" t="str">
        <f>$E$21</f>
        <v>Authorized</v>
      </c>
      <c r="H100" s="552"/>
      <c r="I100" s="553" t="str">
        <f>$F$21</f>
        <v>w/Pending</v>
      </c>
      <c r="J100" s="552"/>
      <c r="L100" s="406"/>
      <c r="M100" s="550">
        <f>$C$27</f>
        <v>46023</v>
      </c>
      <c r="N100" s="551"/>
      <c r="O100" s="550">
        <f>$D$27</f>
        <v>46082</v>
      </c>
      <c r="P100" s="551"/>
      <c r="Q100" s="552" t="str">
        <f>$E$21</f>
        <v>Authorized</v>
      </c>
      <c r="R100" s="552"/>
      <c r="S100" s="553" t="str">
        <f>$F$21</f>
        <v>w/Pending</v>
      </c>
      <c r="T100" s="552"/>
    </row>
    <row r="101" spans="2:25">
      <c r="B101" s="406"/>
      <c r="C101" s="56" t="s">
        <v>143</v>
      </c>
      <c r="D101" s="56" t="s">
        <v>144</v>
      </c>
      <c r="E101" s="56" t="s">
        <v>143</v>
      </c>
      <c r="F101" s="56" t="s">
        <v>144</v>
      </c>
      <c r="G101" s="56" t="s">
        <v>143</v>
      </c>
      <c r="H101" s="56" t="s">
        <v>144</v>
      </c>
      <c r="I101" s="56" t="s">
        <v>143</v>
      </c>
      <c r="J101" s="56" t="s">
        <v>144</v>
      </c>
      <c r="L101" s="406"/>
      <c r="M101" s="56" t="s">
        <v>143</v>
      </c>
      <c r="N101" s="56" t="s">
        <v>144</v>
      </c>
      <c r="O101" s="56" t="s">
        <v>143</v>
      </c>
      <c r="P101" s="56" t="s">
        <v>144</v>
      </c>
      <c r="Q101" s="56" t="s">
        <v>143</v>
      </c>
      <c r="R101" s="56" t="s">
        <v>144</v>
      </c>
      <c r="S101" s="56" t="s">
        <v>143</v>
      </c>
      <c r="T101" s="56" t="s">
        <v>144</v>
      </c>
    </row>
    <row r="102" spans="2:25">
      <c r="B102" s="20" t="s">
        <v>195</v>
      </c>
      <c r="C102" s="56">
        <f t="shared" ref="C102:D111" si="191">$C$22*MIN(I22,$B$99)+IF($B$99-I22&gt;0,$C$23*($B$99-I22))</f>
        <v>197.717708125</v>
      </c>
      <c r="D102" s="56">
        <f t="shared" si="191"/>
        <v>204.99683625</v>
      </c>
      <c r="E102" s="56">
        <f>$D$22*MIN(I22,$B$99)+IF($B$99-I22&gt;0,$D$23*($B$99-I22))+($D$24*365.25/12)</f>
        <v>194.20897545424748</v>
      </c>
      <c r="F102" s="56">
        <f>$D$22*MIN(J22,$B$99)+IF($B$99-J22&gt;0,$D$23*($B$99-J22))+($D$24*365.25/12)</f>
        <v>200.40323307543355</v>
      </c>
      <c r="G102" s="56">
        <f>$E$22*MIN(I22,$B$99)+IF($B$99-I22&gt;0,$E$23*($B$99-I22))+($E$24*365.25/12)</f>
        <v>190.8128561495794</v>
      </c>
      <c r="H102" s="56">
        <f>$E$22*MIN(J22,$B$99)+IF($B$99-J22&gt;0,$E$23*($B$99-J22))+($E$24*365.25/12)</f>
        <v>196.88341293210519</v>
      </c>
      <c r="I102" s="56">
        <f>$F$22*MIN(I22,$B$99)+IF($B$99-I22&gt;0,$F$23*($B$99-I22))+($F$24*365.25/12)</f>
        <v>214.7631735910291</v>
      </c>
      <c r="J102" s="56">
        <f>$F$22*MIN(J22,$B$99)+IF($B$99-J22&gt;0,$F$23*($B$99-J22))+($F$24*365.25/12)</f>
        <v>221.70610089057848</v>
      </c>
      <c r="L102" s="20" t="s">
        <v>195</v>
      </c>
      <c r="M102" s="56">
        <f>$C$22*MIN(S22,$B$99)+IF($B$99-S22&gt;0,$C$23*($B$99-S22))</f>
        <v>189.19499999999999</v>
      </c>
      <c r="N102" s="56">
        <f>$C$22*MIN(T22,$B$99)+IF($B$99-T22&gt;0,$C$23*($B$99-T22))</f>
        <v>189.19499999999999</v>
      </c>
      <c r="O102" s="56">
        <f>$D$22*MIN(S22,$B$99)+IF($B$99-S22&gt;0,$D$23*($B$99-S22))+($D$24*365.25/12)</f>
        <v>186.95647915938036</v>
      </c>
      <c r="P102" s="56">
        <f>$D$22*MIN(T22,$B$99)+IF($B$99-T22&gt;0,$D$23*($B$99-T22))+($D$24*365.25/12)</f>
        <v>186.95647915938036</v>
      </c>
      <c r="Q102" s="56">
        <f>$E$22*MIN(S22,$B$99)+IF($B$99-S22&gt;0,$E$23*($B$99-S22))+($E$24*365.25/12)</f>
        <v>183.70519397833462</v>
      </c>
      <c r="R102" s="56">
        <f>$E$22*MIN(T22,$B$99)+IF($B$99-T22&gt;0,$E$23*($B$99-T22))+($E$24*365.25/12)</f>
        <v>183.70519397833462</v>
      </c>
      <c r="S102" s="56">
        <f>$F$22*MIN(S22,$B$99)+IF($B$99-S22&gt;0,$F$23*($B$99-S22))+($F$24*365.25/12)</f>
        <v>206.63410347562242</v>
      </c>
      <c r="T102" s="56">
        <f>$F$22*MIN(T22,$B$99)+IF($B$99-T22&gt;0,$F$23*($B$99-T22))+($F$24*365.25/12)</f>
        <v>206.63410347562242</v>
      </c>
      <c r="V102" s="56"/>
      <c r="W102" s="56"/>
      <c r="X102" s="97"/>
      <c r="Y102" s="97"/>
    </row>
    <row r="103" spans="2:25">
      <c r="B103" s="20" t="s">
        <v>196</v>
      </c>
      <c r="C103" s="56">
        <f t="shared" si="191"/>
        <v>208.49081775000002</v>
      </c>
      <c r="D103" s="56">
        <f t="shared" si="191"/>
        <v>204.99683625</v>
      </c>
      <c r="E103" s="56">
        <f t="shared" ref="E103:F103" si="192">$D$22*MIN(I23,$B$99)+IF($B$99-I23&gt;0,$D$23*($B$99-I23))+($D$24*365.25/12)</f>
        <v>203.37647673360286</v>
      </c>
      <c r="F103" s="56">
        <f t="shared" si="192"/>
        <v>200.40323307543355</v>
      </c>
      <c r="G103" s="56">
        <f t="shared" ref="G103:H103" si="193">$E$22*MIN(I23,$B$99)+IF($B$99-I23&gt;0,$E$23*($B$99-I23))+($E$24*365.25/12)</f>
        <v>199.79728018771758</v>
      </c>
      <c r="H103" s="56">
        <f t="shared" si="193"/>
        <v>196.88341293210519</v>
      </c>
      <c r="I103" s="56">
        <f t="shared" ref="I103:J103" si="194">$F$22*MIN(I23,$B$99)+IF($B$99-I23&gt;0,$F$23*($B$99-I23))+($F$24*365.25/12)</f>
        <v>225.03870599436218</v>
      </c>
      <c r="J103" s="56">
        <f t="shared" si="194"/>
        <v>221.70610089057848</v>
      </c>
      <c r="L103" s="20" t="s">
        <v>196</v>
      </c>
      <c r="M103" s="56">
        <f t="shared" ref="M103:N111" si="195">$C$22*MIN(S23,$B$99)+IF($B$99-S23&gt;0,$C$23*($B$99-S23))</f>
        <v>206.05507500000002</v>
      </c>
      <c r="N103" s="56">
        <f t="shared" si="195"/>
        <v>194.8508975</v>
      </c>
      <c r="O103" s="56">
        <f t="shared" ref="O103:P103" si="196">$D$22*MIN(S23,$B$99)+IF($B$99-S23&gt;0,$D$23*($B$99-S23))+($D$24*365.25/12)</f>
        <v>201.30375348524868</v>
      </c>
      <c r="P103" s="56">
        <f t="shared" si="196"/>
        <v>191.76943005025674</v>
      </c>
      <c r="Q103" s="56">
        <f t="shared" ref="Q103:R103" si="197">$E$22*MIN(S23,$B$99)+IF($B$99-S23&gt;0,$E$23*($B$99-S23))+($E$24*365.25/12)</f>
        <v>197.76594972923624</v>
      </c>
      <c r="R103" s="56">
        <f t="shared" si="197"/>
        <v>188.42202906356616</v>
      </c>
      <c r="S103" s="56">
        <f t="shared" ref="S103:T103" si="198">$F$22*MIN(S23,$B$99)+IF($B$99-S23&gt;0,$F$23*($B$99-S23))+($F$24*365.25/12)</f>
        <v>222.71546280599554</v>
      </c>
      <c r="T103" s="56">
        <f t="shared" si="198"/>
        <v>212.02877224389653</v>
      </c>
      <c r="V103" s="56"/>
      <c r="W103" s="56"/>
      <c r="X103" s="97"/>
      <c r="Y103" s="97"/>
    </row>
    <row r="104" spans="2:25">
      <c r="B104" s="20" t="s">
        <v>197</v>
      </c>
      <c r="C104" s="56">
        <f t="shared" si="191"/>
        <v>189.19499999999999</v>
      </c>
      <c r="D104" s="56">
        <f t="shared" si="191"/>
        <v>206.74382700000001</v>
      </c>
      <c r="E104" s="56">
        <f t="shared" ref="E104:F104" si="199">$D$22*MIN(I24,$B$99)+IF($B$99-I24&gt;0,$D$23*($B$99-I24))+($D$24*365.25/12)</f>
        <v>186.95647915938036</v>
      </c>
      <c r="F104" s="56">
        <f t="shared" si="199"/>
        <v>201.88985490451822</v>
      </c>
      <c r="G104" s="56">
        <f t="shared" ref="G104:H104" si="200">$E$22*MIN(I24,$B$99)+IF($B$99-I24&gt;0,$E$23*($B$99-I24))+($E$24*365.25/12)</f>
        <v>183.70519397833462</v>
      </c>
      <c r="H104" s="56">
        <f t="shared" si="200"/>
        <v>198.34034655991135</v>
      </c>
      <c r="I104" s="56">
        <f t="shared" ref="I104:J104" si="201">$F$22*MIN(I24,$B$99)+IF($B$99-I24&gt;0,$F$23*($B$99-I24))+($F$24*365.25/12)</f>
        <v>206.63410347562242</v>
      </c>
      <c r="J104" s="56">
        <f t="shared" si="201"/>
        <v>223.37240344247036</v>
      </c>
      <c r="L104" s="20" t="s">
        <v>197</v>
      </c>
      <c r="M104" s="56">
        <f t="shared" si="195"/>
        <v>189.19499999999999</v>
      </c>
      <c r="N104" s="56">
        <f t="shared" si="195"/>
        <v>194.61174750000001</v>
      </c>
      <c r="O104" s="56">
        <f t="shared" ref="O104:P104" si="202">$D$22*MIN(S24,$B$99)+IF($B$99-S24&gt;0,$D$23*($B$99-S24))+($D$24*365.25/12)</f>
        <v>186.95647915938036</v>
      </c>
      <c r="P104" s="56">
        <f t="shared" si="202"/>
        <v>191.56592261301037</v>
      </c>
      <c r="Q104" s="56">
        <f t="shared" ref="Q104:R104" si="203">$E$22*MIN(S24,$B$99)+IF($B$99-S24&gt;0,$E$23*($B$99-S24))+($E$24*365.25/12)</f>
        <v>183.70519397833462</v>
      </c>
      <c r="R104" s="56">
        <f t="shared" si="203"/>
        <v>188.22258571958176</v>
      </c>
      <c r="S104" s="56">
        <f t="shared" ref="S104:T104" si="204">$F$22*MIN(S24,$B$99)+IF($B$99-S24&gt;0,$F$23*($B$99-S24))+($F$24*365.25/12)</f>
        <v>206.63410347562242</v>
      </c>
      <c r="T104" s="56">
        <f t="shared" si="204"/>
        <v>211.80066785623166</v>
      </c>
      <c r="V104" s="56"/>
      <c r="W104" s="56"/>
      <c r="X104" s="97"/>
      <c r="Y104" s="97"/>
    </row>
    <row r="105" spans="2:25">
      <c r="B105" s="20" t="s">
        <v>198</v>
      </c>
      <c r="C105" s="56">
        <f t="shared" si="191"/>
        <v>193.35023125000001</v>
      </c>
      <c r="D105" s="56">
        <f t="shared" si="191"/>
        <v>207.32615724999999</v>
      </c>
      <c r="E105" s="56">
        <f t="shared" ref="E105:F105" si="205">$D$22*MIN(I25,$B$99)+IF($B$99-I25&gt;0,$D$23*($B$99-I25))+($D$24*365.25/12)</f>
        <v>190.49242088153585</v>
      </c>
      <c r="F105" s="56">
        <f t="shared" si="205"/>
        <v>202.38539551421309</v>
      </c>
      <c r="G105" s="56">
        <f t="shared" ref="G105:H105" si="206">$E$22*MIN(I25,$B$99)+IF($B$99-I25&gt;0,$E$23*($B$99-I25))+($E$24*365.25/12)</f>
        <v>187.1705220800639</v>
      </c>
      <c r="H105" s="56">
        <f t="shared" si="206"/>
        <v>198.82599110251343</v>
      </c>
      <c r="I105" s="56">
        <f t="shared" ref="I105:J105" si="207">$F$22*MIN(I25,$B$99)+IF($B$99-I25&gt;0,$F$23*($B$99-I25))+($F$24*365.25/12)</f>
        <v>210.5974172112995</v>
      </c>
      <c r="J105" s="56">
        <f t="shared" si="207"/>
        <v>223.9278376264343</v>
      </c>
      <c r="L105" s="20" t="s">
        <v>198</v>
      </c>
      <c r="M105" s="56">
        <f t="shared" si="195"/>
        <v>189.19499999999999</v>
      </c>
      <c r="N105" s="56">
        <f t="shared" si="195"/>
        <v>195.25745250000003</v>
      </c>
      <c r="O105" s="56">
        <f t="shared" ref="O105:P105" si="208">$D$22*MIN(S25,$B$99)+IF($B$99-S25&gt;0,$D$23*($B$99-S25))+($D$24*365.25/12)</f>
        <v>186.95647915938036</v>
      </c>
      <c r="P105" s="56">
        <f t="shared" si="208"/>
        <v>192.11539269357556</v>
      </c>
      <c r="Q105" s="56">
        <f t="shared" ref="Q105:R105" si="209">$E$22*MIN(S25,$B$99)+IF($B$99-S25&gt;0,$E$23*($B$99-S25))+($E$24*365.25/12)</f>
        <v>183.70519397833462</v>
      </c>
      <c r="R105" s="56">
        <f t="shared" si="209"/>
        <v>188.7610827483397</v>
      </c>
      <c r="S105" s="56">
        <f t="shared" ref="S105:T105" si="210">$F$22*MIN(S25,$B$99)+IF($B$99-S25&gt;0,$F$23*($B$99-S25))+($F$24*365.25/12)</f>
        <v>206.63410347562242</v>
      </c>
      <c r="T105" s="56">
        <f t="shared" si="210"/>
        <v>212.4165497029268</v>
      </c>
      <c r="V105" s="56"/>
      <c r="W105" s="56"/>
      <c r="X105" s="97"/>
      <c r="Y105" s="97"/>
    </row>
    <row r="106" spans="2:25">
      <c r="B106" s="20" t="s">
        <v>199</v>
      </c>
      <c r="C106" s="56">
        <f t="shared" si="191"/>
        <v>218.09926687500001</v>
      </c>
      <c r="D106" s="56">
        <f t="shared" si="191"/>
        <v>215.18761562500003</v>
      </c>
      <c r="E106" s="56">
        <f t="shared" ref="E106:F106" si="211">$D$22*MIN(I26,$B$99)+IF($B$99-I26&gt;0,$D$23*($B$99-I26))+($D$24*365.25/12)</f>
        <v>211.55289679356846</v>
      </c>
      <c r="F106" s="56">
        <f t="shared" si="211"/>
        <v>209.07519374509403</v>
      </c>
      <c r="G106" s="56">
        <f t="shared" ref="G106:H106" si="212">$E$22*MIN(I26,$B$99)+IF($B$99-I26&gt;0,$E$23*($B$99-I26))+($E$24*365.25/12)</f>
        <v>207.8104151406516</v>
      </c>
      <c r="H106" s="56">
        <f t="shared" si="212"/>
        <v>205.38219242764129</v>
      </c>
      <c r="I106" s="56">
        <f t="shared" ref="I106:J106" si="213">$F$22*MIN(I26,$B$99)+IF($B$99-I26&gt;0,$F$23*($B$99-I26))+($F$24*365.25/12)</f>
        <v>234.2033700297674</v>
      </c>
      <c r="J106" s="56">
        <f t="shared" si="213"/>
        <v>231.42619910994765</v>
      </c>
      <c r="L106" s="20" t="s">
        <v>199</v>
      </c>
      <c r="M106" s="56">
        <f t="shared" si="195"/>
        <v>211.34029000000001</v>
      </c>
      <c r="N106" s="56">
        <f t="shared" si="195"/>
        <v>207.60955000000001</v>
      </c>
      <c r="O106" s="56">
        <f t="shared" ref="O106:P106" si="214">$D$22*MIN(S26,$B$99)+IF($B$99-S26&gt;0,$D$23*($B$99-S26))+($D$24*365.25/12)</f>
        <v>205.80126784839322</v>
      </c>
      <c r="P106" s="56">
        <f t="shared" si="214"/>
        <v>202.62655182735003</v>
      </c>
      <c r="Q106" s="56">
        <f t="shared" ref="Q106:R106" si="215">$E$22*MIN(S26,$B$99)+IF($B$99-S26&gt;0,$E$23*($B$99-S26))+($E$24*365.25/12)</f>
        <v>202.17364763129191</v>
      </c>
      <c r="R106" s="56">
        <f t="shared" si="215"/>
        <v>199.06233146513497</v>
      </c>
      <c r="S106" s="56">
        <f t="shared" ref="S106:T106" si="216">$F$22*MIN(S26,$B$99)+IF($B$99-S26&gt;0,$F$23*($B$99-S26))+($F$24*365.25/12)</f>
        <v>227.75656977338909</v>
      </c>
      <c r="T106" s="56">
        <f t="shared" si="216"/>
        <v>224.19814132581715</v>
      </c>
      <c r="V106" s="56"/>
      <c r="W106" s="56"/>
      <c r="X106" s="97"/>
      <c r="Y106" s="97"/>
    </row>
    <row r="107" spans="2:25">
      <c r="B107" s="20" t="s">
        <v>200</v>
      </c>
      <c r="C107" s="56">
        <f t="shared" si="191"/>
        <v>216.352276125</v>
      </c>
      <c r="D107" s="56">
        <f t="shared" si="191"/>
        <v>213.44062487500003</v>
      </c>
      <c r="E107" s="56">
        <f t="shared" ref="E107:F107" si="217">$D$22*MIN(I27,$B$99)+IF($B$99-I27&gt;0,$D$23*($B$99-I27))+($D$24*365.25/12)</f>
        <v>210.0662749644838</v>
      </c>
      <c r="F107" s="56">
        <f t="shared" si="217"/>
        <v>207.58857191600939</v>
      </c>
      <c r="G107" s="56">
        <f t="shared" ref="G107:H107" si="218">$E$22*MIN(I27,$B$99)+IF($B$99-I27&gt;0,$E$23*($B$99-I27))+($E$24*365.25/12)</f>
        <v>206.35348151284543</v>
      </c>
      <c r="H107" s="56">
        <f t="shared" si="218"/>
        <v>203.92525879983509</v>
      </c>
      <c r="I107" s="56">
        <f t="shared" ref="I107:J107" si="219">$F$22*MIN(I27,$B$99)+IF($B$99-I27&gt;0,$F$23*($B$99-I27))+($F$24*365.25/12)</f>
        <v>232.53706747787552</v>
      </c>
      <c r="J107" s="56">
        <f t="shared" si="219"/>
        <v>229.75989655805577</v>
      </c>
      <c r="L107" s="20" t="s">
        <v>200</v>
      </c>
      <c r="M107" s="56">
        <f t="shared" si="195"/>
        <v>209.83364499999999</v>
      </c>
      <c r="N107" s="56">
        <f t="shared" si="195"/>
        <v>203.77119250000001</v>
      </c>
      <c r="O107" s="56">
        <f t="shared" ref="O107:P107" si="220">$D$22*MIN(S27,$B$99)+IF($B$99-S27&gt;0,$D$23*($B$99-S27))+($D$24*365.25/12)</f>
        <v>204.51917099374114</v>
      </c>
      <c r="P107" s="56">
        <f t="shared" si="220"/>
        <v>199.36025745954595</v>
      </c>
      <c r="Q107" s="56">
        <f t="shared" ref="Q107:R107" si="221">$E$22*MIN(S27,$B$99)+IF($B$99-S27&gt;0,$E$23*($B$99-S27))+($E$24*365.25/12)</f>
        <v>200.9171545641901</v>
      </c>
      <c r="R107" s="56">
        <f t="shared" si="221"/>
        <v>195.86126579418502</v>
      </c>
      <c r="S107" s="56">
        <f t="shared" ref="S107:T107" si="222">$F$22*MIN(S27,$B$99)+IF($B$99-S27&gt;0,$F$23*($B$99-S27))+($F$24*365.25/12)</f>
        <v>226.31951213110042</v>
      </c>
      <c r="T107" s="56">
        <f t="shared" si="222"/>
        <v>220.53706590379605</v>
      </c>
      <c r="V107" s="56"/>
      <c r="W107" s="56"/>
      <c r="X107" s="97"/>
      <c r="Y107" s="97"/>
    </row>
    <row r="108" spans="2:25">
      <c r="B108" s="20" t="s">
        <v>201</v>
      </c>
      <c r="C108" s="56">
        <f t="shared" si="191"/>
        <v>189.19499999999999</v>
      </c>
      <c r="D108" s="56">
        <f t="shared" si="191"/>
        <v>208.49081775000002</v>
      </c>
      <c r="E108" s="56">
        <f t="shared" ref="E108:F108" si="223">$D$22*MIN(I28,$B$99)+IF($B$99-I28&gt;0,$D$23*($B$99-I28))+($D$24*365.25/12)</f>
        <v>186.95647915938036</v>
      </c>
      <c r="F108" s="56">
        <f t="shared" si="223"/>
        <v>203.37647673360286</v>
      </c>
      <c r="G108" s="56">
        <f t="shared" ref="G108:H108" si="224">$E$22*MIN(I28,$B$99)+IF($B$99-I28&gt;0,$E$23*($B$99-I28))+($E$24*365.25/12)</f>
        <v>183.70519397833462</v>
      </c>
      <c r="H108" s="56">
        <f t="shared" si="224"/>
        <v>199.79728018771758</v>
      </c>
      <c r="I108" s="56">
        <f t="shared" ref="I108:J108" si="225">$F$22*MIN(I28,$B$99)+IF($B$99-I28&gt;0,$F$23*($B$99-I28))+($F$24*365.25/12)</f>
        <v>206.63410347562242</v>
      </c>
      <c r="J108" s="56">
        <f t="shared" si="225"/>
        <v>225.03870599436218</v>
      </c>
      <c r="L108" s="20" t="s">
        <v>201</v>
      </c>
      <c r="M108" s="56">
        <f t="shared" si="195"/>
        <v>189.19499999999999</v>
      </c>
      <c r="N108" s="56">
        <f t="shared" si="195"/>
        <v>197.4337175</v>
      </c>
      <c r="O108" s="56">
        <f t="shared" ref="O108:P108" si="226">$D$22*MIN(S28,$B$99)+IF($B$99-S28&gt;0,$D$23*($B$99-S28))+($D$24*365.25/12)</f>
        <v>186.95647915938036</v>
      </c>
      <c r="P108" s="56">
        <f t="shared" si="226"/>
        <v>193.96731037251743</v>
      </c>
      <c r="Q108" s="56">
        <f t="shared" ref="Q108:R108" si="227">$E$22*MIN(S28,$B$99)+IF($B$99-S28&gt;0,$E$23*($B$99-S28))+($E$24*365.25/12)</f>
        <v>183.70519397833462</v>
      </c>
      <c r="R108" s="56">
        <f t="shared" si="227"/>
        <v>190.57601717859791</v>
      </c>
      <c r="S108" s="56">
        <f t="shared" ref="S108:T108" si="228">$F$22*MIN(S28,$B$99)+IF($B$99-S28&gt;0,$F$23*($B$99-S28))+($F$24*365.25/12)</f>
        <v>206.63410347562242</v>
      </c>
      <c r="T108" s="56">
        <f t="shared" si="228"/>
        <v>214.49229963067708</v>
      </c>
      <c r="V108" s="56"/>
      <c r="W108" s="56"/>
      <c r="X108" s="97"/>
      <c r="Y108" s="97"/>
    </row>
    <row r="109" spans="2:25">
      <c r="B109" s="20" t="s">
        <v>202</v>
      </c>
      <c r="C109" s="56">
        <f t="shared" si="191"/>
        <v>208.49081775000002</v>
      </c>
      <c r="D109" s="56">
        <f t="shared" si="191"/>
        <v>208.78198287500001</v>
      </c>
      <c r="E109" s="56">
        <f t="shared" ref="E109:F109" si="229">$D$22*MIN(I29,$B$99)+IF($B$99-I29&gt;0,$D$23*($B$99-I29))+($D$24*365.25/12)</f>
        <v>203.37647673360286</v>
      </c>
      <c r="F109" s="56">
        <f t="shared" si="229"/>
        <v>203.62424703845031</v>
      </c>
      <c r="G109" s="56">
        <f t="shared" ref="G109:H109" si="230">$E$22*MIN(I29,$B$99)+IF($B$99-I29&gt;0,$E$23*($B$99-I29))+($E$24*365.25/12)</f>
        <v>199.79728018771758</v>
      </c>
      <c r="H109" s="56">
        <f t="shared" si="230"/>
        <v>200.04010245901858</v>
      </c>
      <c r="I109" s="56">
        <f t="shared" ref="I109:J109" si="231">$F$22*MIN(I29,$B$99)+IF($B$99-I29&gt;0,$F$23*($B$99-I29))+($F$24*365.25/12)</f>
        <v>225.03870599436218</v>
      </c>
      <c r="J109" s="56">
        <f t="shared" si="231"/>
        <v>225.31642308634417</v>
      </c>
      <c r="L109" s="20" t="s">
        <v>202</v>
      </c>
      <c r="M109" s="56">
        <f t="shared" si="195"/>
        <v>199.64585500000001</v>
      </c>
      <c r="N109" s="56">
        <f t="shared" si="195"/>
        <v>200.38722000000001</v>
      </c>
      <c r="O109" s="56">
        <f t="shared" ref="O109:P109" si="232">$D$22*MIN(S29,$B$99)+IF($B$99-S29&gt;0,$D$23*($B$99-S29))+($D$24*365.25/12)</f>
        <v>195.84975416704626</v>
      </c>
      <c r="P109" s="56">
        <f t="shared" si="232"/>
        <v>196.48062722250998</v>
      </c>
      <c r="Q109" s="56">
        <f t="shared" ref="Q109:R109" si="233">$E$22*MIN(S29,$B$99)+IF($B$99-S29&gt;0,$E$23*($B$99-S29))+($E$24*365.25/12)</f>
        <v>192.42086811045377</v>
      </c>
      <c r="R109" s="56">
        <f t="shared" si="233"/>
        <v>193.03914247680549</v>
      </c>
      <c r="S109" s="56">
        <f t="shared" ref="S109:T109" si="234">$F$22*MIN(S29,$B$99)+IF($B$99-S29&gt;0,$F$23*($B$99-S29))+($F$24*365.25/12)</f>
        <v>216.60226521657708</v>
      </c>
      <c r="T109" s="56">
        <f t="shared" si="234"/>
        <v>217.30938881833819</v>
      </c>
      <c r="V109" s="56"/>
      <c r="W109" s="56"/>
      <c r="X109" s="97"/>
      <c r="Y109" s="97"/>
    </row>
    <row r="110" spans="2:25">
      <c r="B110" s="20" t="s">
        <v>203</v>
      </c>
      <c r="C110" s="56">
        <f t="shared" si="191"/>
        <v>206.45266187499999</v>
      </c>
      <c r="D110" s="56">
        <f t="shared" si="191"/>
        <v>204.70567112499998</v>
      </c>
      <c r="E110" s="56">
        <f t="shared" ref="E110:F110" si="235">$D$22*MIN(I30,$B$99)+IF($B$99-I30&gt;0,$D$23*($B$99-I30))+($D$24*365.25/12)</f>
        <v>201.64208459967077</v>
      </c>
      <c r="F110" s="56">
        <f t="shared" si="235"/>
        <v>200.1554627705861</v>
      </c>
      <c r="G110" s="56">
        <f t="shared" ref="G110:H110" si="236">$E$22*MIN(I30,$B$99)+IF($B$99-I30&gt;0,$E$23*($B$99-I30))+($E$24*365.25/12)</f>
        <v>198.09752428861034</v>
      </c>
      <c r="H110" s="56">
        <f t="shared" si="236"/>
        <v>196.64059066080415</v>
      </c>
      <c r="I110" s="56">
        <f t="shared" ref="I110:J110" si="237">$F$22*MIN(I30,$B$99)+IF($B$99-I30&gt;0,$F$23*($B$99-I30))+($F$24*365.25/12)</f>
        <v>223.09468635048839</v>
      </c>
      <c r="J110" s="56">
        <f t="shared" si="237"/>
        <v>221.42838379859651</v>
      </c>
      <c r="L110" s="20" t="s">
        <v>203</v>
      </c>
      <c r="M110" s="56">
        <f t="shared" si="195"/>
        <v>189.410235</v>
      </c>
      <c r="N110" s="56">
        <f t="shared" si="195"/>
        <v>190.18747250000001</v>
      </c>
      <c r="O110" s="56">
        <f t="shared" ref="O110:P110" si="238">$D$22*MIN(S30,$B$99)+IF($B$99-S30&gt;0,$D$23*($B$99-S30))+($D$24*365.25/12)</f>
        <v>187.13963585290207</v>
      </c>
      <c r="P110" s="56">
        <f t="shared" si="238"/>
        <v>187.80103502395275</v>
      </c>
      <c r="Q110" s="56">
        <f t="shared" ref="Q110:R110" si="239">$E$22*MIN(S30,$B$99)+IF($B$99-S30&gt;0,$E$23*($B$99-S30))+($E$24*365.25/12)</f>
        <v>183.8846929879206</v>
      </c>
      <c r="R110" s="56">
        <f t="shared" si="239"/>
        <v>184.53288385586998</v>
      </c>
      <c r="S110" s="56">
        <f t="shared" ref="S110:T110" si="240">$F$22*MIN(S30,$B$99)+IF($B$99-S30&gt;0,$F$23*($B$99-S30))+($F$24*365.25/12)</f>
        <v>206.8393974245208</v>
      </c>
      <c r="T110" s="56">
        <f t="shared" si="240"/>
        <v>207.58073668443163</v>
      </c>
      <c r="V110" s="56"/>
      <c r="W110" s="56"/>
      <c r="X110" s="97"/>
      <c r="Y110" s="97"/>
    </row>
    <row r="111" spans="2:25">
      <c r="B111" s="20" t="s">
        <v>204</v>
      </c>
      <c r="C111" s="56">
        <f t="shared" si="191"/>
        <v>219.84625762500002</v>
      </c>
      <c r="D111" s="56">
        <f t="shared" si="191"/>
        <v>214.31412024999997</v>
      </c>
      <c r="E111" s="56">
        <f t="shared" ref="E111:F111" si="241">$D$22*MIN(I31,$B$99)+IF($B$99-I31&gt;0,$D$23*($B$99-I31))+($D$24*365.25/12)</f>
        <v>213.03951862265311</v>
      </c>
      <c r="F111" s="56">
        <f t="shared" si="241"/>
        <v>208.33188283055168</v>
      </c>
      <c r="G111" s="56">
        <f t="shared" ref="G111:H111" si="242">$E$22*MIN(I31,$B$99)+IF($B$99-I31&gt;0,$E$23*($B$99-I31))+($E$24*365.25/12)</f>
        <v>209.26734876845779</v>
      </c>
      <c r="H111" s="56">
        <f t="shared" si="242"/>
        <v>204.6537256137382</v>
      </c>
      <c r="I111" s="56">
        <f t="shared" ref="I111:J111" si="243">$F$22*MIN(I31,$B$99)+IF($B$99-I31&gt;0,$F$23*($B$99-I31))+($F$24*365.25/12)</f>
        <v>235.86967258165924</v>
      </c>
      <c r="J111" s="56">
        <f t="shared" si="243"/>
        <v>230.59304783400168</v>
      </c>
      <c r="L111" s="20" t="s">
        <v>204</v>
      </c>
      <c r="M111" s="56">
        <f t="shared" si="195"/>
        <v>216.4581</v>
      </c>
      <c r="N111" s="56">
        <f t="shared" si="195"/>
        <v>207.95631750000001</v>
      </c>
      <c r="O111" s="56">
        <f t="shared" ref="O111:P111" si="244">$D$22*MIN(S31,$B$99)+IF($B$99-S31&gt;0,$D$23*($B$99-S31))+($D$24*365.25/12)</f>
        <v>210.1563270054653</v>
      </c>
      <c r="P111" s="56">
        <f t="shared" si="244"/>
        <v>202.92163761135723</v>
      </c>
      <c r="Q111" s="56">
        <f t="shared" ref="Q111:R111" si="245">$E$22*MIN(S31,$B$99)+IF($B$99-S31&gt;0,$E$23*($B$99-S31))+($E$24*365.25/12)</f>
        <v>206.44173519255853</v>
      </c>
      <c r="R111" s="56">
        <f t="shared" si="245"/>
        <v>199.35152431391239</v>
      </c>
      <c r="S111" s="56">
        <f t="shared" ref="S111:T111" si="246">$F$22*MIN(S31,$B$99)+IF($B$99-S31&gt;0,$F$23*($B$99-S31))+($F$24*365.25/12)</f>
        <v>232.63800366941726</v>
      </c>
      <c r="T111" s="56">
        <f t="shared" si="246"/>
        <v>224.52889268793123</v>
      </c>
      <c r="V111" s="56"/>
      <c r="W111" s="56"/>
      <c r="X111" s="97"/>
      <c r="Y111" s="97"/>
    </row>
    <row r="112" spans="2:25">
      <c r="B112" s="20" t="s">
        <v>194</v>
      </c>
      <c r="C112" s="78">
        <f t="shared" ref="C112:J112" si="247">SUMPRODUCT(C102:C111,$U$22:$U$31)</f>
        <v>194.75035484986034</v>
      </c>
      <c r="D112" s="78">
        <f t="shared" si="247"/>
        <v>207.64966747668257</v>
      </c>
      <c r="E112" s="78">
        <f t="shared" si="247"/>
        <v>191.68387212818325</v>
      </c>
      <c r="F112" s="78">
        <f t="shared" si="247"/>
        <v>202.66069025456505</v>
      </c>
      <c r="G112" s="78">
        <f t="shared" si="247"/>
        <v>188.33817975410804</v>
      </c>
      <c r="H112" s="78">
        <f t="shared" si="247"/>
        <v>199.09578813961454</v>
      </c>
      <c r="I112" s="78">
        <f t="shared" si="247"/>
        <v>211.932873353475</v>
      </c>
      <c r="J112" s="78">
        <f t="shared" si="247"/>
        <v>224.23640589806618</v>
      </c>
      <c r="L112" s="20" t="s">
        <v>194</v>
      </c>
      <c r="M112" s="78">
        <f t="shared" ref="M112:T112" si="248">SUMPRODUCT(M102:M111,$AC$22:$AC$31)</f>
        <v>190.76745539122632</v>
      </c>
      <c r="N112" s="78">
        <f t="shared" si="248"/>
        <v>194.28243496528864</v>
      </c>
      <c r="O112" s="78">
        <f t="shared" si="248"/>
        <v>188.29457812175832</v>
      </c>
      <c r="P112" s="78">
        <f t="shared" si="248"/>
        <v>191.28569033204778</v>
      </c>
      <c r="Q112" s="78">
        <f t="shared" si="248"/>
        <v>185.01657077738332</v>
      </c>
      <c r="R112" s="78">
        <f t="shared" si="248"/>
        <v>187.94794974576274</v>
      </c>
      <c r="S112" s="78">
        <f t="shared" si="248"/>
        <v>208.13393192699604</v>
      </c>
      <c r="T112" s="78">
        <f t="shared" si="248"/>
        <v>211.48656526756051</v>
      </c>
      <c r="X112" s="97"/>
    </row>
    <row r="114" spans="2:20">
      <c r="B114" s="467">
        <f>Summary!I$4</f>
        <v>500</v>
      </c>
      <c r="C114" s="549" t="s">
        <v>241</v>
      </c>
      <c r="D114" s="549"/>
      <c r="E114" s="549"/>
      <c r="F114" s="549"/>
      <c r="G114" s="549"/>
      <c r="H114" s="549"/>
      <c r="I114" s="549"/>
      <c r="J114" s="549"/>
      <c r="L114" s="467">
        <f>Summary!I$4</f>
        <v>500</v>
      </c>
      <c r="M114" s="549" t="s">
        <v>243</v>
      </c>
      <c r="N114" s="549"/>
      <c r="O114" s="549"/>
      <c r="P114" s="549"/>
      <c r="Q114" s="549"/>
      <c r="R114" s="549"/>
      <c r="S114" s="549"/>
      <c r="T114" s="549"/>
    </row>
    <row r="115" spans="2:20">
      <c r="B115" s="406"/>
      <c r="C115" s="550">
        <f>$C$27</f>
        <v>46023</v>
      </c>
      <c r="D115" s="551"/>
      <c r="E115" s="550">
        <f>$D$27</f>
        <v>46082</v>
      </c>
      <c r="F115" s="551"/>
      <c r="G115" s="552" t="str">
        <f>$E$21</f>
        <v>Authorized</v>
      </c>
      <c r="H115" s="552"/>
      <c r="I115" s="553" t="str">
        <f>$F$21</f>
        <v>w/Pending</v>
      </c>
      <c r="J115" s="552"/>
      <c r="L115" s="406"/>
      <c r="M115" s="550">
        <f>$C$27</f>
        <v>46023</v>
      </c>
      <c r="N115" s="551"/>
      <c r="O115" s="550">
        <f>$D$27</f>
        <v>46082</v>
      </c>
      <c r="P115" s="551"/>
      <c r="Q115" s="552" t="str">
        <f>$E$21</f>
        <v>Authorized</v>
      </c>
      <c r="R115" s="552"/>
      <c r="S115" s="553" t="str">
        <f>$F$21</f>
        <v>w/Pending</v>
      </c>
      <c r="T115" s="552"/>
    </row>
    <row r="116" spans="2:20">
      <c r="B116" s="406"/>
      <c r="C116" s="56" t="s">
        <v>143</v>
      </c>
      <c r="D116" s="56" t="s">
        <v>144</v>
      </c>
      <c r="E116" s="56" t="s">
        <v>143</v>
      </c>
      <c r="F116" s="56" t="s">
        <v>144</v>
      </c>
      <c r="G116" s="56" t="s">
        <v>143</v>
      </c>
      <c r="H116" s="56" t="s">
        <v>144</v>
      </c>
      <c r="I116" s="56" t="s">
        <v>143</v>
      </c>
      <c r="J116" s="56" t="s">
        <v>144</v>
      </c>
      <c r="L116" s="406"/>
      <c r="M116" s="56" t="s">
        <v>143</v>
      </c>
      <c r="N116" s="56" t="s">
        <v>144</v>
      </c>
      <c r="O116" s="56" t="s">
        <v>143</v>
      </c>
      <c r="P116" s="56" t="s">
        <v>144</v>
      </c>
      <c r="Q116" s="56" t="s">
        <v>143</v>
      </c>
      <c r="R116" s="56" t="s">
        <v>144</v>
      </c>
      <c r="S116" s="56" t="s">
        <v>143</v>
      </c>
      <c r="T116" s="56" t="s">
        <v>144</v>
      </c>
    </row>
    <row r="117" spans="2:20">
      <c r="B117" s="20" t="s">
        <v>195</v>
      </c>
      <c r="C117" s="56">
        <f t="shared" ref="C117:D126" si="249">$C$28*MIN(I22,$B$114)+IF($B$114-I22&gt;0,$C$29*($B$114-I22))</f>
        <v>120.6589584375</v>
      </c>
      <c r="D117" s="56">
        <f t="shared" si="249"/>
        <v>125.389706875</v>
      </c>
      <c r="E117" s="56">
        <f>$D$28*MIN(I22,$B$114)+IF($B$114-I22&gt;0,$D$29*($B$114-I22))+($D$30*365.25/12)</f>
        <v>111.35043948504673</v>
      </c>
      <c r="F117" s="56">
        <f>$D$28*MIN(J22,$B$114)+IF($B$114-J22&gt;0,$D$29*($B$114-J22))+($D$30*365.25/12)</f>
        <v>115.37670693881775</v>
      </c>
      <c r="G117" s="56">
        <f>$E$28*MIN(I22,$B$114)+IF($B$114-I22&gt;0,$E$29*($B$114-I22))+($E$30*365.25/12)</f>
        <v>109.24656545937563</v>
      </c>
      <c r="H117" s="56">
        <f>$E$28*MIN(J22,$B$114)+IF($B$114-J22&gt;0,$E$29*($B$114-J22))+($E$30*365.25/12)</f>
        <v>113.19242736801746</v>
      </c>
      <c r="I117" s="56">
        <f>$F$28*MIN(I22,$B$114)+IF($B$114-I22&gt;0,$F$29*($B$114-I22))+($F$30*365.25/12)</f>
        <v>124.08363278571582</v>
      </c>
      <c r="J117" s="56">
        <f>$F$28*MIN(J22,$B$114)+IF($B$114-J22&gt;0,$F$29*($B$114-J22))+($F$30*365.25/12)</f>
        <v>128.59653553042301</v>
      </c>
      <c r="L117" s="20" t="s">
        <v>195</v>
      </c>
      <c r="M117" s="56">
        <f t="shared" ref="M117:N126" si="250">$C$28*MIN(S22,$B$114)+IF($B$114-S22&gt;0,$C$29*($B$114-S22))</f>
        <v>115.12</v>
      </c>
      <c r="N117" s="56">
        <f t="shared" si="250"/>
        <v>115.12</v>
      </c>
      <c r="O117" s="56">
        <f>$D$28*MIN(S22,$B$114)+IF($B$114-S22&gt;0,$D$29*($B$114-S22))+($D$30*365.25/12)</f>
        <v>106.63631689338303</v>
      </c>
      <c r="P117" s="56">
        <f>$D$28*MIN(T22,$B$114)+IF($B$114-T22&gt;0,$D$29*($B$114-T22))+($D$30*365.25/12)</f>
        <v>106.63631689338303</v>
      </c>
      <c r="Q117" s="56">
        <f>$E$28*MIN(S22,$B$114)+IF($B$114-S22&gt;0,$E$29*($B$114-S22))+($E$30*365.25/12)</f>
        <v>104.62658504806645</v>
      </c>
      <c r="R117" s="56">
        <f>$E$28*MIN(T22,$B$114)+IF($B$114-T22&gt;0,$E$29*($B$114-T22))+($E$30*365.25/12)</f>
        <v>104.62658504806645</v>
      </c>
      <c r="S117" s="56">
        <f>$F$28*MIN(S22,$B$114)+IF($B$114-S22&gt;0,$F$29*($B$114-S22))+($F$30*365.25/12)</f>
        <v>118.79973721070138</v>
      </c>
      <c r="T117" s="56">
        <f>$F$28*MIN(T22,$B$114)+IF($B$114-T22&gt;0,$F$29*($B$114-T22))+($F$30*365.25/12)</f>
        <v>118.79973721070138</v>
      </c>
    </row>
    <row r="118" spans="2:20">
      <c r="B118" s="20" t="s">
        <v>196</v>
      </c>
      <c r="C118" s="56">
        <f t="shared" si="249"/>
        <v>127.660466125</v>
      </c>
      <c r="D118" s="56">
        <f t="shared" si="249"/>
        <v>125.389706875</v>
      </c>
      <c r="E118" s="56">
        <f t="shared" ref="E118:F118" si="251">$D$28*MIN(I23,$B$114)+IF($B$114-I23&gt;0,$D$29*($B$114-I23))+($D$30*365.25/12)</f>
        <v>117.30931531662785</v>
      </c>
      <c r="F118" s="56">
        <f t="shared" si="251"/>
        <v>115.37670693881775</v>
      </c>
      <c r="G118" s="56">
        <f t="shared" ref="G118:H118" si="252">$E$28*MIN(I23,$B$114)+IF($B$114-I23&gt;0,$E$29*($B$114-I23))+($E$30*365.25/12)</f>
        <v>115.08644108416554</v>
      </c>
      <c r="H118" s="56">
        <f t="shared" si="252"/>
        <v>113.19242736801746</v>
      </c>
      <c r="I118" s="56">
        <f t="shared" ref="I118:J118" si="253">$F$28*MIN(I23,$B$114)+IF($B$114-I23&gt;0,$F$29*($B$114-I23))+($F$30*365.25/12)</f>
        <v>130.76272884788247</v>
      </c>
      <c r="J118" s="56">
        <f t="shared" si="253"/>
        <v>128.59653553042301</v>
      </c>
      <c r="L118" s="20" t="s">
        <v>196</v>
      </c>
      <c r="M118" s="56">
        <f t="shared" si="250"/>
        <v>126.0774625</v>
      </c>
      <c r="N118" s="56">
        <f t="shared" si="250"/>
        <v>118.79580125</v>
      </c>
      <c r="O118" s="56">
        <f t="shared" ref="O118:P118" si="254">$D$28*MIN(S23,$B$114)+IF($B$114-S23&gt;0,$D$29*($B$114-S23))+($D$30*365.25/12)</f>
        <v>115.9620452051976</v>
      </c>
      <c r="P118" s="56">
        <f t="shared" si="254"/>
        <v>109.76473497245274</v>
      </c>
      <c r="Q118" s="56">
        <f t="shared" ref="Q118:Q126" si="255">$E$28*MIN(S23,$B$114)+IF($B$114-S23&gt;0,$E$29*($B$114-S23))+($E$30*365.25/12)</f>
        <v>113.76607628615267</v>
      </c>
      <c r="R118" s="56">
        <f t="shared" ref="R118:R126" si="256">$E$28*MIN(T23,$B$114)+IF($B$114-T23&gt;0,$E$29*($B$114-T23))+($E$30*365.25/12)</f>
        <v>107.692527853467</v>
      </c>
      <c r="S118" s="56">
        <f t="shared" ref="S118:T118" si="257">$F$28*MIN(S23,$B$114)+IF($B$114-S23&gt;0,$F$29*($B$114-S23))+($F$30*365.25/12)</f>
        <v>129.25262077544409</v>
      </c>
      <c r="T118" s="56">
        <f t="shared" si="257"/>
        <v>122.30627191007962</v>
      </c>
    </row>
    <row r="119" spans="2:20">
      <c r="B119" s="20" t="s">
        <v>197</v>
      </c>
      <c r="C119" s="56">
        <f t="shared" si="249"/>
        <v>115.12</v>
      </c>
      <c r="D119" s="56">
        <f t="shared" si="249"/>
        <v>126.52508650000001</v>
      </c>
      <c r="E119" s="56">
        <f t="shared" ref="E119:F119" si="258">$D$28*MIN(I24,$B$114)+IF($B$114-I24&gt;0,$D$29*($B$114-I24))+($D$30*365.25/12)</f>
        <v>106.63631689338303</v>
      </c>
      <c r="F119" s="56">
        <f t="shared" si="258"/>
        <v>116.34301112772279</v>
      </c>
      <c r="G119" s="56">
        <f t="shared" ref="G119:H119" si="259">$E$28*MIN(I24,$B$114)+IF($B$114-I24&gt;0,$E$29*($B$114-I24))+($E$30*365.25/12)</f>
        <v>104.62658504806645</v>
      </c>
      <c r="H119" s="56">
        <f t="shared" si="259"/>
        <v>114.13943422609151</v>
      </c>
      <c r="I119" s="56">
        <f t="shared" ref="I119:J119" si="260">$F$28*MIN(I24,$B$114)+IF($B$114-I24&gt;0,$F$29*($B$114-I24))+($F$30*365.25/12)</f>
        <v>118.79973721070138</v>
      </c>
      <c r="J119" s="56">
        <f t="shared" si="260"/>
        <v>129.67963218915273</v>
      </c>
      <c r="L119" s="20" t="s">
        <v>197</v>
      </c>
      <c r="M119" s="56">
        <f t="shared" si="250"/>
        <v>115.12</v>
      </c>
      <c r="N119" s="56">
        <f t="shared" si="250"/>
        <v>118.64037625</v>
      </c>
      <c r="O119" s="56">
        <f>$D$28*MIN(S24,$B$114)+IF($B$114-S24&gt;0,$D$29*($B$114-S24))+($D$30*365.25/12)</f>
        <v>106.63631689338303</v>
      </c>
      <c r="P119" s="56">
        <f t="shared" ref="P119" si="261">$D$28*MIN(T24,$B$114)+IF($B$114-T24&gt;0,$D$29*($B$114-T24))+($D$30*365.25/12)</f>
        <v>109.63245513824261</v>
      </c>
      <c r="Q119" s="56">
        <f t="shared" si="255"/>
        <v>104.62658504806645</v>
      </c>
      <c r="R119" s="56">
        <f t="shared" si="256"/>
        <v>107.56288967987712</v>
      </c>
      <c r="S119" s="56">
        <f t="shared" ref="S119:T119" si="262">$F$28*MIN(S24,$B$114)+IF($B$114-S24&gt;0,$F$29*($B$114-S24))+($F$30*365.25/12)</f>
        <v>118.79973721070138</v>
      </c>
      <c r="T119" s="56">
        <f t="shared" si="262"/>
        <v>122.15800405809745</v>
      </c>
    </row>
    <row r="120" spans="2:20">
      <c r="B120" s="20" t="s">
        <v>198</v>
      </c>
      <c r="C120" s="56">
        <f t="shared" si="249"/>
        <v>117.820509375</v>
      </c>
      <c r="D120" s="56">
        <f t="shared" si="249"/>
        <v>126.903546375</v>
      </c>
      <c r="E120" s="56">
        <f t="shared" ref="E120:F120" si="263">$D$28*MIN(I25,$B$114)+IF($B$114-I25&gt;0,$D$29*($B$114-I25))+($D$30*365.25/12)</f>
        <v>108.93467901278413</v>
      </c>
      <c r="F120" s="56">
        <f t="shared" si="263"/>
        <v>116.66511252402448</v>
      </c>
      <c r="G120" s="56">
        <f t="shared" ref="G120:H120" si="264">$E$28*MIN(I25,$B$114)+IF($B$114-I25&gt;0,$E$29*($B$114-I25))+($E$30*365.25/12)</f>
        <v>106.87904831419053</v>
      </c>
      <c r="H120" s="56">
        <f t="shared" si="264"/>
        <v>114.45510317878285</v>
      </c>
      <c r="I120" s="56">
        <f t="shared" ref="I120:J120" si="265">$F$28*MIN(I25,$B$114)+IF($B$114-I25&gt;0,$F$29*($B$114-I25))+($F$30*365.25/12)</f>
        <v>121.37589113889152</v>
      </c>
      <c r="J120" s="56">
        <f t="shared" si="265"/>
        <v>130.0406644087293</v>
      </c>
      <c r="L120" s="20" t="s">
        <v>198</v>
      </c>
      <c r="M120" s="56">
        <f t="shared" si="250"/>
        <v>115.12</v>
      </c>
      <c r="N120" s="56">
        <f t="shared" si="250"/>
        <v>119.06002375</v>
      </c>
      <c r="O120" s="56">
        <f t="shared" ref="O120:P120" si="266">$D$28*MIN(S25,$B$114)+IF($B$114-S25&gt;0,$D$29*($B$114-S25))+($D$30*365.25/12)</f>
        <v>106.63631689338303</v>
      </c>
      <c r="P120" s="56">
        <f t="shared" si="266"/>
        <v>109.98961069060996</v>
      </c>
      <c r="Q120" s="56">
        <f t="shared" si="255"/>
        <v>104.62658504806645</v>
      </c>
      <c r="R120" s="56">
        <f t="shared" si="256"/>
        <v>107.91291274856979</v>
      </c>
      <c r="S120" s="56">
        <f t="shared" ref="S120:T120" si="267">$F$28*MIN(S25,$B$114)+IF($B$114-S25&gt;0,$F$29*($B$114-S25))+($F$30*365.25/12)</f>
        <v>118.79973721070138</v>
      </c>
      <c r="T120" s="56">
        <f t="shared" si="267"/>
        <v>122.55832725844928</v>
      </c>
    </row>
    <row r="121" spans="2:20">
      <c r="B121" s="20" t="s">
        <v>199</v>
      </c>
      <c r="C121" s="56">
        <f t="shared" si="249"/>
        <v>133.9050540625</v>
      </c>
      <c r="D121" s="56">
        <f t="shared" si="249"/>
        <v>132.01275468750001</v>
      </c>
      <c r="E121" s="56">
        <f t="shared" ref="E121:F121" si="268">$D$28*MIN(I26,$B$114)+IF($B$114-I26&gt;0,$D$29*($B$114-I26))+($D$30*365.25/12)</f>
        <v>122.62398835560558</v>
      </c>
      <c r="F121" s="56">
        <f t="shared" si="268"/>
        <v>121.01348137409718</v>
      </c>
      <c r="G121" s="56">
        <f t="shared" ref="G121:H121" si="269">$E$28*MIN(I26,$B$114)+IF($B$114-I26&gt;0,$E$29*($B$114-I26))+($E$30*365.25/12)</f>
        <v>120.29497880357275</v>
      </c>
      <c r="H121" s="56">
        <f t="shared" si="269"/>
        <v>118.71663404011603</v>
      </c>
      <c r="I121" s="56">
        <f t="shared" ref="I121:J121" si="270">$F$28*MIN(I26,$B$114)+IF($B$114-I26&gt;0,$F$29*($B$114-I26))+($F$30*365.25/12)</f>
        <v>136.71976047089595</v>
      </c>
      <c r="J121" s="56">
        <f t="shared" si="270"/>
        <v>134.91459937301306</v>
      </c>
      <c r="L121" s="20" t="s">
        <v>199</v>
      </c>
      <c r="M121" s="56">
        <f t="shared" si="250"/>
        <v>129.51235500000001</v>
      </c>
      <c r="N121" s="56">
        <f t="shared" si="250"/>
        <v>127.08772500000001</v>
      </c>
      <c r="O121" s="56">
        <f t="shared" ref="O121:P121" si="271">$D$28*MIN(S26,$B$114)+IF($B$114-S26&gt;0,$D$29*($B$114-S26))+($D$30*365.25/12)</f>
        <v>118.88542954124162</v>
      </c>
      <c r="P121" s="56">
        <f t="shared" si="271"/>
        <v>116.82186412756349</v>
      </c>
      <c r="Q121" s="56">
        <f t="shared" si="255"/>
        <v>116.63107992248891</v>
      </c>
      <c r="R121" s="56">
        <f t="shared" si="256"/>
        <v>114.60872441448686</v>
      </c>
      <c r="S121" s="56">
        <f t="shared" ref="S121:T121" si="272">$F$28*MIN(S26,$B$114)+IF($B$114-S26&gt;0,$F$29*($B$114-S26))+($F$30*365.25/12)</f>
        <v>132.52934030424998</v>
      </c>
      <c r="T121" s="56">
        <f t="shared" si="272"/>
        <v>130.21636181332818</v>
      </c>
    </row>
    <row r="122" spans="2:20">
      <c r="B122" s="20" t="s">
        <v>200</v>
      </c>
      <c r="C122" s="56">
        <f t="shared" si="249"/>
        <v>132.76967443749999</v>
      </c>
      <c r="D122" s="56">
        <f t="shared" si="249"/>
        <v>130.87737506249999</v>
      </c>
      <c r="E122" s="56">
        <f t="shared" ref="E122:F122" si="273">$D$28*MIN(I27,$B$114)+IF($B$114-I27&gt;0,$D$29*($B$114-I27))+($D$30*365.25/12)</f>
        <v>121.65768416670053</v>
      </c>
      <c r="F122" s="56">
        <f t="shared" si="273"/>
        <v>120.04717718519213</v>
      </c>
      <c r="G122" s="56">
        <f t="shared" ref="G122:H122" si="274">$E$28*MIN(I27,$B$114)+IF($B$114-I27&gt;0,$E$29*($B$114-I27))+($E$30*365.25/12)</f>
        <v>119.34797194549873</v>
      </c>
      <c r="H122" s="56">
        <f t="shared" si="274"/>
        <v>117.76962718204199</v>
      </c>
      <c r="I122" s="56">
        <f t="shared" ref="I122:J122" si="275">$F$28*MIN(I27,$B$114)+IF($B$114-I27&gt;0,$F$29*($B$114-I27))+($F$30*365.25/12)</f>
        <v>135.6366638121662</v>
      </c>
      <c r="J122" s="56">
        <f t="shared" si="275"/>
        <v>133.83150271428335</v>
      </c>
      <c r="L122" s="20" t="s">
        <v>200</v>
      </c>
      <c r="M122" s="56">
        <f t="shared" si="250"/>
        <v>128.53317749999999</v>
      </c>
      <c r="N122" s="56">
        <f t="shared" si="250"/>
        <v>124.59315375</v>
      </c>
      <c r="O122" s="56">
        <f t="shared" ref="O122:P122" si="276">$D$28*MIN(S27,$B$114)+IF($B$114-S27&gt;0,$D$29*($B$114-S27))+($D$30*365.25/12)</f>
        <v>118.05206658571775</v>
      </c>
      <c r="P122" s="56">
        <f t="shared" si="276"/>
        <v>114.6987727884908</v>
      </c>
      <c r="Q122" s="56">
        <f t="shared" si="255"/>
        <v>115.81435942887269</v>
      </c>
      <c r="R122" s="56">
        <f t="shared" si="256"/>
        <v>112.52803172836934</v>
      </c>
      <c r="S122" s="56">
        <f t="shared" ref="S122:T122" si="277">$F$28*MIN(S27,$B$114)+IF($B$114-S27&gt;0,$F$29*($B$114-S27))+($F$30*365.25/12)</f>
        <v>131.59525283676231</v>
      </c>
      <c r="T122" s="56">
        <f t="shared" si="277"/>
        <v>127.83666278901441</v>
      </c>
    </row>
    <row r="123" spans="2:20">
      <c r="B123" s="20" t="s">
        <v>201</v>
      </c>
      <c r="C123" s="56">
        <f t="shared" si="249"/>
        <v>115.12</v>
      </c>
      <c r="D123" s="56">
        <f t="shared" si="249"/>
        <v>127.660466125</v>
      </c>
      <c r="E123" s="56">
        <f t="shared" ref="E123:F123" si="278">$D$28*MIN(I28,$B$114)+IF($B$114-I28&gt;0,$D$29*($B$114-I28))+($D$30*365.25/12)</f>
        <v>106.63631689338303</v>
      </c>
      <c r="F123" s="56">
        <f t="shared" si="278"/>
        <v>117.30931531662785</v>
      </c>
      <c r="G123" s="56">
        <f t="shared" ref="G123:H123" si="279">$E$28*MIN(I28,$B$114)+IF($B$114-I28&gt;0,$E$29*($B$114-I28))+($E$30*365.25/12)</f>
        <v>104.62658504806645</v>
      </c>
      <c r="H123" s="56">
        <f t="shared" si="279"/>
        <v>115.08644108416554</v>
      </c>
      <c r="I123" s="56">
        <f t="shared" ref="I123:J123" si="280">$F$28*MIN(I28,$B$114)+IF($B$114-I28&gt;0,$F$29*($B$114-I28))+($F$30*365.25/12)</f>
        <v>118.79973721070138</v>
      </c>
      <c r="J123" s="56">
        <f t="shared" si="280"/>
        <v>130.76272884788247</v>
      </c>
      <c r="L123" s="20" t="s">
        <v>201</v>
      </c>
      <c r="M123" s="56">
        <f t="shared" si="250"/>
        <v>115.12</v>
      </c>
      <c r="N123" s="56">
        <f t="shared" si="250"/>
        <v>120.47439125000001</v>
      </c>
      <c r="O123" s="56">
        <f t="shared" ref="O123:P123" si="281">$D$28*MIN(S28,$B$114)+IF($B$114-S28&gt;0,$D$29*($B$114-S28))+($D$30*365.25/12)</f>
        <v>106.63631689338303</v>
      </c>
      <c r="P123" s="56">
        <f t="shared" si="281"/>
        <v>111.19335718192221</v>
      </c>
      <c r="Q123" s="56">
        <f t="shared" si="255"/>
        <v>104.62658504806645</v>
      </c>
      <c r="R123" s="56">
        <f t="shared" si="256"/>
        <v>109.09262012823766</v>
      </c>
      <c r="S123" s="56">
        <f t="shared" ref="S123:T123" si="282">$F$28*MIN(S28,$B$114)+IF($B$114-S28&gt;0,$F$29*($B$114-S28))+($F$30*365.25/12)</f>
        <v>118.79973721070138</v>
      </c>
      <c r="T123" s="56">
        <f t="shared" si="282"/>
        <v>123.90756471148701</v>
      </c>
    </row>
    <row r="124" spans="2:20">
      <c r="B124" s="20" t="s">
        <v>202</v>
      </c>
      <c r="C124" s="56">
        <f>$C$28*MIN(I29,$B$114)+IF($B$114-I29&gt;0,$C$29*($B$114-I29))</f>
        <v>127.660466125</v>
      </c>
      <c r="D124" s="56">
        <f>$C$28*MIN(J29,$B$114)+IF($B$114-J29&gt;0,$C$29*($B$114-J29))</f>
        <v>127.84969606249999</v>
      </c>
      <c r="E124" s="56">
        <f t="shared" ref="E124:F124" si="283">$D$28*MIN(I29,$B$114)+IF($B$114-I29&gt;0,$D$29*($B$114-I29))+($D$30*365.25/12)</f>
        <v>117.30931531662785</v>
      </c>
      <c r="F124" s="56">
        <f t="shared" si="283"/>
        <v>117.47036601477868</v>
      </c>
      <c r="G124" s="56">
        <f t="shared" ref="G124:H124" si="284">$E$28*MIN(I29,$B$114)+IF($B$114-I29&gt;0,$E$29*($B$114-I29))+($E$30*365.25/12)</f>
        <v>115.08644108416554</v>
      </c>
      <c r="H124" s="56">
        <f t="shared" si="284"/>
        <v>115.24427556051123</v>
      </c>
      <c r="I124" s="56">
        <f t="shared" ref="I124:J124" si="285">$F$28*MIN(I29,$B$114)+IF($B$114-I29&gt;0,$F$29*($B$114-I29))+($F$30*365.25/12)</f>
        <v>130.76272884788247</v>
      </c>
      <c r="J124" s="56">
        <f t="shared" si="285"/>
        <v>130.94324495767074</v>
      </c>
      <c r="L124" s="20" t="s">
        <v>202</v>
      </c>
      <c r="M124" s="56">
        <f t="shared" si="250"/>
        <v>121.91207249999999</v>
      </c>
      <c r="N124" s="56">
        <f t="shared" si="250"/>
        <v>122.39389</v>
      </c>
      <c r="O124" s="56">
        <f t="shared" ref="O124:P124" si="286">$D$28*MIN(S29,$B$114)+IF($B$114-S29&gt;0,$D$29*($B$114-S29))+($D$30*365.25/12)</f>
        <v>112.41694564836597</v>
      </c>
      <c r="P124" s="56">
        <f t="shared" si="286"/>
        <v>112.82701313441738</v>
      </c>
      <c r="Q124" s="56">
        <f t="shared" si="255"/>
        <v>110.291773233944</v>
      </c>
      <c r="R124" s="56">
        <f t="shared" si="256"/>
        <v>110.69365157207261</v>
      </c>
      <c r="S124" s="56">
        <f t="shared" ref="S124:T124" si="287">$F$28*MIN(S29,$B$114)+IF($B$114-S29&gt;0,$F$29*($B$114-S29))+($F$30*365.25/12)</f>
        <v>125.27904234232204</v>
      </c>
      <c r="T124" s="56">
        <f t="shared" si="287"/>
        <v>125.73867268346676</v>
      </c>
    </row>
    <row r="125" spans="2:20">
      <c r="B125" s="20" t="s">
        <v>203</v>
      </c>
      <c r="C125" s="56">
        <f t="shared" si="249"/>
        <v>126.3358565625</v>
      </c>
      <c r="D125" s="56">
        <f t="shared" si="249"/>
        <v>125.2004769375</v>
      </c>
      <c r="E125" s="56">
        <f t="shared" ref="E125:F125" si="288">$D$28*MIN(I30,$B$114)+IF($B$114-I30&gt;0,$D$29*($B$114-I30))+($D$30*365.25/12)</f>
        <v>116.18196042957194</v>
      </c>
      <c r="F125" s="56">
        <f t="shared" si="288"/>
        <v>115.21565624066692</v>
      </c>
      <c r="G125" s="56">
        <f t="shared" ref="G125:H125" si="289">$E$28*MIN(I30,$B$114)+IF($B$114-I30&gt;0,$E$29*($B$114-I30))+($E$30*365.25/12)</f>
        <v>113.98159974974584</v>
      </c>
      <c r="H125" s="56">
        <f t="shared" si="289"/>
        <v>113.03459289167179</v>
      </c>
      <c r="I125" s="56">
        <f t="shared" ref="I125:J125" si="290">$F$28*MIN(I30,$B$114)+IF($B$114-I30&gt;0,$F$29*($B$114-I30))+($F$30*365.25/12)</f>
        <v>129.49911607936446</v>
      </c>
      <c r="J125" s="56">
        <f t="shared" si="290"/>
        <v>128.41601942063471</v>
      </c>
      <c r="L125" s="20" t="s">
        <v>203</v>
      </c>
      <c r="M125" s="56">
        <f t="shared" si="250"/>
        <v>115.2598825</v>
      </c>
      <c r="N125" s="56">
        <f t="shared" si="250"/>
        <v>115.76501375000001</v>
      </c>
      <c r="O125" s="56">
        <f t="shared" ref="O125:P125" si="291">$D$28*MIN(S30,$B$114)+IF($B$114-S30&gt;0,$D$29*($B$114-S30))+($D$30*365.25/12)</f>
        <v>106.75536874417215</v>
      </c>
      <c r="P125" s="56">
        <f t="shared" si="291"/>
        <v>107.18527820535508</v>
      </c>
      <c r="Q125" s="56">
        <f t="shared" si="255"/>
        <v>104.74325940429733</v>
      </c>
      <c r="R125" s="56">
        <f t="shared" si="256"/>
        <v>105.16458346846443</v>
      </c>
      <c r="S125" s="56">
        <f t="shared" ref="S125:T125" si="292">$F$28*MIN(S30,$B$114)+IF($B$114-S30&gt;0,$F$29*($B$114-S30))+($F$30*365.25/12)</f>
        <v>118.93317827748533</v>
      </c>
      <c r="T125" s="56">
        <f t="shared" si="292"/>
        <v>119.41504879642737</v>
      </c>
    </row>
    <row r="126" spans="2:20">
      <c r="B126" s="20" t="s">
        <v>204</v>
      </c>
      <c r="C126" s="56">
        <f t="shared" si="249"/>
        <v>135.04043368750001</v>
      </c>
      <c r="D126" s="56">
        <f t="shared" si="249"/>
        <v>131.44506487499999</v>
      </c>
      <c r="E126" s="56">
        <f t="shared" ref="E126:F126" si="293">$D$28*MIN(I31,$B$114)+IF($B$114-I31&gt;0,$D$29*($B$114-I31))+($D$30*365.25/12)</f>
        <v>123.59029254451062</v>
      </c>
      <c r="F126" s="56">
        <f t="shared" si="293"/>
        <v>120.53032927964463</v>
      </c>
      <c r="G126" s="56">
        <f t="shared" ref="G126:H126" si="294">$E$28*MIN(I31,$B$114)+IF($B$114-I31&gt;0,$E$29*($B$114-I31))+($E$30*365.25/12)</f>
        <v>121.24198566164679</v>
      </c>
      <c r="H126" s="56">
        <f t="shared" si="294"/>
        <v>118.24313061107901</v>
      </c>
      <c r="I126" s="56">
        <f t="shared" ref="I126:J126" si="295">$F$28*MIN(I31,$B$114)+IF($B$114-I31&gt;0,$F$29*($B$114-I31))+($F$30*365.25/12)</f>
        <v>137.80285712962566</v>
      </c>
      <c r="J126" s="56">
        <f t="shared" si="295"/>
        <v>134.37305104364819</v>
      </c>
      <c r="L126" s="20" t="s">
        <v>204</v>
      </c>
      <c r="M126" s="56">
        <f t="shared" si="250"/>
        <v>132.83844999999999</v>
      </c>
      <c r="N126" s="56">
        <f t="shared" si="250"/>
        <v>127.31309125</v>
      </c>
      <c r="O126" s="56">
        <f t="shared" ref="O126:P126" si="296">$D$28*MIN(S31,$B$114)+IF($B$114-S31&gt;0,$D$29*($B$114-S31))+($D$30*365.25/12)</f>
        <v>121.71621799333852</v>
      </c>
      <c r="P126" s="56">
        <f t="shared" si="296"/>
        <v>117.01366988716819</v>
      </c>
      <c r="Q126" s="56">
        <f t="shared" si="255"/>
        <v>119.40533683731225</v>
      </c>
      <c r="R126" s="56">
        <f t="shared" si="256"/>
        <v>114.79669976619218</v>
      </c>
      <c r="S126" s="56">
        <f t="shared" ref="S126:T126" si="297">$F$28*MIN(S31,$B$114)+IF($B$114-S31&gt;0,$F$29*($B$114-S31))+($F$30*365.25/12)</f>
        <v>135.70227233666833</v>
      </c>
      <c r="T126" s="56">
        <f t="shared" si="297"/>
        <v>130.43135019870232</v>
      </c>
    </row>
    <row r="127" spans="2:20">
      <c r="B127" s="20" t="s">
        <v>194</v>
      </c>
      <c r="C127" s="78">
        <f>SUMPRODUCT(C117:C126,$V$22:$V$31)</f>
        <v>116.89178268038819</v>
      </c>
      <c r="D127" s="78">
        <f t="shared" ref="D127:J127" si="298">SUMPRODUCT(D117:D126,$V$22:$V$31)</f>
        <v>127.03188391443483</v>
      </c>
      <c r="E127" s="78">
        <f t="shared" si="298"/>
        <v>108.14425396411255</v>
      </c>
      <c r="F127" s="78">
        <f t="shared" si="298"/>
        <v>116.77433863590721</v>
      </c>
      <c r="G127" s="78">
        <f t="shared" si="298"/>
        <v>106.10440824693214</v>
      </c>
      <c r="H127" s="78">
        <f t="shared" si="298"/>
        <v>114.56214801851486</v>
      </c>
      <c r="I127" s="78">
        <f t="shared" si="298"/>
        <v>120.48993127343493</v>
      </c>
      <c r="J127" s="78">
        <f t="shared" si="298"/>
        <v>130.16309214751445</v>
      </c>
      <c r="L127" s="20" t="s">
        <v>194</v>
      </c>
      <c r="M127" s="78">
        <f>SUMPRODUCT(M117:M126,$AD$22:$AD$31)</f>
        <v>115.75706333089168</v>
      </c>
      <c r="N127" s="78">
        <f t="shared" ref="N127:T127" si="299">SUMPRODUCT(N117:N126,$AD$22:$AD$31)</f>
        <v>118.63513403638633</v>
      </c>
      <c r="O127" s="78">
        <f t="shared" si="299"/>
        <v>107.17851172556388</v>
      </c>
      <c r="P127" s="78">
        <f t="shared" si="299"/>
        <v>109.62799357062021</v>
      </c>
      <c r="Q127" s="78">
        <f t="shared" si="299"/>
        <v>105.15795211692847</v>
      </c>
      <c r="R127" s="78">
        <f t="shared" si="299"/>
        <v>107.55851721085061</v>
      </c>
      <c r="S127" s="78">
        <f t="shared" si="299"/>
        <v>119.40746448525769</v>
      </c>
      <c r="T127" s="78">
        <f t="shared" si="299"/>
        <v>122.15300324257788</v>
      </c>
    </row>
  </sheetData>
  <mergeCells count="77">
    <mergeCell ref="AD68:AG68"/>
    <mergeCell ref="AD73:AG73"/>
    <mergeCell ref="AD63:AG63"/>
    <mergeCell ref="AD54:AG54"/>
    <mergeCell ref="C67:J67"/>
    <mergeCell ref="C68:D68"/>
    <mergeCell ref="E68:F68"/>
    <mergeCell ref="G68:H68"/>
    <mergeCell ref="I68:J68"/>
    <mergeCell ref="M67:T67"/>
    <mergeCell ref="M68:N68"/>
    <mergeCell ref="O68:P68"/>
    <mergeCell ref="Q68:R68"/>
    <mergeCell ref="S68:T68"/>
    <mergeCell ref="AD59:AG59"/>
    <mergeCell ref="C51:J51"/>
    <mergeCell ref="C52:D52"/>
    <mergeCell ref="E52:F52"/>
    <mergeCell ref="G52:H52"/>
    <mergeCell ref="I52:J52"/>
    <mergeCell ref="C35:J35"/>
    <mergeCell ref="C36:D36"/>
    <mergeCell ref="E36:F36"/>
    <mergeCell ref="G36:H36"/>
    <mergeCell ref="I36:J36"/>
    <mergeCell ref="B2:D2"/>
    <mergeCell ref="E3:K3"/>
    <mergeCell ref="P3:V3"/>
    <mergeCell ref="U20:V20"/>
    <mergeCell ref="Q21:R21"/>
    <mergeCell ref="S21:T21"/>
    <mergeCell ref="C83:J83"/>
    <mergeCell ref="C84:D84"/>
    <mergeCell ref="E84:F84"/>
    <mergeCell ref="G84:H84"/>
    <mergeCell ref="I84:J84"/>
    <mergeCell ref="C99:J99"/>
    <mergeCell ref="C100:D100"/>
    <mergeCell ref="E100:F100"/>
    <mergeCell ref="G100:H100"/>
    <mergeCell ref="I100:J100"/>
    <mergeCell ref="C114:J114"/>
    <mergeCell ref="C115:D115"/>
    <mergeCell ref="E115:F115"/>
    <mergeCell ref="G115:H115"/>
    <mergeCell ref="I115:J115"/>
    <mergeCell ref="M83:T83"/>
    <mergeCell ref="M84:N84"/>
    <mergeCell ref="O84:P84"/>
    <mergeCell ref="Q84:R84"/>
    <mergeCell ref="S84:T84"/>
    <mergeCell ref="M99:T99"/>
    <mergeCell ref="M100:N100"/>
    <mergeCell ref="O100:P100"/>
    <mergeCell ref="Q100:R100"/>
    <mergeCell ref="S100:T100"/>
    <mergeCell ref="M114:T114"/>
    <mergeCell ref="M115:N115"/>
    <mergeCell ref="O115:P115"/>
    <mergeCell ref="Q115:R115"/>
    <mergeCell ref="S115:T115"/>
    <mergeCell ref="AC20:AD20"/>
    <mergeCell ref="Y21:Z21"/>
    <mergeCell ref="AA21:AB21"/>
    <mergeCell ref="M51:T51"/>
    <mergeCell ref="M52:N52"/>
    <mergeCell ref="O52:P52"/>
    <mergeCell ref="Q52:R52"/>
    <mergeCell ref="S52:T52"/>
    <mergeCell ref="M35:T35"/>
    <mergeCell ref="M36:N36"/>
    <mergeCell ref="O36:P36"/>
    <mergeCell ref="Q36:R36"/>
    <mergeCell ref="S36:T36"/>
    <mergeCell ref="AD37:AG37"/>
    <mergeCell ref="AD43:AG43"/>
    <mergeCell ref="AD48:AG48"/>
  </mergeCells>
  <phoneticPr fontId="34" type="noConversion"/>
  <pageMargins left="0.7" right="0.7" top="0.75" bottom="0.75" header="0.3" footer="0.3"/>
  <pageSetup orientation="portrait" horizontalDpi="1200" verticalDpi="1200" r:id="rId1"/>
  <headerFooter>
    <oddHeader>&amp;R&amp;F</oddHeader>
    <oddFooter xml:space="preserve">&amp;C_x000D_&amp;1#&amp;"Aptos"&amp;12&amp;K000000 Public </oddFooter>
  </headerFooter>
</worksheet>
</file>

<file path=docMetadata/LabelInfo.xml><?xml version="1.0" encoding="utf-8"?>
<clbl:labelList xmlns:clbl="http://schemas.microsoft.com/office/2020/mipLabelMetadata">
  <clbl:label id="{d3837e6c-d705-437e-b3ab-e6d8024f5cad}"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Tab Descriptions</vt:lpstr>
      <vt:lpstr>Selected Data</vt:lpstr>
      <vt:lpstr>Notes</vt:lpstr>
      <vt:lpstr>Instructions</vt:lpstr>
      <vt:lpstr>Summary</vt:lpstr>
      <vt:lpstr>Authorized Rev Req</vt:lpstr>
      <vt:lpstr>Incremental Rev Req</vt:lpstr>
      <vt:lpstr>SAR and RAR</vt:lpstr>
      <vt:lpstr>Res Bill Impact</vt:lpstr>
      <vt:lpstr>SAR and RAR (B-1)</vt:lpstr>
      <vt:lpstr>Bill Impact (B-1)</vt:lpstr>
      <vt:lpstr>SAR and RAR (Medium)</vt:lpstr>
      <vt:lpstr>SAR and RAR (Large)</vt:lpstr>
      <vt:lpstr>Hypothetical Summary</vt:lpstr>
      <vt:lpstr>Hypothetical SAR and RAR</vt:lpstr>
      <vt:lpstr>Hypothetical Res Bill Impact</vt:lpstr>
      <vt:lpstr>Hypothetical SAR and RAR (B-1)</vt:lpstr>
      <vt:lpstr>Hypo. Bill Impact (B-1)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Sieren-Smith, Bridget</dc:creator>
  <cp:lastModifiedBy>Faith, Jaimee</cp:lastModifiedBy>
  <cp:lastPrinted>2021-03-30T07:39:39Z</cp:lastPrinted>
  <dcterms:created xsi:type="dcterms:W3CDTF">2019-06-24T18:17:17Z</dcterms:created>
  <dcterms:modified xsi:type="dcterms:W3CDTF">2026-06-01T20:48:25Z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4fb56ae-b253-43b2-ae76-5b0fef4d3037_Enabled">
    <vt:lpwstr>true</vt:lpwstr>
  </property>
  <property fmtid="{D5CDD505-2E9C-101B-9397-08002B2CF9AE}" pid="3" name="MSIP_Label_64fb56ae-b253-43b2-ae76-5b0fef4d3037_SetDate">
    <vt:lpwstr>2023-12-15T18:55:30Z</vt:lpwstr>
  </property>
  <property fmtid="{D5CDD505-2E9C-101B-9397-08002B2CF9AE}" pid="4" name="MSIP_Label_64fb56ae-b253-43b2-ae76-5b0fef4d3037_Method">
    <vt:lpwstr>Privileged</vt:lpwstr>
  </property>
  <property fmtid="{D5CDD505-2E9C-101B-9397-08002B2CF9AE}" pid="5" name="MSIP_Label_64fb56ae-b253-43b2-ae76-5b0fef4d3037_Name">
    <vt:lpwstr>Internal (With Markings)</vt:lpwstr>
  </property>
  <property fmtid="{D5CDD505-2E9C-101B-9397-08002B2CF9AE}" pid="6" name="MSIP_Label_64fb56ae-b253-43b2-ae76-5b0fef4d3037_SiteId">
    <vt:lpwstr>44ae661a-ece6-41aa-bc96-7c2c85a08941</vt:lpwstr>
  </property>
  <property fmtid="{D5CDD505-2E9C-101B-9397-08002B2CF9AE}" pid="7" name="MSIP_Label_64fb56ae-b253-43b2-ae76-5b0fef4d3037_ActionId">
    <vt:lpwstr>49e51fb5-51ff-4e68-9846-d4a5ad32aec5</vt:lpwstr>
  </property>
  <property fmtid="{D5CDD505-2E9C-101B-9397-08002B2CF9AE}" pid="8" name="MSIP_Label_64fb56ae-b253-43b2-ae76-5b0fef4d3037_ContentBits">
    <vt:lpwstr>3</vt:lpwstr>
  </property>
</Properties>
</file>