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AlasY\Desktop\NON-GRC DATA REQUEST\R1807006\ED-SCE-Affordability OIR Revenue Requirements\"/>
    </mc:Choice>
  </mc:AlternateContent>
  <xr:revisionPtr revIDLastSave="0" documentId="8_{3B7A0D1B-8D9C-4773-B38F-143CD5CB92F0}" xr6:coauthVersionLast="47" xr6:coauthVersionMax="47" xr10:uidLastSave="{00000000-0000-0000-0000-000000000000}"/>
  <bookViews>
    <workbookView xWindow="-120" yWindow="-120" windowWidth="29040" windowHeight="15720" activeTab="8" xr2:uid="{FC2833BF-20EA-4DCB-A589-BA5BD66E0852}"/>
  </bookViews>
  <sheets>
    <sheet name="Summary" sheetId="14" r:id="rId1"/>
    <sheet name="Selected Data" sheetId="29" r:id="rId2"/>
    <sheet name="Authorized Rev Req" sheetId="12" r:id="rId3"/>
    <sheet name="Incremental Rev Req" sheetId="13" r:id="rId4"/>
    <sheet name="SAR and RAR" sheetId="10" state="veryHidden" r:id="rId5"/>
    <sheet name="Res Bill Impact" sheetId="11" state="veryHidden" r:id="rId6"/>
    <sheet name="SAR and AR (GS1)" sheetId="34" state="veryHidden" r:id="rId7"/>
    <sheet name="Bill Impact (GS1)" sheetId="35" state="veryHidden" r:id="rId8"/>
    <sheet name="Simple Bill Insert Calc (2)" sheetId="26" r:id="rId9"/>
    <sheet name="SAR and RAR (2)" sheetId="27" state="veryHidden" r:id="rId10"/>
    <sheet name="Res Bill Impact (2)" sheetId="28" state="veryHidden" r:id="rId11"/>
    <sheet name="SAR and AR (GS1) (2)" sheetId="36" state="veryHidden" r:id="rId12"/>
    <sheet name="Bill Impact (GS1) (2)" sheetId="37" state="veryHidden" r:id="rId13"/>
  </sheets>
  <definedNames>
    <definedName name="___huh2" hidden="1">{#N/A,#N/A,FALSE,"Dist Rev at PR ";#N/A,#N/A,FALSE,"Spec";#N/A,#N/A,FALSE,"Res";#N/A,#N/A,FALSE,"Small L&amp;P";#N/A,#N/A,FALSE,"Medium L&amp;P";#N/A,#N/A,FALSE,"E-19";#N/A,#N/A,FALSE,"E-20";#N/A,#N/A,FALSE,"Strtlts &amp; Standby";#N/A,#N/A,FALSE,"A-RTP";#N/A,#N/A,FALSE,"2003mixeduse"}</definedName>
    <definedName name="_2017_Labor_Escalation_Rate">#REF!</definedName>
    <definedName name="_4ColName">SUBSTITUTE(SUBSTITUTE(SUBSTITUTE(SUBSTITUTE(SUBSTITUTE(TRIM(T(#REF!)&amp;"."&amp;T(#REF!)&amp;"."&amp;T(#REF!)&amp;"."&amp;T(#REF!)&amp;"."),"+","and"),"%","pct"),"-",""),"..","."),"&amp;","and")</definedName>
    <definedName name="_xlnm._FilterDatabase" localSheetId="2" hidden="1">'Authorized Rev Req'!$A$7:$R$104</definedName>
    <definedName name="_xlnm._FilterDatabase" localSheetId="3" hidden="1">'Incremental Rev Req'!$A$9:$AC$85</definedName>
    <definedName name="_FPV1">#REF!</definedName>
    <definedName name="_FPV3">#REF!</definedName>
    <definedName name="_huh2" hidden="1">{#N/A,#N/A,FALSE,"Dist Rev at PR ";#N/A,#N/A,FALSE,"Spec";#N/A,#N/A,FALSE,"Res";#N/A,#N/A,FALSE,"Small L&amp;P";#N/A,#N/A,FALSE,"Medium L&amp;P";#N/A,#N/A,FALSE,"E-19";#N/A,#N/A,FALSE,"E-20";#N/A,#N/A,FALSE,"Strtlts &amp; Standby";#N/A,#N/A,FALSE,"A-RTP";#N/A,#N/A,FALSE,"2003mixeduse"}</definedName>
    <definedName name="_SPV1">#REF!</definedName>
    <definedName name="_SPV3">#REF!</definedName>
    <definedName name="Actuals">#REF!</definedName>
    <definedName name="Aflag">#REF!</definedName>
    <definedName name="Aflag2">#REF!</definedName>
    <definedName name="again" hidden="1">{#N/A,#N/A,FALSE,"ND Rev at Pres Rates";#N/A,#N/A,FALSE,"Res - Unadj sales";#N/A,#N/A,FALSE,"Small L&amp;P";#N/A,#N/A,FALSE,"Medium L&amp;P";#N/A,#N/A,FALSE,"E-19";#N/A,#N/A,FALSE,"E-20";#N/A,#N/A,FALSE,"Strtlts &amp; Standby";#N/A,#N/A,FALSE,"AG";#N/A,#N/A,FALSE,"A-RTP";#N/A,#N/A,FALSE,"Spec"}</definedName>
    <definedName name="AIR">#REF!</definedName>
    <definedName name="Balancing_Authority">#REF!</definedName>
    <definedName name="BondsIssued">#REF!</definedName>
    <definedName name="Boolean">#REF!</definedName>
    <definedName name="bt_d">#REF!</definedName>
    <definedName name="Bundled_Unbundled">#REF!</definedName>
    <definedName name="CBond">#REF!</definedName>
    <definedName name="CECRA">#REF!</definedName>
    <definedName name="Construction_Status">#REF!</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ORE_U">#REF!</definedName>
    <definedName name="Country">#REF!</definedName>
    <definedName name="CPUC_Approval_Status">#REF!</definedName>
    <definedName name="CREZ">#REF!</definedName>
    <definedName name="CTAC">#REF!</definedName>
    <definedName name="CTRBA">#REF!</definedName>
    <definedName name="DACRS">SUM(#REF!)</definedName>
    <definedName name="Dchoice">#REF!</definedName>
    <definedName name="Delay_Termination_Reason">#REF!</definedName>
    <definedName name="DeliverabilityStatusOptions">#REF!</definedName>
    <definedName name="Distflag">#REF!</definedName>
    <definedName name="Dmdmult">#REF!</definedName>
    <definedName name="EPC_Contract_Status">#REF!</definedName>
    <definedName name="F_E">#REF!</definedName>
    <definedName name="Facility_Status">#REF!</definedName>
    <definedName name="FAIR">#REF!</definedName>
    <definedName name="FBUILD">#REF!</definedName>
    <definedName name="FCOMM">#REF!</definedName>
    <definedName name="FCOMP">#REF!</definedName>
    <definedName name="Financing_Status">#REF!</definedName>
    <definedName name="Flat">#REF!</definedName>
    <definedName name="FM">#REF!</definedName>
    <definedName name="FOPROD">#REF!</definedName>
    <definedName name="FSONG2">#REF!</definedName>
    <definedName name="FSTEAM">#REF!</definedName>
    <definedName name="FT_D">#REF!</definedName>
    <definedName name="gsur">#REF!</definedName>
    <definedName name="head1">#REF!</definedName>
    <definedName name="head10">#REF!</definedName>
    <definedName name="head11">#REF!</definedName>
    <definedName name="head2">#REF!</definedName>
    <definedName name="head3">#REF!</definedName>
    <definedName name="head4">#REF!</definedName>
    <definedName name="head5">#REF!</definedName>
    <definedName name="head6">#REF!</definedName>
    <definedName name="head7">#REF!</definedName>
    <definedName name="head8">#REF!</definedName>
    <definedName name="head9">#REF!</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hidden="1">{#N/A,#N/A,FALSE,"Dist Rev at PR ";#N/A,#N/A,FALSE,"Spec";#N/A,#N/A,FALSE,"Res";#N/A,#N/A,FALSE,"Small L&amp;P";#N/A,#N/A,FALSE,"Medium L&amp;P";#N/A,#N/A,FALSE,"E-19";#N/A,#N/A,FALSE,"E-20";#N/A,#N/A,FALSE,"Strtlts &amp; Standby";#N/A,#N/A,FALSE,"A-RTP";#N/A,#N/A,FALSE,"2003mixeduse"}</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LineLoss">#REF!</definedName>
    <definedName name="LocalAreaOptions">#REF!</definedName>
    <definedName name="LOLD">1</definedName>
    <definedName name="LOLD_Table">7</definedName>
    <definedName name="Mflag">#REF!</definedName>
    <definedName name="NCORE_U">#REF!</definedName>
    <definedName name="ND">#REF!</definedName>
    <definedName name="Out_Start_Date">#REF!</definedName>
    <definedName name="Out_Term_Date">#REF!</definedName>
    <definedName name="Overall_Project_Status">#REF!</definedName>
    <definedName name="Party_that_Terminated_Contract">#REF!</definedName>
    <definedName name="Path26DesignationOptions">#REF!</definedName>
    <definedName name="PBond">#REF!</definedName>
    <definedName name="PCC_Classification">#REF!</definedName>
    <definedName name="PECRA">#REF!</definedName>
    <definedName name="Print_All_Tariff">#REF!</definedName>
    <definedName name="_xlnm.Print_Area" localSheetId="3">'Incremental Rev Req'!$A$1:$L$135</definedName>
    <definedName name="Program_Origination">#REF!</definedName>
    <definedName name="RAM_Auction_Round">#REF!</definedName>
    <definedName name="record1">#REF!</definedName>
    <definedName name="Record2">#REF!</definedName>
    <definedName name="Reporting_LSE">#REF!</definedName>
    <definedName name="Resource_Designation">#REF!</definedName>
    <definedName name="SAIR">#REF!</definedName>
    <definedName name="SAPBEXhrIndnt" hidden="1">"Wide"</definedName>
    <definedName name="SAPsysID" hidden="1">"708C5W7SBKP804JT78WJ0JNKI"</definedName>
    <definedName name="SAPwbID" hidden="1">"ARS"</definedName>
    <definedName name="SBUILD">#REF!</definedName>
    <definedName name="SchedulingID">#REF!</definedName>
    <definedName name="SCOMM">#REF!</definedName>
    <definedName name="SCOMP">#REF!</definedName>
    <definedName name="sds">#REF!</definedName>
    <definedName name="Season">#REF!</definedName>
    <definedName name="Sflag">#REF!</definedName>
    <definedName name="SM">#REF!</definedName>
    <definedName name="SOPROD">#REF!</definedName>
    <definedName name="SSONG2">#REF!</definedName>
    <definedName name="SSTEAM">#REF!</definedName>
    <definedName name="ST_D">#REF!</definedName>
    <definedName name="Status_of_Facility_Study___Phase_II_Study">#REF!</definedName>
    <definedName name="Status_of_Feasibility_Study">#REF!</definedName>
    <definedName name="Status_of_Interconnection_Agreement">#REF!</definedName>
    <definedName name="Status_of_System_Impact_Study___Phase_I_Study">#REF!</definedName>
    <definedName name="STEAM">#REF!</definedName>
    <definedName name="TAC">#REF!</definedName>
    <definedName name="TACCalcOptions">#REF!</definedName>
    <definedName name="Technology_SubType">#REF!</definedName>
    <definedName name="Technology_Type">#REF!</definedName>
    <definedName name="TRBA">#REF!</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hidden="1">{#N/A,#N/A,FALSE,"A-1, A-6, A-10, A-15";#N/A,#N/A,FALSE,"E-19 Firm";#N/A,#N/A,FALSE,"E-19 Nonfirm";#N/A,#N/A,FALSE,"E-20 Firm ";#N/A,#N/A,FALSE,"E-20 Nonfirm ";#N/A,#N/A,FALSE,"E-25";#N/A,#N/A,FALSE,"E-36, E-37";#N/A,#N/A,FALSE,"LS-1,-2,-3, TC-1, OL-1";#N/A,#N/A,FALSE,"Standby"}</definedName>
    <definedName name="wrn.Distr." hidden="1">{#N/A,#N/A,FALSE,"Dist Rev at PR ";#N/A,#N/A,FALSE,"Spec";#N/A,#N/A,FALSE,"Res";#N/A,#N/A,FALSE,"Small L&amp;P";#N/A,#N/A,FALSE,"Medium L&amp;P";#N/A,#N/A,FALSE,"E-19";#N/A,#N/A,FALSE,"E-20";#N/A,#N/A,FALSE,"Strtlts &amp; Standby";#N/A,#N/A,FALSE,"A-RTP";#N/A,#N/A,FALSE,"2003mixeduse"}</definedName>
    <definedName name="wrn.G_CSP_REPORT." hidden="1">{#N/A,#N/A,FALSE,"Summary";#N/A,#N/A,FALSE,"Tariff G-CSP &amp; G-SUR";#N/A,#N/A,FALSE,"Amortization Calculations";#N/A,#N/A,FALSE,"Contracted Volumes";#N/A,#N/A,FALSE,"Reservation"}</definedName>
    <definedName name="wrn.ND." hidden="1">{#N/A,#N/A,FALSE,"ND Rev at Pres Rates";#N/A,#N/A,FALSE,"Res - Unadj sales";#N/A,#N/A,FALSE,"Small L&amp;P";#N/A,#N/A,FALSE,"Medium L&amp;P";#N/A,#N/A,FALSE,"E-19";#N/A,#N/A,FALSE,"E-20";#N/A,#N/A,FALSE,"Strtlts &amp; Standby";#N/A,#N/A,FALSE,"AG";#N/A,#N/A,FALSE,"A-RTP";#N/A,#N/A,FALSE,"Spec"}</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hidden="1">{#N/A,#N/A,FALSE,"E-1, EM, ES";#N/A,#N/A,FALSE,"ESR, ET";#N/A,#N/A,FALSE,"E-7, E-A7";#N/A,#N/A,FALSE,"E-8";#N/A,#N/A,FALSE,"E-9 A, B, C, D";#N/A,#N/A,FALSE,"EL-1, EML";#N/A,#N/A,FALSE,"ESL, ESRL";#N/A,#N/A,FALSE,"ETL, EL-7";#N/A,#N/A,FALSE,"EL-A7, EL-8"}</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6" i="13" l="1"/>
  <c r="M118" i="13"/>
  <c r="H17" i="36" l="1"/>
  <c r="H16" i="36"/>
  <c r="G66" i="10" l="1"/>
  <c r="N108" i="11" l="1"/>
  <c r="N107" i="11"/>
  <c r="G107" i="11"/>
  <c r="P121" i="13" l="1"/>
  <c r="O121" i="13"/>
  <c r="N121" i="13"/>
  <c r="P120" i="13"/>
  <c r="O120" i="13"/>
  <c r="N120" i="13"/>
  <c r="N105" i="13"/>
  <c r="O105" i="13"/>
  <c r="P105" i="13"/>
  <c r="N106" i="13"/>
  <c r="O106" i="13"/>
  <c r="P106" i="13"/>
  <c r="N107" i="13"/>
  <c r="I99" i="13" l="1"/>
  <c r="J99" i="13" s="1"/>
  <c r="I105" i="13"/>
  <c r="J105" i="13" s="1"/>
  <c r="I106" i="13"/>
  <c r="J106" i="13" s="1"/>
  <c r="I107" i="13"/>
  <c r="J107" i="13" s="1"/>
  <c r="Q120" i="13"/>
  <c r="Q121" i="13" s="1"/>
  <c r="D121" i="13"/>
  <c r="D120" i="13"/>
  <c r="M121" i="13"/>
  <c r="M120" i="13"/>
  <c r="C89" i="12" l="1"/>
  <c r="N109" i="13"/>
  <c r="N110" i="13"/>
  <c r="N111" i="13"/>
  <c r="N112" i="13"/>
  <c r="N114" i="13"/>
  <c r="N115" i="13"/>
  <c r="N116" i="13"/>
  <c r="N117" i="13"/>
  <c r="N118" i="13"/>
  <c r="N119" i="13"/>
  <c r="O111" i="13"/>
  <c r="O112" i="13"/>
  <c r="O114" i="13"/>
  <c r="O115" i="13"/>
  <c r="O118" i="13"/>
  <c r="O119" i="13"/>
  <c r="P111" i="13"/>
  <c r="P112" i="13"/>
  <c r="P114" i="13"/>
  <c r="P115" i="13"/>
  <c r="P118" i="13"/>
  <c r="P119" i="13"/>
  <c r="L108" i="13"/>
  <c r="L107" i="13"/>
  <c r="L106" i="13"/>
  <c r="L105" i="13"/>
  <c r="L104" i="13"/>
  <c r="L103" i="13"/>
  <c r="L102" i="13"/>
  <c r="L101" i="13"/>
  <c r="L100" i="13"/>
  <c r="L99" i="13"/>
  <c r="L98" i="13"/>
  <c r="L97" i="13"/>
  <c r="L128" i="13"/>
  <c r="L127" i="13"/>
  <c r="L126" i="13"/>
  <c r="L125" i="13"/>
  <c r="L124" i="13"/>
  <c r="L119" i="13"/>
  <c r="L118" i="13"/>
  <c r="L117" i="13"/>
  <c r="L116" i="13"/>
  <c r="L111" i="13"/>
  <c r="L112" i="13"/>
  <c r="L113" i="13"/>
  <c r="M128" i="13"/>
  <c r="H42" i="13"/>
  <c r="I42" i="13" s="1"/>
  <c r="J42" i="13" s="1"/>
  <c r="M111" i="13"/>
  <c r="M112" i="13"/>
  <c r="H68" i="13" l="1"/>
  <c r="I68" i="13" s="1"/>
  <c r="F133" i="13"/>
  <c r="G66" i="13" l="1"/>
  <c r="D72" i="12"/>
  <c r="E72" i="12"/>
  <c r="G72" i="12"/>
  <c r="H72" i="12"/>
  <c r="I72" i="12"/>
  <c r="C72" i="12"/>
  <c r="F84" i="13" l="1"/>
  <c r="G84" i="13" s="1"/>
  <c r="F85" i="13"/>
  <c r="F83" i="13"/>
  <c r="G59" i="13"/>
  <c r="H59" i="13" s="1"/>
  <c r="I59" i="13" s="1"/>
  <c r="J59" i="13" s="1"/>
  <c r="G83" i="13" l="1"/>
  <c r="Q128" i="13"/>
  <c r="Q126" i="13"/>
  <c r="Q127" i="13" s="1"/>
  <c r="Q124" i="13"/>
  <c r="Q119" i="13"/>
  <c r="Q118" i="13"/>
  <c r="Q117" i="13"/>
  <c r="Q116" i="13"/>
  <c r="Q115" i="13"/>
  <c r="Q114" i="13"/>
  <c r="Q113" i="13"/>
  <c r="Q111" i="13"/>
  <c r="Q112" i="13" s="1"/>
  <c r="Q109" i="13"/>
  <c r="Q100" i="13"/>
  <c r="Q99" i="13" s="1"/>
  <c r="D119" i="13"/>
  <c r="Q101" i="13" l="1"/>
  <c r="Q102" i="13"/>
  <c r="Q103" i="13"/>
  <c r="Q104" i="13"/>
  <c r="Q105" i="13"/>
  <c r="Q106" i="13"/>
  <c r="Q107" i="13"/>
  <c r="Q108" i="13"/>
  <c r="Q97" i="13"/>
  <c r="Q98" i="13"/>
  <c r="M99" i="13" l="1"/>
  <c r="M107" i="13"/>
  <c r="D106" i="13" l="1"/>
  <c r="M106" i="13"/>
  <c r="D108" i="13"/>
  <c r="H108" i="13"/>
  <c r="D103" i="13"/>
  <c r="H103" i="13"/>
  <c r="M105" i="13"/>
  <c r="M104" i="13"/>
  <c r="D107" i="13"/>
  <c r="D113" i="13"/>
  <c r="H113" i="13"/>
  <c r="D105" i="13" l="1"/>
  <c r="I103" i="13"/>
  <c r="I108" i="13"/>
  <c r="D104" i="13"/>
  <c r="H104" i="13"/>
  <c r="I113" i="13"/>
  <c r="J113" i="13"/>
  <c r="I104" i="13" l="1"/>
  <c r="N104" i="13"/>
  <c r="J108" i="13"/>
  <c r="J103" i="13"/>
  <c r="D102" i="13"/>
  <c r="H97" i="13" l="1"/>
  <c r="I97" i="13" s="1"/>
  <c r="J104" i="13"/>
  <c r="D98" i="13"/>
  <c r="H98" i="13"/>
  <c r="D99" i="13"/>
  <c r="H100" i="13"/>
  <c r="D100" i="13"/>
  <c r="H101" i="13"/>
  <c r="D101" i="13"/>
  <c r="H102" i="13"/>
  <c r="D97" i="13"/>
  <c r="M119" i="13"/>
  <c r="I98" i="13" l="1"/>
  <c r="J97" i="13"/>
  <c r="I102" i="13"/>
  <c r="I101" i="13"/>
  <c r="I100" i="13"/>
  <c r="H133" i="13"/>
  <c r="D111" i="13"/>
  <c r="D112" i="13"/>
  <c r="J100" i="13" l="1"/>
  <c r="J101" i="13"/>
  <c r="J102" i="13"/>
  <c r="J98" i="13"/>
  <c r="J45" i="13"/>
  <c r="G54" i="13" l="1"/>
  <c r="M113" i="13" s="1"/>
  <c r="D128" i="13"/>
  <c r="G133" i="13" l="1"/>
  <c r="D76" i="13" l="1"/>
  <c r="F76" i="13" s="1"/>
  <c r="D77" i="13"/>
  <c r="F77" i="13" s="1"/>
  <c r="D39" i="13"/>
  <c r="D20" i="13"/>
  <c r="D88" i="13"/>
  <c r="F88" i="13" s="1"/>
  <c r="G88" i="13" s="1"/>
  <c r="I77" i="13" l="1"/>
  <c r="J77" i="13" s="1"/>
  <c r="G76" i="13"/>
  <c r="I76" i="13" s="1"/>
  <c r="J76" i="13" s="1"/>
  <c r="D38" i="13"/>
  <c r="D82" i="13"/>
  <c r="F82" i="13" s="1"/>
  <c r="D81" i="13"/>
  <c r="F81" i="13" s="1"/>
  <c r="D74" i="13"/>
  <c r="F74" i="13" s="1"/>
  <c r="G74" i="13" s="1"/>
  <c r="H74" i="13" s="1"/>
  <c r="I74" i="13" s="1"/>
  <c r="D73" i="13"/>
  <c r="F73" i="13" s="1"/>
  <c r="G73" i="13" s="1"/>
  <c r="H73" i="13" s="1"/>
  <c r="I73" i="13" s="1"/>
  <c r="D71" i="13"/>
  <c r="F71" i="13" s="1"/>
  <c r="D70" i="13"/>
  <c r="F70" i="13" s="1"/>
  <c r="D69" i="13"/>
  <c r="F69" i="13" s="1"/>
  <c r="D68" i="13"/>
  <c r="F68" i="13" s="1"/>
  <c r="D67" i="13"/>
  <c r="F67" i="13" s="1"/>
  <c r="H67" i="13" l="1"/>
  <c r="I67" i="13" s="1"/>
  <c r="J67" i="13" s="1"/>
  <c r="G70" i="13"/>
  <c r="H70" i="13" s="1"/>
  <c r="I70" i="13" s="1"/>
  <c r="J70" i="13" s="1"/>
  <c r="J74" i="13"/>
  <c r="G69" i="13"/>
  <c r="H69" i="13" s="1"/>
  <c r="I69" i="13" s="1"/>
  <c r="J69" i="13" s="1"/>
  <c r="J73" i="13"/>
  <c r="G82" i="13"/>
  <c r="J68" i="13"/>
  <c r="G71" i="13"/>
  <c r="H71" i="13" s="1"/>
  <c r="I71" i="13" s="1"/>
  <c r="J71" i="13" s="1"/>
  <c r="G81" i="13"/>
  <c r="D54" i="13"/>
  <c r="D56" i="13"/>
  <c r="F56" i="13" s="1"/>
  <c r="D57" i="13"/>
  <c r="F57" i="13" s="1"/>
  <c r="D55" i="13"/>
  <c r="F55" i="13" s="1"/>
  <c r="D58" i="13"/>
  <c r="F58" i="13" s="1"/>
  <c r="D52" i="13"/>
  <c r="D47" i="13"/>
  <c r="D35" i="13"/>
  <c r="K99" i="12" l="1"/>
  <c r="D66" i="13"/>
  <c r="G57" i="13"/>
  <c r="G55" i="13"/>
  <c r="G56" i="13"/>
  <c r="G58" i="13"/>
  <c r="D42" i="13"/>
  <c r="F42" i="13" s="1"/>
  <c r="D44" i="13"/>
  <c r="D48" i="13"/>
  <c r="D43" i="13"/>
  <c r="D51" i="13"/>
  <c r="F51" i="13" s="1"/>
  <c r="D50" i="13"/>
  <c r="D45" i="13"/>
  <c r="D40" i="13"/>
  <c r="D34" i="13"/>
  <c r="D41" i="13"/>
  <c r="D49" i="13"/>
  <c r="D17" i="13"/>
  <c r="D18" i="13"/>
  <c r="D19" i="13"/>
  <c r="D46" i="13"/>
  <c r="D24" i="13"/>
  <c r="D28" i="13" l="1"/>
  <c r="D27" i="13"/>
  <c r="D75" i="13" l="1"/>
  <c r="F75" i="13" s="1"/>
  <c r="L89" i="12"/>
  <c r="H75" i="13"/>
  <c r="I75" i="13" s="1"/>
  <c r="J75" i="13" s="1"/>
  <c r="D32" i="13"/>
  <c r="D31" i="13"/>
  <c r="D30" i="13"/>
  <c r="D23" i="13"/>
  <c r="D25" i="13"/>
  <c r="D29" i="13"/>
  <c r="F29" i="13" s="1"/>
  <c r="G29" i="13" s="1"/>
  <c r="M103" i="13" s="1"/>
  <c r="D22" i="13" l="1"/>
  <c r="D116" i="13"/>
  <c r="D118" i="13"/>
  <c r="D11" i="13" l="1"/>
  <c r="D21" i="13"/>
  <c r="D10" i="13"/>
  <c r="D12" i="13"/>
  <c r="F12" i="13" s="1"/>
  <c r="D16" i="13"/>
  <c r="L99" i="12"/>
  <c r="X9" i="34" l="1"/>
  <c r="N29" i="10"/>
  <c r="N28" i="10"/>
  <c r="O71" i="10"/>
  <c r="P58" i="10"/>
  <c r="K53" i="34" l="1"/>
  <c r="J53" i="34"/>
  <c r="I53" i="34"/>
  <c r="H53" i="34"/>
  <c r="G53" i="34"/>
  <c r="R53" i="34"/>
  <c r="Q53" i="34"/>
  <c r="P53" i="34"/>
  <c r="O53" i="34"/>
  <c r="N53" i="34"/>
  <c r="M53" i="34"/>
  <c r="L53" i="34"/>
  <c r="O47" i="34"/>
  <c r="J47" i="34"/>
  <c r="I47" i="34"/>
  <c r="H47" i="34"/>
  <c r="G47" i="34"/>
  <c r="R47" i="34"/>
  <c r="Q47" i="34"/>
  <c r="P47" i="34"/>
  <c r="N47" i="34"/>
  <c r="M47" i="34"/>
  <c r="L47" i="34"/>
  <c r="K47" i="34"/>
  <c r="N40" i="34"/>
  <c r="N6" i="34" s="1"/>
  <c r="M40" i="34"/>
  <c r="M6" i="34" s="1"/>
  <c r="L40" i="34"/>
  <c r="L6" i="34" s="1"/>
  <c r="K40" i="34"/>
  <c r="K6" i="34" s="1"/>
  <c r="R40" i="34"/>
  <c r="R6" i="34" s="1"/>
  <c r="Q40" i="34"/>
  <c r="Q6" i="34" s="1"/>
  <c r="P40" i="34"/>
  <c r="P6" i="34" s="1"/>
  <c r="O40" i="34"/>
  <c r="O6" i="34" s="1"/>
  <c r="J40" i="34"/>
  <c r="J6" i="34" s="1"/>
  <c r="I40" i="34"/>
  <c r="I6" i="34" s="1"/>
  <c r="H40" i="34"/>
  <c r="H6" i="34" s="1"/>
  <c r="G40" i="34"/>
  <c r="G6" i="34" s="1"/>
  <c r="P53" i="10"/>
  <c r="P20" i="10" s="1"/>
  <c r="N53" i="10"/>
  <c r="N20" i="10" s="1"/>
  <c r="M53" i="10"/>
  <c r="M20" i="10" s="1"/>
  <c r="R53" i="10"/>
  <c r="R20" i="10" s="1"/>
  <c r="Q53" i="10"/>
  <c r="Q20" i="10" s="1"/>
  <c r="O53" i="10"/>
  <c r="O20" i="10" s="1"/>
  <c r="L53" i="10"/>
  <c r="L20" i="10" s="1"/>
  <c r="K53" i="10"/>
  <c r="K20" i="10" s="1"/>
  <c r="J53" i="10"/>
  <c r="J20" i="10" s="1"/>
  <c r="I53" i="10"/>
  <c r="I20" i="10" s="1"/>
  <c r="H53" i="10"/>
  <c r="H20" i="10" s="1"/>
  <c r="G53" i="10"/>
  <c r="G20" i="10" s="1"/>
  <c r="G47" i="10"/>
  <c r="G19" i="10" s="1"/>
  <c r="R47" i="10"/>
  <c r="R19" i="10" s="1"/>
  <c r="Q47" i="10"/>
  <c r="Q19" i="10" s="1"/>
  <c r="P47" i="10"/>
  <c r="P19" i="10" s="1"/>
  <c r="O47" i="10"/>
  <c r="O19" i="10" s="1"/>
  <c r="N47" i="10"/>
  <c r="N19" i="10" s="1"/>
  <c r="M47" i="10"/>
  <c r="M19" i="10" s="1"/>
  <c r="L47" i="10"/>
  <c r="L19" i="10" s="1"/>
  <c r="K47" i="10"/>
  <c r="K19" i="10" s="1"/>
  <c r="J47" i="10"/>
  <c r="J19" i="10" s="1"/>
  <c r="I47" i="10"/>
  <c r="I19" i="10" s="1"/>
  <c r="H47" i="10"/>
  <c r="H19" i="10" s="1"/>
  <c r="R40" i="10"/>
  <c r="R6" i="10" s="1"/>
  <c r="Q40" i="10"/>
  <c r="Q6" i="10" s="1"/>
  <c r="P40" i="10"/>
  <c r="P6" i="10" s="1"/>
  <c r="O40" i="10"/>
  <c r="O6" i="10" s="1"/>
  <c r="N40" i="10"/>
  <c r="N6" i="10" s="1"/>
  <c r="M40" i="10"/>
  <c r="M6" i="10" s="1"/>
  <c r="L40" i="10"/>
  <c r="L6" i="10" s="1"/>
  <c r="K40" i="10"/>
  <c r="K6" i="10" s="1"/>
  <c r="J40" i="10"/>
  <c r="J6" i="10" s="1"/>
  <c r="I40" i="10"/>
  <c r="I6" i="10" s="1"/>
  <c r="H40" i="10"/>
  <c r="H6" i="10" s="1"/>
  <c r="G40" i="10"/>
  <c r="G6" i="10" s="1"/>
  <c r="F51" i="34" l="1"/>
  <c r="F52" i="34"/>
  <c r="F53" i="34"/>
  <c r="F50" i="34"/>
  <c r="F45" i="34"/>
  <c r="F46" i="34"/>
  <c r="F47" i="34"/>
  <c r="F44" i="34"/>
  <c r="J20" i="34" l="1"/>
  <c r="K20" i="34"/>
  <c r="L20" i="34"/>
  <c r="M20" i="34"/>
  <c r="N20" i="34"/>
  <c r="O20" i="34"/>
  <c r="P20" i="34"/>
  <c r="Q20" i="34"/>
  <c r="R20" i="34"/>
  <c r="G20" i="34"/>
  <c r="H20" i="34"/>
  <c r="I20" i="34"/>
  <c r="H19" i="34"/>
  <c r="I19" i="34"/>
  <c r="J19" i="34"/>
  <c r="K19" i="34"/>
  <c r="L19" i="34"/>
  <c r="M19" i="34"/>
  <c r="N19" i="34"/>
  <c r="O19" i="34"/>
  <c r="P19" i="34"/>
  <c r="Q19" i="34"/>
  <c r="R19" i="34"/>
  <c r="G19" i="34"/>
  <c r="F29" i="10" l="1"/>
  <c r="F61" i="34" l="1"/>
  <c r="F60" i="34"/>
  <c r="F59" i="34"/>
  <c r="F58" i="34"/>
  <c r="F67" i="34"/>
  <c r="F66" i="34"/>
  <c r="F65" i="34"/>
  <c r="F64" i="34"/>
  <c r="J67" i="34"/>
  <c r="J66" i="34"/>
  <c r="J65" i="34"/>
  <c r="J64" i="34"/>
  <c r="N67" i="34"/>
  <c r="N66" i="34"/>
  <c r="N65" i="34"/>
  <c r="N64" i="34"/>
  <c r="N61" i="34"/>
  <c r="N60" i="34"/>
  <c r="N59" i="34"/>
  <c r="N58" i="34"/>
  <c r="J61" i="34"/>
  <c r="J60" i="34"/>
  <c r="J59" i="34"/>
  <c r="J58" i="34"/>
  <c r="P58" i="34"/>
  <c r="X13" i="10"/>
  <c r="H64" i="10"/>
  <c r="P59" i="10" l="1"/>
  <c r="X12" i="10"/>
  <c r="L64" i="10"/>
  <c r="F28" i="10" l="1"/>
  <c r="K71" i="10"/>
  <c r="D127" i="13" l="1"/>
  <c r="D126" i="13"/>
  <c r="J62" i="13"/>
  <c r="J61" i="13"/>
  <c r="J13" i="13"/>
  <c r="J14" i="13"/>
  <c r="J15" i="13"/>
  <c r="J16" i="13"/>
  <c r="J31" i="13"/>
  <c r="J34" i="13"/>
  <c r="J35" i="13"/>
  <c r="J36" i="13"/>
  <c r="J37" i="13"/>
  <c r="J40" i="13"/>
  <c r="J41" i="13"/>
  <c r="J43" i="13"/>
  <c r="J60" i="13"/>
  <c r="J12" i="13"/>
  <c r="J11" i="13"/>
  <c r="J10" i="13"/>
  <c r="M127" i="13"/>
  <c r="M126" i="13"/>
  <c r="D110" i="13"/>
  <c r="D109" i="13"/>
  <c r="M117" i="13" l="1"/>
  <c r="D117" i="13"/>
  <c r="F72" i="13"/>
  <c r="G72" i="13" l="1"/>
  <c r="H72" i="13" s="1"/>
  <c r="I72" i="13" s="1"/>
  <c r="J72" i="13" s="1"/>
  <c r="I23" i="28"/>
  <c r="J23" i="28"/>
  <c r="K23" i="28"/>
  <c r="L23" i="28"/>
  <c r="I24" i="28"/>
  <c r="J24" i="28"/>
  <c r="K24" i="28"/>
  <c r="L24" i="28"/>
  <c r="I25" i="28"/>
  <c r="J25" i="28"/>
  <c r="K25" i="28"/>
  <c r="L25" i="28"/>
  <c r="I26" i="28"/>
  <c r="J26" i="28"/>
  <c r="K26" i="28"/>
  <c r="L26" i="28"/>
  <c r="I27" i="28"/>
  <c r="J27" i="28"/>
  <c r="K27" i="28"/>
  <c r="L27" i="28"/>
  <c r="I28" i="28"/>
  <c r="J28" i="28"/>
  <c r="K28" i="28"/>
  <c r="L28" i="28"/>
  <c r="I29" i="28"/>
  <c r="J29" i="28"/>
  <c r="K29" i="28"/>
  <c r="L29" i="28"/>
  <c r="I30" i="28"/>
  <c r="J30" i="28"/>
  <c r="K30" i="28"/>
  <c r="L30" i="28"/>
  <c r="J22" i="28"/>
  <c r="K22" i="28"/>
  <c r="L22" i="28"/>
  <c r="I22" i="28"/>
  <c r="L109" i="13"/>
  <c r="L110" i="13"/>
  <c r="L114" i="13"/>
  <c r="D124" i="13"/>
  <c r="D125" i="13"/>
  <c r="H25" i="13" l="1"/>
  <c r="I25" i="13" l="1"/>
  <c r="N99" i="13"/>
  <c r="J25" i="13"/>
  <c r="P99" i="13" s="1"/>
  <c r="O99" i="13"/>
  <c r="J53" i="13"/>
  <c r="Q125" i="13" l="1"/>
  <c r="G85" i="13"/>
  <c r="T19" i="13"/>
  <c r="T18" i="13"/>
  <c r="M124" i="13"/>
  <c r="T20" i="13" l="1"/>
  <c r="M125" i="13"/>
  <c r="T21" i="13"/>
  <c r="F23" i="36"/>
  <c r="N64" i="10"/>
  <c r="J64" i="10"/>
  <c r="H95" i="11"/>
  <c r="I95" i="11"/>
  <c r="G95" i="11"/>
  <c r="F51" i="10"/>
  <c r="F52" i="10"/>
  <c r="F53" i="10"/>
  <c r="F50" i="10"/>
  <c r="F45" i="10"/>
  <c r="F46" i="10"/>
  <c r="F47" i="10"/>
  <c r="F44" i="10"/>
  <c r="F39" i="10"/>
  <c r="F40" i="10"/>
  <c r="F38" i="10"/>
  <c r="R59" i="10"/>
  <c r="N127" i="13" l="1"/>
  <c r="N4" i="14"/>
  <c r="F27" i="10"/>
  <c r="N27" i="34" l="1"/>
  <c r="O127" i="13"/>
  <c r="P127" i="13"/>
  <c r="F27" i="34"/>
  <c r="Q59" i="10" l="1"/>
  <c r="X9" i="10" s="1"/>
  <c r="P66" i="10"/>
  <c r="P67" i="10"/>
  <c r="M109" i="13" l="1"/>
  <c r="M110" i="13"/>
  <c r="M114" i="13"/>
  <c r="M115" i="13"/>
  <c r="K89" i="12" l="1"/>
  <c r="N126" i="13" l="1"/>
  <c r="O126" i="13" l="1"/>
  <c r="P126" i="13"/>
  <c r="J98" i="12"/>
  <c r="J97" i="12"/>
  <c r="J96" i="12"/>
  <c r="T17" i="13" l="1"/>
  <c r="N128" i="13"/>
  <c r="U17" i="13" l="1"/>
  <c r="O128" i="13"/>
  <c r="P128" i="13" l="1"/>
  <c r="O61" i="10"/>
  <c r="O60" i="10"/>
  <c r="G60" i="10" l="1"/>
  <c r="Q60" i="10" s="1"/>
  <c r="P60" i="10"/>
  <c r="K61" i="10"/>
  <c r="P61" i="10"/>
  <c r="K60" i="10"/>
  <c r="R60" i="10" s="1"/>
  <c r="G61" i="10"/>
  <c r="Q61" i="10" s="1"/>
  <c r="R61" i="10" l="1"/>
  <c r="I99" i="12" l="1"/>
  <c r="I124" i="13" l="1"/>
  <c r="I133" i="13" s="1"/>
  <c r="J124" i="13" l="1"/>
  <c r="J133" i="13" s="1"/>
  <c r="P48" i="29" l="1"/>
  <c r="Q48" i="29"/>
  <c r="R48" i="29"/>
  <c r="P49" i="29"/>
  <c r="Q49" i="29"/>
  <c r="R49" i="29"/>
  <c r="P50" i="29"/>
  <c r="Q50" i="29"/>
  <c r="R50" i="29"/>
  <c r="P51" i="29"/>
  <c r="Q51" i="29"/>
  <c r="R51" i="29"/>
  <c r="U51" i="29" l="1"/>
  <c r="U50" i="29"/>
  <c r="U49" i="29"/>
  <c r="T50" i="29"/>
  <c r="S50" i="29"/>
  <c r="S49" i="29"/>
  <c r="S51" i="29"/>
  <c r="T51" i="29"/>
  <c r="T49" i="29"/>
  <c r="M107" i="11" l="1"/>
  <c r="F107" i="11"/>
  <c r="G55" i="35"/>
  <c r="H55" i="35" l="1"/>
  <c r="H108" i="11" l="1"/>
  <c r="G108" i="11"/>
  <c r="I55" i="35"/>
  <c r="J99" i="12" l="1"/>
  <c r="D114" i="13" l="1"/>
  <c r="F55" i="35" l="1"/>
  <c r="J58" i="10"/>
  <c r="J59" i="10"/>
  <c r="J60" i="10"/>
  <c r="J61" i="10"/>
  <c r="N58" i="10"/>
  <c r="N59" i="10"/>
  <c r="N60" i="10"/>
  <c r="N61" i="10"/>
  <c r="N67" i="10" l="1"/>
  <c r="N66" i="10"/>
  <c r="N65" i="10"/>
  <c r="J67" i="10"/>
  <c r="J66" i="10"/>
  <c r="J65" i="10"/>
  <c r="F67" i="10"/>
  <c r="F66" i="10"/>
  <c r="F65" i="10"/>
  <c r="F64" i="10"/>
  <c r="F61" i="10"/>
  <c r="F60" i="10"/>
  <c r="F59" i="10"/>
  <c r="F58" i="10"/>
  <c r="W19" i="28" l="1"/>
  <c r="O19" i="28"/>
  <c r="C21" i="28"/>
  <c r="C21" i="37"/>
  <c r="N19" i="37"/>
  <c r="D24" i="26"/>
  <c r="M17" i="26" l="1"/>
  <c r="N76" i="34" l="1"/>
  <c r="N75" i="34"/>
  <c r="N74" i="34"/>
  <c r="N73" i="34"/>
  <c r="J76" i="34"/>
  <c r="J75" i="34"/>
  <c r="J74" i="34"/>
  <c r="J73" i="34"/>
  <c r="N76" i="10"/>
  <c r="N75" i="10"/>
  <c r="N74" i="10"/>
  <c r="N73" i="10"/>
  <c r="J76" i="10"/>
  <c r="J75" i="10"/>
  <c r="J74" i="10"/>
  <c r="J73" i="10"/>
  <c r="G27" i="34" l="1"/>
  <c r="O27" i="34" s="1"/>
  <c r="P65" i="10"/>
  <c r="G27" i="10" l="1"/>
  <c r="H32" i="14" l="1"/>
  <c r="N95" i="11" l="1"/>
  <c r="O95" i="11"/>
  <c r="P95" i="11"/>
  <c r="M95" i="11"/>
  <c r="G64" i="34"/>
  <c r="G42" i="35"/>
  <c r="H42" i="35" s="1"/>
  <c r="I42" i="35" s="1"/>
  <c r="I32" i="13" l="1"/>
  <c r="J32" i="13" l="1"/>
  <c r="P107" i="13" s="1"/>
  <c r="O107" i="13"/>
  <c r="F95" i="13"/>
  <c r="T9" i="13"/>
  <c r="T71" i="13" s="1"/>
  <c r="G8" i="13"/>
  <c r="U9" i="13" s="1"/>
  <c r="U71" i="13" s="1"/>
  <c r="L95" i="13" l="1"/>
  <c r="F138" i="13"/>
  <c r="G138" i="13" s="1"/>
  <c r="H138" i="13" s="1"/>
  <c r="I138" i="13" s="1"/>
  <c r="J138" i="13" s="1"/>
  <c r="H8" i="13"/>
  <c r="G95" i="13"/>
  <c r="I8" i="13" l="1"/>
  <c r="V9" i="13"/>
  <c r="V71" i="13" s="1"/>
  <c r="M95" i="13"/>
  <c r="H95" i="13"/>
  <c r="J8" i="13" l="1"/>
  <c r="X9" i="13" s="1"/>
  <c r="X71" i="13" s="1"/>
  <c r="W9" i="13"/>
  <c r="W71" i="13" s="1"/>
  <c r="I95" i="13"/>
  <c r="N95" i="13"/>
  <c r="J95" i="13" l="1"/>
  <c r="P95" i="13" s="1"/>
  <c r="O95" i="13"/>
  <c r="F144" i="13" l="1"/>
  <c r="H99" i="12" l="1"/>
  <c r="H54" i="13" l="1"/>
  <c r="F37" i="12"/>
  <c r="F72" i="12" s="1"/>
  <c r="N113" i="13" l="1"/>
  <c r="V17" i="13"/>
  <c r="I54" i="13"/>
  <c r="O113" i="13" l="1"/>
  <c r="J54" i="13"/>
  <c r="W17" i="13"/>
  <c r="G99" i="12"/>
  <c r="P113" i="13" l="1"/>
  <c r="X17" i="13"/>
  <c r="D27" i="26" l="1"/>
  <c r="L26" i="26" l="1"/>
  <c r="L27" i="26"/>
  <c r="L25" i="26"/>
  <c r="N34" i="14" l="1"/>
  <c r="D34" i="14"/>
  <c r="D26" i="26"/>
  <c r="D25" i="26"/>
  <c r="O25" i="36" l="1"/>
  <c r="O24" i="36"/>
  <c r="G25" i="36"/>
  <c r="G24" i="36"/>
  <c r="N25" i="27"/>
  <c r="N24" i="27"/>
  <c r="F25" i="27"/>
  <c r="F24" i="27"/>
  <c r="O28" i="34" l="1"/>
  <c r="G28" i="34"/>
  <c r="E34" i="14" s="1"/>
  <c r="O29" i="10"/>
  <c r="O28" i="10"/>
  <c r="G29" i="10"/>
  <c r="E35" i="14" s="1"/>
  <c r="G28" i="10"/>
  <c r="E33" i="14" s="1"/>
  <c r="N35" i="14"/>
  <c r="N33" i="14"/>
  <c r="D35" i="14"/>
  <c r="D33" i="14"/>
  <c r="J64" i="28" l="1"/>
  <c r="S64" i="28" s="1"/>
  <c r="B75" i="26"/>
  <c r="B74" i="26"/>
  <c r="B80" i="26"/>
  <c r="B79" i="26"/>
  <c r="B85" i="26"/>
  <c r="B84" i="26"/>
  <c r="K64" i="28" l="1"/>
  <c r="L64" i="11" l="1"/>
  <c r="B91" i="14"/>
  <c r="B92" i="14"/>
  <c r="B87" i="14"/>
  <c r="B86" i="14"/>
  <c r="B82" i="14"/>
  <c r="B81" i="14"/>
  <c r="W64" i="11" l="1"/>
  <c r="M64" i="11"/>
  <c r="Y16" i="10" l="1"/>
  <c r="Y16" i="34" s="1"/>
  <c r="Y15" i="10"/>
  <c r="Y15" i="34" s="1"/>
  <c r="X16" i="34"/>
  <c r="X15" i="34"/>
  <c r="F4" i="11" l="1"/>
  <c r="Q110" i="13" l="1"/>
  <c r="T81" i="13"/>
  <c r="T82" i="13"/>
  <c r="T83" i="13"/>
  <c r="K64" i="34"/>
  <c r="W79" i="13" l="1"/>
  <c r="V79" i="13"/>
  <c r="T79" i="13"/>
  <c r="U79" i="13"/>
  <c r="T80" i="13"/>
  <c r="X79" i="13"/>
  <c r="O23" i="37"/>
  <c r="P23" i="37"/>
  <c r="Q23" i="37"/>
  <c r="R23" i="37"/>
  <c r="S23" i="37"/>
  <c r="T23" i="37"/>
  <c r="O24" i="37"/>
  <c r="P24" i="37"/>
  <c r="Q24" i="37"/>
  <c r="R24" i="37"/>
  <c r="S24" i="37"/>
  <c r="T24" i="37"/>
  <c r="P22" i="37"/>
  <c r="Q22" i="37"/>
  <c r="R22" i="37"/>
  <c r="S22" i="37"/>
  <c r="T22" i="37"/>
  <c r="O22" i="37"/>
  <c r="D119" i="26" l="1"/>
  <c r="D113" i="26"/>
  <c r="D107" i="26"/>
  <c r="D101" i="26"/>
  <c r="O65" i="34" l="1"/>
  <c r="N29" i="34" l="1"/>
  <c r="O61" i="34"/>
  <c r="D100" i="12"/>
  <c r="E100" i="12" s="1"/>
  <c r="F100" i="12" s="1"/>
  <c r="C25" i="28" l="1"/>
  <c r="K61" i="34"/>
  <c r="T48" i="34" s="1"/>
  <c r="X12" i="34"/>
  <c r="O71" i="34"/>
  <c r="N28" i="34"/>
  <c r="P59" i="34"/>
  <c r="P61" i="34"/>
  <c r="K71" i="34" l="1"/>
  <c r="G54" i="35"/>
  <c r="F28" i="34"/>
  <c r="H144" i="13"/>
  <c r="I144" i="13"/>
  <c r="J144" i="13"/>
  <c r="M26" i="26"/>
  <c r="E26" i="26"/>
  <c r="G119" i="26"/>
  <c r="G113" i="26"/>
  <c r="G107" i="26"/>
  <c r="C31" i="28" l="1"/>
  <c r="C15" i="36"/>
  <c r="Q11" i="36" s="1"/>
  <c r="C16" i="36"/>
  <c r="R11" i="36" s="1"/>
  <c r="C14" i="36"/>
  <c r="C5" i="36"/>
  <c r="H11" i="36" s="1"/>
  <c r="H10" i="36" s="1"/>
  <c r="C6" i="36"/>
  <c r="I11" i="36" s="1"/>
  <c r="C7" i="36"/>
  <c r="J11" i="36" s="1"/>
  <c r="C8" i="36"/>
  <c r="K11" i="36" s="1"/>
  <c r="C9" i="36"/>
  <c r="L11" i="36" s="1"/>
  <c r="C10" i="36"/>
  <c r="M11" i="36" s="1"/>
  <c r="C11" i="36"/>
  <c r="N11" i="36" s="1"/>
  <c r="C12" i="36"/>
  <c r="O11" i="36" s="1"/>
  <c r="C4" i="36"/>
  <c r="G35" i="37"/>
  <c r="E14" i="37"/>
  <c r="E8" i="37"/>
  <c r="E9" i="37"/>
  <c r="E10" i="37"/>
  <c r="E11" i="37"/>
  <c r="E12" i="37"/>
  <c r="E7" i="37"/>
  <c r="X12" i="36"/>
  <c r="X9" i="36"/>
  <c r="N24" i="36"/>
  <c r="N23" i="36"/>
  <c r="F25" i="36"/>
  <c r="F24" i="36"/>
  <c r="I17" i="36"/>
  <c r="J17" i="36"/>
  <c r="L17" i="36"/>
  <c r="M17" i="36"/>
  <c r="N17" i="36"/>
  <c r="O17" i="36"/>
  <c r="P17" i="36"/>
  <c r="Q17" i="36"/>
  <c r="R17" i="36"/>
  <c r="G17" i="36"/>
  <c r="I16" i="36"/>
  <c r="J16" i="36"/>
  <c r="L16" i="36"/>
  <c r="M16" i="36"/>
  <c r="N16" i="36"/>
  <c r="O16" i="36"/>
  <c r="P16" i="36"/>
  <c r="Q16" i="36"/>
  <c r="R16" i="36"/>
  <c r="G16" i="36"/>
  <c r="I6" i="36"/>
  <c r="L6" i="36"/>
  <c r="M6" i="36"/>
  <c r="N6" i="36"/>
  <c r="O6" i="36"/>
  <c r="P6" i="36"/>
  <c r="Q6" i="36"/>
  <c r="R6" i="36"/>
  <c r="G6" i="36"/>
  <c r="C35" i="37"/>
  <c r="U24" i="37"/>
  <c r="U23" i="37"/>
  <c r="U22" i="37"/>
  <c r="D21" i="37"/>
  <c r="E35" i="37" s="1"/>
  <c r="G14" i="37"/>
  <c r="E26" i="36"/>
  <c r="P11" i="36"/>
  <c r="X10" i="36"/>
  <c r="G17" i="27"/>
  <c r="H17" i="27"/>
  <c r="I17" i="27"/>
  <c r="J17" i="27"/>
  <c r="K17" i="27"/>
  <c r="L17" i="27"/>
  <c r="M17" i="27"/>
  <c r="N17" i="27"/>
  <c r="O17" i="27"/>
  <c r="P17" i="27"/>
  <c r="Q17" i="27"/>
  <c r="F17" i="27"/>
  <c r="G16" i="27"/>
  <c r="H16" i="27"/>
  <c r="I16" i="27"/>
  <c r="J16" i="27"/>
  <c r="K16" i="27"/>
  <c r="L16" i="27"/>
  <c r="M16" i="27"/>
  <c r="N16" i="27"/>
  <c r="O16" i="27"/>
  <c r="P16" i="27"/>
  <c r="Q16" i="27"/>
  <c r="F16" i="27"/>
  <c r="X10" i="34"/>
  <c r="Y10" i="34" s="1"/>
  <c r="O29" i="34"/>
  <c r="G29" i="34"/>
  <c r="H126" i="14"/>
  <c r="G126" i="14"/>
  <c r="F126" i="14"/>
  <c r="E72" i="14"/>
  <c r="H120" i="14"/>
  <c r="G120" i="14"/>
  <c r="F120" i="14"/>
  <c r="H114" i="14"/>
  <c r="G114" i="14"/>
  <c r="F114" i="14"/>
  <c r="D114" i="14"/>
  <c r="O34" i="14"/>
  <c r="U45" i="10"/>
  <c r="U49" i="10"/>
  <c r="U50" i="10"/>
  <c r="U51" i="10"/>
  <c r="U55" i="10"/>
  <c r="U45" i="34"/>
  <c r="U50" i="34"/>
  <c r="U51" i="34"/>
  <c r="O64" i="34"/>
  <c r="N25" i="36" s="1"/>
  <c r="X13" i="36"/>
  <c r="K6" i="36"/>
  <c r="F54" i="35"/>
  <c r="I35" i="35"/>
  <c r="G35" i="35"/>
  <c r="D21" i="35"/>
  <c r="E35" i="35" s="1"/>
  <c r="C35" i="35"/>
  <c r="U24" i="35"/>
  <c r="U23" i="35"/>
  <c r="U22" i="35"/>
  <c r="K17" i="36"/>
  <c r="A45" i="35"/>
  <c r="A46" i="35"/>
  <c r="A47" i="35"/>
  <c r="A48" i="35"/>
  <c r="A49" i="35"/>
  <c r="G14" i="35"/>
  <c r="I14" i="35" s="1"/>
  <c r="F4" i="35"/>
  <c r="F4" i="37" s="1"/>
  <c r="O74" i="34"/>
  <c r="K73" i="34"/>
  <c r="N71" i="34"/>
  <c r="J71" i="34"/>
  <c r="L58" i="34"/>
  <c r="U44" i="34"/>
  <c r="K16" i="36"/>
  <c r="H35" i="34"/>
  <c r="E30" i="34"/>
  <c r="Y9" i="34"/>
  <c r="A50" i="35"/>
  <c r="A51" i="35"/>
  <c r="I35" i="34"/>
  <c r="J35" i="34"/>
  <c r="A52" i="35"/>
  <c r="K35" i="34"/>
  <c r="L35" i="34"/>
  <c r="M35" i="34"/>
  <c r="N35" i="34"/>
  <c r="O35" i="34"/>
  <c r="P35" i="34"/>
  <c r="O15" i="28"/>
  <c r="O14" i="28"/>
  <c r="O12" i="28"/>
  <c r="O11" i="28"/>
  <c r="O10" i="28"/>
  <c r="O9" i="28"/>
  <c r="O8" i="28"/>
  <c r="O7" i="28"/>
  <c r="E14" i="28"/>
  <c r="E15" i="28"/>
  <c r="E8" i="28"/>
  <c r="E9" i="28"/>
  <c r="E10" i="28"/>
  <c r="E11" i="28"/>
  <c r="E12" i="28"/>
  <c r="E7" i="28"/>
  <c r="Q6" i="27"/>
  <c r="P6" i="27"/>
  <c r="O6" i="27"/>
  <c r="N6" i="27"/>
  <c r="M6" i="27"/>
  <c r="L6" i="27"/>
  <c r="K6" i="27"/>
  <c r="J6" i="27"/>
  <c r="H6" i="27"/>
  <c r="F6" i="27"/>
  <c r="W13" i="27"/>
  <c r="W12" i="27"/>
  <c r="M25" i="27"/>
  <c r="M24" i="27"/>
  <c r="E25" i="27"/>
  <c r="E24" i="27"/>
  <c r="A57" i="13"/>
  <c r="C27" i="28"/>
  <c r="C35" i="28" s="1"/>
  <c r="K35" i="28" s="1"/>
  <c r="S35" i="28" s="1"/>
  <c r="I22" i="11"/>
  <c r="J22" i="11"/>
  <c r="K22" i="11"/>
  <c r="L22" i="11"/>
  <c r="I23" i="11"/>
  <c r="J23" i="11"/>
  <c r="K23" i="11"/>
  <c r="L23" i="11"/>
  <c r="I24" i="11"/>
  <c r="J24" i="11"/>
  <c r="K24" i="11"/>
  <c r="L24" i="11"/>
  <c r="I25" i="11"/>
  <c r="J25" i="11"/>
  <c r="K25" i="11"/>
  <c r="L25" i="11"/>
  <c r="I26" i="11"/>
  <c r="J26" i="11"/>
  <c r="K26" i="11"/>
  <c r="L26" i="11"/>
  <c r="I27" i="11"/>
  <c r="J27" i="11"/>
  <c r="K27" i="11"/>
  <c r="L27" i="11"/>
  <c r="I28" i="11"/>
  <c r="J28" i="11"/>
  <c r="K28" i="11"/>
  <c r="L28" i="11"/>
  <c r="I29" i="11"/>
  <c r="J29" i="11"/>
  <c r="K29" i="11"/>
  <c r="L29" i="11"/>
  <c r="I30" i="11"/>
  <c r="J30" i="11"/>
  <c r="K30" i="11"/>
  <c r="L30" i="11"/>
  <c r="C27" i="11"/>
  <c r="C35" i="11" s="1"/>
  <c r="O27" i="10"/>
  <c r="N23" i="27" s="1"/>
  <c r="U44" i="10"/>
  <c r="O74" i="10"/>
  <c r="O73" i="10"/>
  <c r="K73" i="10"/>
  <c r="L58" i="10"/>
  <c r="L59" i="10" s="1"/>
  <c r="N71" i="10"/>
  <c r="J71" i="10"/>
  <c r="E30" i="10"/>
  <c r="W10" i="27"/>
  <c r="M27" i="26"/>
  <c r="M25" i="26"/>
  <c r="E27" i="26"/>
  <c r="E25" i="26"/>
  <c r="F23" i="27"/>
  <c r="G23" i="36" s="1"/>
  <c r="O23" i="36" s="1"/>
  <c r="X22" i="28"/>
  <c r="Y22" i="28"/>
  <c r="Z22" i="28"/>
  <c r="AA22" i="28"/>
  <c r="AB22" i="28"/>
  <c r="AC22" i="28"/>
  <c r="X23" i="28"/>
  <c r="Y23" i="28"/>
  <c r="Z23" i="28"/>
  <c r="AA23" i="28"/>
  <c r="AB23" i="28"/>
  <c r="AC23" i="28"/>
  <c r="X24" i="28"/>
  <c r="Y24" i="28"/>
  <c r="Z24" i="28"/>
  <c r="AA24" i="28"/>
  <c r="AB24" i="28"/>
  <c r="AC24" i="28"/>
  <c r="X25" i="28"/>
  <c r="Y25" i="28"/>
  <c r="Z25" i="28"/>
  <c r="AA25" i="28"/>
  <c r="AB25" i="28"/>
  <c r="AC25" i="28"/>
  <c r="X26" i="28"/>
  <c r="Y26" i="28"/>
  <c r="Z26" i="28"/>
  <c r="AA26" i="28"/>
  <c r="AB26" i="28"/>
  <c r="AC26" i="28"/>
  <c r="X27" i="28"/>
  <c r="Y27" i="28"/>
  <c r="Z27" i="28"/>
  <c r="AA27" i="28"/>
  <c r="AB27" i="28"/>
  <c r="AC27" i="28"/>
  <c r="X28" i="28"/>
  <c r="Y28" i="28"/>
  <c r="Z28" i="28"/>
  <c r="AA28" i="28"/>
  <c r="AB28" i="28"/>
  <c r="AC28" i="28"/>
  <c r="X29" i="28"/>
  <c r="Y29" i="28"/>
  <c r="Z29" i="28"/>
  <c r="AA29" i="28"/>
  <c r="AB29" i="28"/>
  <c r="AC29" i="28"/>
  <c r="X30" i="28"/>
  <c r="Y30" i="28"/>
  <c r="Z30" i="28"/>
  <c r="AA30" i="28"/>
  <c r="AB30" i="28"/>
  <c r="AC30" i="28"/>
  <c r="P22" i="28"/>
  <c r="Q22" i="28"/>
  <c r="R22" i="28"/>
  <c r="S22" i="28"/>
  <c r="T22" i="28"/>
  <c r="U22" i="28"/>
  <c r="P23" i="28"/>
  <c r="Q23" i="28"/>
  <c r="R23" i="28"/>
  <c r="S23" i="28"/>
  <c r="T23" i="28"/>
  <c r="U23" i="28"/>
  <c r="P24" i="28"/>
  <c r="Q24" i="28"/>
  <c r="R24" i="28"/>
  <c r="S24" i="28"/>
  <c r="T24" i="28"/>
  <c r="U24" i="28"/>
  <c r="P25" i="28"/>
  <c r="Q25" i="28"/>
  <c r="R25" i="28"/>
  <c r="S25" i="28"/>
  <c r="T25" i="28"/>
  <c r="U25" i="28"/>
  <c r="P26" i="28"/>
  <c r="Q26" i="28"/>
  <c r="R26" i="28"/>
  <c r="S26" i="28"/>
  <c r="T26" i="28"/>
  <c r="U26" i="28"/>
  <c r="P27" i="28"/>
  <c r="Q27" i="28"/>
  <c r="R27" i="28"/>
  <c r="S27" i="28"/>
  <c r="T27" i="28"/>
  <c r="U27" i="28"/>
  <c r="P28" i="28"/>
  <c r="Q28" i="28"/>
  <c r="R28" i="28"/>
  <c r="S28" i="28"/>
  <c r="T28" i="28"/>
  <c r="U28" i="28"/>
  <c r="P29" i="28"/>
  <c r="Q29" i="28"/>
  <c r="R29" i="28"/>
  <c r="S29" i="28"/>
  <c r="T29" i="28"/>
  <c r="U29" i="28"/>
  <c r="P30" i="28"/>
  <c r="Q30" i="28"/>
  <c r="R30" i="28"/>
  <c r="S30" i="28"/>
  <c r="T30" i="28"/>
  <c r="U30" i="28"/>
  <c r="M3" i="26"/>
  <c r="F4" i="28" s="1"/>
  <c r="G80" i="28"/>
  <c r="G65" i="28"/>
  <c r="G50" i="28"/>
  <c r="O50" i="28"/>
  <c r="O65" i="28"/>
  <c r="G35" i="28"/>
  <c r="O35" i="28"/>
  <c r="W35" i="28"/>
  <c r="O4" i="28"/>
  <c r="E4" i="28"/>
  <c r="M23" i="27"/>
  <c r="E23" i="27"/>
  <c r="C15" i="27"/>
  <c r="Q11" i="27" s="1"/>
  <c r="C14" i="27"/>
  <c r="P11" i="27" s="1"/>
  <c r="C13" i="27"/>
  <c r="O11" i="27" s="1"/>
  <c r="C12" i="27"/>
  <c r="N11" i="27" s="1"/>
  <c r="C11" i="27"/>
  <c r="M11" i="27" s="1"/>
  <c r="C10" i="27"/>
  <c r="L11" i="27" s="1"/>
  <c r="C9" i="27"/>
  <c r="K11" i="27" s="1"/>
  <c r="C8" i="27"/>
  <c r="J11" i="27" s="1"/>
  <c r="C7" i="27"/>
  <c r="I11" i="27" s="1"/>
  <c r="I10" i="27" s="1"/>
  <c r="C6" i="27"/>
  <c r="H11" i="27" s="1"/>
  <c r="C5" i="27"/>
  <c r="G11" i="27" s="1"/>
  <c r="C4" i="27"/>
  <c r="F11" i="27" s="1"/>
  <c r="G101" i="26"/>
  <c r="G95" i="26"/>
  <c r="D95" i="26"/>
  <c r="G89" i="26"/>
  <c r="D89" i="26"/>
  <c r="G83" i="26"/>
  <c r="F83" i="26"/>
  <c r="D83" i="26"/>
  <c r="G78" i="26"/>
  <c r="F78" i="26"/>
  <c r="D78" i="26"/>
  <c r="G73" i="26"/>
  <c r="F73" i="26"/>
  <c r="D73" i="26"/>
  <c r="G65" i="26"/>
  <c r="F65" i="26"/>
  <c r="D65" i="26"/>
  <c r="G58" i="26"/>
  <c r="F58" i="26"/>
  <c r="D58" i="26"/>
  <c r="G51" i="26"/>
  <c r="F51" i="26"/>
  <c r="D51" i="26"/>
  <c r="G44" i="26"/>
  <c r="D44" i="26"/>
  <c r="G38" i="26"/>
  <c r="D38" i="26"/>
  <c r="G31" i="26"/>
  <c r="D31" i="26"/>
  <c r="O24" i="26"/>
  <c r="L24" i="26"/>
  <c r="D20" i="26"/>
  <c r="H108" i="14"/>
  <c r="H102" i="14"/>
  <c r="D108" i="14"/>
  <c r="D102" i="14"/>
  <c r="H96" i="14"/>
  <c r="D96" i="14"/>
  <c r="G108" i="14"/>
  <c r="F108" i="14"/>
  <c r="G102" i="14"/>
  <c r="F102" i="14"/>
  <c r="G96" i="14"/>
  <c r="F96" i="14"/>
  <c r="B91" i="11"/>
  <c r="B90" i="11"/>
  <c r="B89" i="11"/>
  <c r="B88" i="11"/>
  <c r="B87" i="11"/>
  <c r="B86" i="11"/>
  <c r="B85" i="11"/>
  <c r="B84" i="11"/>
  <c r="B83" i="11"/>
  <c r="B82" i="11"/>
  <c r="J81" i="11"/>
  <c r="I81" i="11"/>
  <c r="H81" i="11"/>
  <c r="G81" i="11"/>
  <c r="F81" i="11"/>
  <c r="E81" i="11"/>
  <c r="D81" i="11"/>
  <c r="C81" i="11"/>
  <c r="B76" i="11"/>
  <c r="B75" i="11"/>
  <c r="B74" i="11"/>
  <c r="B73" i="11"/>
  <c r="B72" i="11"/>
  <c r="B71" i="11"/>
  <c r="B70" i="11"/>
  <c r="B69" i="11"/>
  <c r="B68" i="11"/>
  <c r="B67" i="11"/>
  <c r="J66" i="11"/>
  <c r="I66" i="11"/>
  <c r="H66" i="11"/>
  <c r="G66" i="11"/>
  <c r="F66" i="11"/>
  <c r="E66" i="11"/>
  <c r="D66" i="11"/>
  <c r="C66" i="11"/>
  <c r="Q58" i="10"/>
  <c r="W9" i="27" s="1"/>
  <c r="H80" i="14"/>
  <c r="H58" i="14"/>
  <c r="H39" i="14"/>
  <c r="H90" i="14"/>
  <c r="G90" i="14"/>
  <c r="F90" i="14"/>
  <c r="D90" i="14"/>
  <c r="H85" i="14"/>
  <c r="G85" i="14"/>
  <c r="F85" i="14"/>
  <c r="D85" i="14"/>
  <c r="G80" i="14"/>
  <c r="F80" i="14"/>
  <c r="D80" i="14"/>
  <c r="H72" i="14"/>
  <c r="G72" i="14"/>
  <c r="F72" i="14"/>
  <c r="D72" i="14"/>
  <c r="H65" i="14"/>
  <c r="G65" i="14"/>
  <c r="F65" i="14"/>
  <c r="D65" i="14"/>
  <c r="G58" i="14"/>
  <c r="F58" i="14"/>
  <c r="D58" i="14"/>
  <c r="O35" i="14"/>
  <c r="O33" i="14"/>
  <c r="P10" i="14"/>
  <c r="P8" i="14"/>
  <c r="P7" i="14"/>
  <c r="P6" i="14"/>
  <c r="H35" i="10"/>
  <c r="I35" i="10"/>
  <c r="Y10" i="10"/>
  <c r="A98" i="11"/>
  <c r="A99" i="11" s="1"/>
  <c r="A100" i="11" s="1"/>
  <c r="A101" i="11" s="1"/>
  <c r="A102" i="11" s="1"/>
  <c r="A103" i="11" s="1"/>
  <c r="A104" i="11" s="1"/>
  <c r="A105" i="11" s="1"/>
  <c r="O4" i="11"/>
  <c r="I50" i="11"/>
  <c r="S50" i="11" s="1"/>
  <c r="S65" i="11" s="1"/>
  <c r="AC65" i="11" s="1"/>
  <c r="I80" i="11"/>
  <c r="G50" i="11"/>
  <c r="Q50" i="11" s="1"/>
  <c r="I35" i="11"/>
  <c r="S35" i="11" s="1"/>
  <c r="AC35" i="11" s="1"/>
  <c r="G35" i="11"/>
  <c r="G65" i="11" s="1"/>
  <c r="G51" i="14"/>
  <c r="F51" i="14"/>
  <c r="G45" i="14"/>
  <c r="F45" i="14"/>
  <c r="G39" i="14"/>
  <c r="F39" i="14"/>
  <c r="Q32" i="14"/>
  <c r="P32" i="14"/>
  <c r="G32" i="14"/>
  <c r="F32" i="14"/>
  <c r="R32" i="14"/>
  <c r="H51" i="14"/>
  <c r="H45" i="14"/>
  <c r="N32" i="14"/>
  <c r="D51" i="14"/>
  <c r="D45" i="14"/>
  <c r="D39" i="14"/>
  <c r="P4" i="11"/>
  <c r="D21" i="11"/>
  <c r="D27" i="11" s="1"/>
  <c r="W50" i="28"/>
  <c r="W65" i="28"/>
  <c r="P12" i="14"/>
  <c r="P15" i="14"/>
  <c r="P11" i="14"/>
  <c r="P13" i="14"/>
  <c r="J35" i="10"/>
  <c r="O12" i="26"/>
  <c r="K35" i="10"/>
  <c r="L35" i="10"/>
  <c r="M35" i="10"/>
  <c r="N35" i="10"/>
  <c r="O35" i="10"/>
  <c r="P35" i="10"/>
  <c r="O12" i="11" l="1"/>
  <c r="O10" i="11"/>
  <c r="O9" i="11"/>
  <c r="O8" i="11"/>
  <c r="O7" i="11"/>
  <c r="O11" i="11"/>
  <c r="E58" i="14"/>
  <c r="I32" i="14"/>
  <c r="D126" i="14"/>
  <c r="D120" i="14"/>
  <c r="C50" i="28"/>
  <c r="K50" i="28" s="1"/>
  <c r="K65" i="28" s="1"/>
  <c r="T45" i="10"/>
  <c r="L59" i="34"/>
  <c r="I65" i="11"/>
  <c r="G80" i="11"/>
  <c r="AA50" i="11"/>
  <c r="Q65" i="11"/>
  <c r="AA65" i="11" s="1"/>
  <c r="Q35" i="11"/>
  <c r="AA35" i="11" s="1"/>
  <c r="AC50" i="11"/>
  <c r="K10" i="27"/>
  <c r="S8" i="14"/>
  <c r="O6" i="26"/>
  <c r="S11" i="14"/>
  <c r="O7" i="26"/>
  <c r="O11" i="26"/>
  <c r="O8" i="26"/>
  <c r="O10" i="26"/>
  <c r="C65" i="28"/>
  <c r="C80" i="28"/>
  <c r="C65" i="11"/>
  <c r="M35" i="11"/>
  <c r="W35" i="11" s="1"/>
  <c r="C50" i="11"/>
  <c r="O73" i="34"/>
  <c r="L64" i="34"/>
  <c r="J10" i="27"/>
  <c r="Q10" i="27"/>
  <c r="L10" i="27"/>
  <c r="M10" i="27"/>
  <c r="N10" i="27"/>
  <c r="R19" i="27" s="1"/>
  <c r="O10" i="27"/>
  <c r="P10" i="27"/>
  <c r="H10" i="27"/>
  <c r="F10" i="27"/>
  <c r="E102" i="14"/>
  <c r="E45" i="14"/>
  <c r="E51" i="14"/>
  <c r="E108" i="14"/>
  <c r="E90" i="14"/>
  <c r="E96" i="14"/>
  <c r="E39" i="14"/>
  <c r="E80" i="14"/>
  <c r="S6" i="14"/>
  <c r="N27" i="10"/>
  <c r="E126" i="14"/>
  <c r="E65" i="14"/>
  <c r="E85" i="14"/>
  <c r="E120" i="14"/>
  <c r="O32" i="14"/>
  <c r="S13" i="14"/>
  <c r="E114" i="14"/>
  <c r="C8" i="34"/>
  <c r="K11" i="34" s="1"/>
  <c r="C8" i="10"/>
  <c r="K11" i="10" s="1"/>
  <c r="O13" i="26"/>
  <c r="O9" i="26"/>
  <c r="P4" i="28"/>
  <c r="E24" i="26"/>
  <c r="E50" i="11"/>
  <c r="E35" i="11"/>
  <c r="D21" i="28"/>
  <c r="D27" i="28" s="1"/>
  <c r="E35" i="28" s="1"/>
  <c r="M35" i="28" s="1"/>
  <c r="U35" i="28" s="1"/>
  <c r="C16" i="27"/>
  <c r="R17" i="27"/>
  <c r="G25" i="27" s="1"/>
  <c r="G10" i="27"/>
  <c r="R11" i="27"/>
  <c r="O25" i="27" s="1"/>
  <c r="Q10" i="36"/>
  <c r="C17" i="36"/>
  <c r="G11" i="36"/>
  <c r="G10" i="36" s="1"/>
  <c r="R10" i="36"/>
  <c r="F26" i="36"/>
  <c r="H14" i="37"/>
  <c r="E4" i="35"/>
  <c r="E4" i="11"/>
  <c r="E4" i="37" l="1"/>
  <c r="E12" i="35"/>
  <c r="E9" i="35"/>
  <c r="E11" i="35"/>
  <c r="E10" i="35"/>
  <c r="E7" i="35"/>
  <c r="E8" i="35"/>
  <c r="E14" i="35"/>
  <c r="E12" i="11"/>
  <c r="E9" i="11"/>
  <c r="E7" i="11"/>
  <c r="E11" i="11"/>
  <c r="E8" i="11"/>
  <c r="E10" i="11"/>
  <c r="S50" i="28"/>
  <c r="S65" i="28" s="1"/>
  <c r="I45" i="14"/>
  <c r="I51" i="14"/>
  <c r="I80" i="14"/>
  <c r="I85" i="14"/>
  <c r="I114" i="14"/>
  <c r="I72" i="14"/>
  <c r="I58" i="14"/>
  <c r="I65" i="14"/>
  <c r="I90" i="14"/>
  <c r="I108" i="14"/>
  <c r="S32" i="14"/>
  <c r="I126" i="14"/>
  <c r="I102" i="14"/>
  <c r="I96" i="14"/>
  <c r="I39" i="14"/>
  <c r="I120" i="14"/>
  <c r="T45" i="34"/>
  <c r="E73" i="26"/>
  <c r="E101" i="26"/>
  <c r="E113" i="26"/>
  <c r="E119" i="26"/>
  <c r="E107" i="26"/>
  <c r="C80" i="11"/>
  <c r="M50" i="11"/>
  <c r="W11" i="27"/>
  <c r="E31" i="26"/>
  <c r="E83" i="26"/>
  <c r="E58" i="26"/>
  <c r="E51" i="26"/>
  <c r="E78" i="26"/>
  <c r="M24" i="26"/>
  <c r="E65" i="28"/>
  <c r="E38" i="26"/>
  <c r="E65" i="26"/>
  <c r="E44" i="26"/>
  <c r="E89" i="26"/>
  <c r="E95" i="26"/>
  <c r="E80" i="28"/>
  <c r="E50" i="28"/>
  <c r="M50" i="28" s="1"/>
  <c r="U50" i="28" s="1"/>
  <c r="U65" i="28" s="1"/>
  <c r="E65" i="11"/>
  <c r="O35" i="11"/>
  <c r="Y35" i="11" s="1"/>
  <c r="E80" i="11"/>
  <c r="O50" i="11"/>
  <c r="P25" i="27"/>
  <c r="N27" i="26"/>
  <c r="R10" i="27"/>
  <c r="H25" i="27"/>
  <c r="F27" i="26"/>
  <c r="S11" i="36"/>
  <c r="I10" i="36"/>
  <c r="M65" i="11" l="1"/>
  <c r="W65" i="11" s="1"/>
  <c r="W50" i="11"/>
  <c r="P25" i="36"/>
  <c r="Q25" i="36" s="1"/>
  <c r="M65" i="28"/>
  <c r="Y50" i="11"/>
  <c r="O65" i="11"/>
  <c r="Y65" i="11" s="1"/>
  <c r="X11" i="36"/>
  <c r="W14" i="27"/>
  <c r="S10" i="27" s="1"/>
  <c r="R16" i="27" s="1"/>
  <c r="H27" i="26"/>
  <c r="G27" i="26"/>
  <c r="O27" i="26"/>
  <c r="P27" i="26"/>
  <c r="J10" i="36"/>
  <c r="J14" i="35"/>
  <c r="H14" i="35"/>
  <c r="O24" i="27" l="1"/>
  <c r="K10" i="36"/>
  <c r="P24" i="27" l="1"/>
  <c r="N25" i="26"/>
  <c r="V9" i="28"/>
  <c r="G24" i="27"/>
  <c r="L10" i="36"/>
  <c r="H24" i="27" l="1"/>
  <c r="F25" i="26"/>
  <c r="O25" i="26"/>
  <c r="P25" i="26"/>
  <c r="M10" i="36"/>
  <c r="H25" i="26" l="1"/>
  <c r="G25" i="26"/>
  <c r="N10" i="36"/>
  <c r="O10" i="36" l="1"/>
  <c r="S19" i="36" s="1"/>
  <c r="C22" i="28" l="1"/>
  <c r="M72" i="11"/>
  <c r="M74" i="11"/>
  <c r="M67" i="11"/>
  <c r="N67" i="11"/>
  <c r="M70" i="11"/>
  <c r="M73" i="11"/>
  <c r="M71" i="11"/>
  <c r="N57" i="11"/>
  <c r="M54" i="11"/>
  <c r="M41" i="11"/>
  <c r="M59" i="11"/>
  <c r="N42" i="11"/>
  <c r="M39" i="11"/>
  <c r="M43" i="11"/>
  <c r="N37" i="11"/>
  <c r="N54" i="11"/>
  <c r="N39" i="11"/>
  <c r="N56" i="11"/>
  <c r="N58" i="11"/>
  <c r="D75" i="11"/>
  <c r="N60" i="11"/>
  <c r="M44" i="11"/>
  <c r="N44" i="11"/>
  <c r="N41" i="11"/>
  <c r="N43" i="11"/>
  <c r="M55" i="11"/>
  <c r="M38" i="11"/>
  <c r="M42" i="11"/>
  <c r="N38" i="11"/>
  <c r="M60" i="11"/>
  <c r="D68" i="11"/>
  <c r="N55" i="11"/>
  <c r="M58" i="11"/>
  <c r="C75" i="11"/>
  <c r="N59" i="11"/>
  <c r="N40" i="11"/>
  <c r="M53" i="11"/>
  <c r="M37" i="11"/>
  <c r="D37" i="11"/>
  <c r="D73" i="11"/>
  <c r="D69" i="11"/>
  <c r="M45" i="11"/>
  <c r="N53" i="11"/>
  <c r="D72" i="11"/>
  <c r="D71" i="11"/>
  <c r="N45" i="11"/>
  <c r="D70" i="11"/>
  <c r="M57" i="11"/>
  <c r="C44" i="11"/>
  <c r="M52" i="11"/>
  <c r="D74" i="11"/>
  <c r="N52" i="11"/>
  <c r="C37" i="11"/>
  <c r="M56" i="11"/>
  <c r="M40" i="11"/>
  <c r="C67" i="11"/>
  <c r="D67" i="11"/>
  <c r="S17" i="36"/>
  <c r="P10" i="36"/>
  <c r="N61" i="11" l="1"/>
  <c r="D75" i="14" s="1"/>
  <c r="M61" i="11"/>
  <c r="D68" i="14" s="1"/>
  <c r="K41" i="28"/>
  <c r="K58" i="28"/>
  <c r="L41" i="28"/>
  <c r="L58" i="28"/>
  <c r="C67" i="28"/>
  <c r="K43" i="28"/>
  <c r="K60" i="28"/>
  <c r="L43" i="28"/>
  <c r="L60" i="28"/>
  <c r="K42" i="28"/>
  <c r="L67" i="28"/>
  <c r="L45" i="28"/>
  <c r="C44" i="28"/>
  <c r="K52" i="28"/>
  <c r="K59" i="28"/>
  <c r="L52" i="28"/>
  <c r="D67" i="28"/>
  <c r="K53" i="28"/>
  <c r="K70" i="28"/>
  <c r="D68" i="28"/>
  <c r="L59" i="28"/>
  <c r="C75" i="28"/>
  <c r="L53" i="28"/>
  <c r="D69" i="28"/>
  <c r="K37" i="28"/>
  <c r="K54" i="28"/>
  <c r="K71" i="28"/>
  <c r="D70" i="28"/>
  <c r="L37" i="28"/>
  <c r="L54" i="28"/>
  <c r="D71" i="28"/>
  <c r="L42" i="28"/>
  <c r="K44" i="28"/>
  <c r="L44" i="28"/>
  <c r="K45" i="28"/>
  <c r="K38" i="28"/>
  <c r="K55" i="28"/>
  <c r="D61" i="26" s="1"/>
  <c r="K72" i="28"/>
  <c r="D72" i="28"/>
  <c r="L38" i="28"/>
  <c r="L55" i="28"/>
  <c r="D68" i="26" s="1"/>
  <c r="D73" i="28"/>
  <c r="C37" i="28"/>
  <c r="K39" i="28"/>
  <c r="K56" i="28"/>
  <c r="K73" i="28"/>
  <c r="D74" i="28"/>
  <c r="K67" i="28"/>
  <c r="D37" i="28"/>
  <c r="L39" i="28"/>
  <c r="L56" i="28"/>
  <c r="D75" i="28"/>
  <c r="K40" i="28"/>
  <c r="D59" i="26" s="1"/>
  <c r="K57" i="28"/>
  <c r="K74" i="28"/>
  <c r="L40" i="28"/>
  <c r="D66" i="26" s="1"/>
  <c r="L57" i="28"/>
  <c r="N46" i="11"/>
  <c r="D73" i="14" s="1"/>
  <c r="M46" i="11"/>
  <c r="D66" i="14" s="1"/>
  <c r="D76" i="11"/>
  <c r="D109" i="14" s="1"/>
  <c r="H25" i="36"/>
  <c r="I25" i="36" s="1"/>
  <c r="S10" i="36"/>
  <c r="D61" i="14" l="1"/>
  <c r="D59" i="14"/>
  <c r="K61" i="28"/>
  <c r="L61" i="28"/>
  <c r="K46" i="28"/>
  <c r="L46" i="28"/>
  <c r="D54" i="26"/>
  <c r="D52" i="26"/>
  <c r="D76" i="28"/>
  <c r="D102" i="26" s="1"/>
  <c r="X14" i="36"/>
  <c r="T10" i="36" s="1"/>
  <c r="N70" i="11" l="1"/>
  <c r="M75" i="11"/>
  <c r="N68" i="11"/>
  <c r="N75" i="11"/>
  <c r="M68" i="11"/>
  <c r="N74" i="11"/>
  <c r="N72" i="11"/>
  <c r="M69" i="11"/>
  <c r="N73" i="11"/>
  <c r="C38" i="11"/>
  <c r="C71" i="11"/>
  <c r="D43" i="11"/>
  <c r="D44" i="11"/>
  <c r="C73" i="11"/>
  <c r="C72" i="11"/>
  <c r="C39" i="11"/>
  <c r="D42" i="11"/>
  <c r="D40" i="11"/>
  <c r="C40" i="11"/>
  <c r="D45" i="11"/>
  <c r="C70" i="11"/>
  <c r="C43" i="11"/>
  <c r="C42" i="11"/>
  <c r="D41" i="11"/>
  <c r="C41" i="11"/>
  <c r="C74" i="11"/>
  <c r="C68" i="11"/>
  <c r="D38" i="11"/>
  <c r="C45" i="11"/>
  <c r="C69" i="11"/>
  <c r="D39" i="11"/>
  <c r="N71" i="11"/>
  <c r="N69" i="11"/>
  <c r="C23" i="28"/>
  <c r="C24" i="11"/>
  <c r="C24" i="28" s="1"/>
  <c r="C28" i="28"/>
  <c r="W70" i="11"/>
  <c r="W73" i="11"/>
  <c r="X67" i="11"/>
  <c r="W67" i="11"/>
  <c r="W72" i="11"/>
  <c r="W71" i="11"/>
  <c r="W74" i="11"/>
  <c r="W54" i="11"/>
  <c r="X54" i="11"/>
  <c r="X52" i="11"/>
  <c r="C82" i="11"/>
  <c r="X57" i="11"/>
  <c r="W58" i="11"/>
  <c r="W55" i="11"/>
  <c r="X40" i="11"/>
  <c r="D52" i="11"/>
  <c r="D84" i="11"/>
  <c r="W52" i="11"/>
  <c r="X37" i="11"/>
  <c r="X39" i="11"/>
  <c r="D89" i="11"/>
  <c r="W38" i="11"/>
  <c r="X55" i="11"/>
  <c r="C52" i="11"/>
  <c r="W41" i="11"/>
  <c r="D90" i="11"/>
  <c r="W57" i="11"/>
  <c r="X41" i="11"/>
  <c r="X58" i="11"/>
  <c r="D82" i="11"/>
  <c r="W42" i="11"/>
  <c r="W59" i="11"/>
  <c r="D85" i="11"/>
  <c r="X42" i="11"/>
  <c r="W37" i="11"/>
  <c r="X38" i="11"/>
  <c r="W43" i="11"/>
  <c r="W60" i="11"/>
  <c r="D86" i="11"/>
  <c r="X43" i="11"/>
  <c r="X60" i="11"/>
  <c r="W53" i="11"/>
  <c r="X56" i="11"/>
  <c r="X59" i="11"/>
  <c r="X53" i="11"/>
  <c r="C59" i="11"/>
  <c r="W44" i="11"/>
  <c r="W39" i="11"/>
  <c r="D87" i="11"/>
  <c r="X44" i="11"/>
  <c r="W56" i="11"/>
  <c r="W45" i="11"/>
  <c r="W40" i="11"/>
  <c r="D83" i="11"/>
  <c r="D88" i="11"/>
  <c r="X45" i="11"/>
  <c r="P24" i="36"/>
  <c r="S16" i="36"/>
  <c r="M76" i="11" l="1"/>
  <c r="D86" i="14" s="1"/>
  <c r="C40" i="28"/>
  <c r="L71" i="28"/>
  <c r="D43" i="28"/>
  <c r="L69" i="28"/>
  <c r="C70" i="28"/>
  <c r="D38" i="28"/>
  <c r="C38" i="28"/>
  <c r="C73" i="28"/>
  <c r="L73" i="28"/>
  <c r="L68" i="28"/>
  <c r="L72" i="28"/>
  <c r="C43" i="28"/>
  <c r="L70" i="28"/>
  <c r="L74" i="28"/>
  <c r="D44" i="28"/>
  <c r="C42" i="28"/>
  <c r="C74" i="28"/>
  <c r="K69" i="28"/>
  <c r="D42" i="28"/>
  <c r="C72" i="28"/>
  <c r="K68" i="28"/>
  <c r="D45" i="28"/>
  <c r="C45" i="28"/>
  <c r="D40" i="28"/>
  <c r="C71" i="28"/>
  <c r="D41" i="28"/>
  <c r="C69" i="28"/>
  <c r="C41" i="28"/>
  <c r="C68" i="28"/>
  <c r="L75" i="28"/>
  <c r="D39" i="28"/>
  <c r="K75" i="28"/>
  <c r="C39" i="28"/>
  <c r="S44" i="28"/>
  <c r="S67" i="28"/>
  <c r="D87" i="28"/>
  <c r="T44" i="28"/>
  <c r="T67" i="28"/>
  <c r="S52" i="28"/>
  <c r="S45" i="28"/>
  <c r="D89" i="28"/>
  <c r="T52" i="28"/>
  <c r="D88" i="28"/>
  <c r="T45" i="28"/>
  <c r="S53" i="28"/>
  <c r="S70" i="28"/>
  <c r="S38" i="28"/>
  <c r="S55" i="28"/>
  <c r="D62" i="26" s="1"/>
  <c r="S72" i="28"/>
  <c r="T38" i="28"/>
  <c r="T55" i="28"/>
  <c r="D69" i="26" s="1"/>
  <c r="D90" i="28"/>
  <c r="T53" i="28"/>
  <c r="C82" i="28"/>
  <c r="S39" i="28"/>
  <c r="S56" i="28"/>
  <c r="S73" i="28"/>
  <c r="D82" i="28"/>
  <c r="T39" i="28"/>
  <c r="T56" i="28"/>
  <c r="S40" i="28"/>
  <c r="D60" i="26" s="1"/>
  <c r="S57" i="28"/>
  <c r="S74" i="28"/>
  <c r="D83" i="28"/>
  <c r="T40" i="28"/>
  <c r="D67" i="26" s="1"/>
  <c r="T57" i="28"/>
  <c r="C59" i="28"/>
  <c r="S37" i="28"/>
  <c r="S54" i="28"/>
  <c r="C52" i="28"/>
  <c r="S41" i="28"/>
  <c r="S58" i="28"/>
  <c r="D52" i="28"/>
  <c r="D84" i="28"/>
  <c r="T41" i="28"/>
  <c r="T58" i="28"/>
  <c r="S71" i="28"/>
  <c r="S42" i="28"/>
  <c r="S59" i="28"/>
  <c r="D85" i="28"/>
  <c r="T42" i="28"/>
  <c r="T59" i="28"/>
  <c r="T54" i="28"/>
  <c r="S43" i="28"/>
  <c r="S60" i="28"/>
  <c r="T37" i="28"/>
  <c r="D86" i="28"/>
  <c r="T43" i="28"/>
  <c r="T60" i="28"/>
  <c r="X61" i="11"/>
  <c r="D76" i="14" s="1"/>
  <c r="W61" i="11"/>
  <c r="D69" i="14" s="1"/>
  <c r="X46" i="11"/>
  <c r="D74" i="14" s="1"/>
  <c r="C76" i="11"/>
  <c r="D103" i="14" s="1"/>
  <c r="D91" i="11"/>
  <c r="D110" i="14" s="1"/>
  <c r="D111" i="14" s="1"/>
  <c r="W46" i="11"/>
  <c r="D67" i="14" s="1"/>
  <c r="N76" i="11"/>
  <c r="D91" i="14" s="1"/>
  <c r="D46" i="11"/>
  <c r="D52" i="14" s="1"/>
  <c r="C46" i="11"/>
  <c r="D46" i="14" s="1"/>
  <c r="O9" i="37"/>
  <c r="H24" i="36"/>
  <c r="N26" i="26"/>
  <c r="Q24" i="36"/>
  <c r="D62" i="14" l="1"/>
  <c r="L76" i="28"/>
  <c r="D84" i="26" s="1"/>
  <c r="D81" i="14"/>
  <c r="D97" i="14"/>
  <c r="D40" i="14"/>
  <c r="K76" i="28"/>
  <c r="D79" i="26" s="1"/>
  <c r="C76" i="28"/>
  <c r="D96" i="26" s="1"/>
  <c r="T46" i="28"/>
  <c r="S61" i="28"/>
  <c r="T61" i="28"/>
  <c r="D55" i="26"/>
  <c r="D91" i="28"/>
  <c r="D103" i="26" s="1"/>
  <c r="D104" i="26" s="1"/>
  <c r="D53" i="26"/>
  <c r="S46" i="28"/>
  <c r="D60" i="14"/>
  <c r="D46" i="28"/>
  <c r="D45" i="26" s="1"/>
  <c r="C46" i="28"/>
  <c r="D39" i="26" s="1"/>
  <c r="P26" i="26"/>
  <c r="O26" i="26"/>
  <c r="F26" i="26"/>
  <c r="I24" i="36"/>
  <c r="D74" i="26" l="1"/>
  <c r="D90" i="26"/>
  <c r="D32" i="26"/>
  <c r="X72" i="11"/>
  <c r="D55" i="11"/>
  <c r="D60" i="11"/>
  <c r="D54" i="11"/>
  <c r="C54" i="11"/>
  <c r="C88" i="11"/>
  <c r="C87" i="11"/>
  <c r="C55" i="11"/>
  <c r="C89" i="11"/>
  <c r="C60" i="11"/>
  <c r="C86" i="11"/>
  <c r="D53" i="11"/>
  <c r="C83" i="11"/>
  <c r="C85" i="11"/>
  <c r="C53" i="11"/>
  <c r="X73" i="11"/>
  <c r="D56" i="11"/>
  <c r="C56" i="11"/>
  <c r="C58" i="11"/>
  <c r="D58" i="11"/>
  <c r="D59" i="11"/>
  <c r="C57" i="11"/>
  <c r="C84" i="11"/>
  <c r="C90" i="11"/>
  <c r="D57" i="11"/>
  <c r="W69" i="11"/>
  <c r="W68" i="11"/>
  <c r="X75" i="11"/>
  <c r="W75" i="11"/>
  <c r="X68" i="11"/>
  <c r="X70" i="11"/>
  <c r="X69" i="11"/>
  <c r="X74" i="11"/>
  <c r="X71" i="11"/>
  <c r="C29" i="28"/>
  <c r="C30" i="11"/>
  <c r="C30" i="28" s="1"/>
  <c r="H26" i="26"/>
  <c r="G26" i="26"/>
  <c r="D61" i="11" l="1"/>
  <c r="D53" i="14" s="1"/>
  <c r="D54" i="14" s="1"/>
  <c r="C61" i="11"/>
  <c r="D47" i="14" s="1"/>
  <c r="D54" i="28"/>
  <c r="C53" i="28"/>
  <c r="T75" i="28"/>
  <c r="C86" i="28"/>
  <c r="S68" i="28"/>
  <c r="C85" i="28"/>
  <c r="C56" i="28"/>
  <c r="C58" i="28"/>
  <c r="T74" i="28"/>
  <c r="C83" i="28"/>
  <c r="C88" i="28"/>
  <c r="T70" i="28"/>
  <c r="T72" i="28"/>
  <c r="D60" i="28"/>
  <c r="D58" i="28"/>
  <c r="C90" i="28"/>
  <c r="T68" i="28"/>
  <c r="T69" i="28"/>
  <c r="D57" i="28"/>
  <c r="S69" i="28"/>
  <c r="C89" i="28"/>
  <c r="C57" i="28"/>
  <c r="D55" i="28"/>
  <c r="C54" i="28"/>
  <c r="D53" i="28"/>
  <c r="S75" i="28"/>
  <c r="C84" i="28"/>
  <c r="C60" i="28"/>
  <c r="T73" i="28"/>
  <c r="D59" i="28"/>
  <c r="D56" i="28"/>
  <c r="T71" i="28"/>
  <c r="C87" i="28"/>
  <c r="C55" i="28"/>
  <c r="C91" i="11"/>
  <c r="D104" i="14" s="1"/>
  <c r="W76" i="11"/>
  <c r="D87" i="14" s="1"/>
  <c r="X76" i="11"/>
  <c r="D92" i="14" s="1"/>
  <c r="D41" i="14" l="1"/>
  <c r="D48" i="14"/>
  <c r="D42" i="14" s="1"/>
  <c r="C61" i="28"/>
  <c r="D40" i="26" s="1"/>
  <c r="D41" i="26" s="1"/>
  <c r="D98" i="14"/>
  <c r="D105" i="14"/>
  <c r="D99" i="14" s="1"/>
  <c r="S76" i="28"/>
  <c r="D80" i="26" s="1"/>
  <c r="C91" i="28"/>
  <c r="D97" i="26" s="1"/>
  <c r="D82" i="14"/>
  <c r="T76" i="28"/>
  <c r="D85" i="26" s="1"/>
  <c r="D61" i="28"/>
  <c r="D46" i="26" s="1"/>
  <c r="D47" i="26" l="1"/>
  <c r="D34" i="26" s="1"/>
  <c r="D33" i="26"/>
  <c r="D91" i="26"/>
  <c r="D98" i="26"/>
  <c r="D92" i="26" s="1"/>
  <c r="D75" i="26"/>
  <c r="G144" i="13" l="1"/>
  <c r="Y12" i="34" l="1"/>
  <c r="F30" i="34" l="1"/>
  <c r="I51" i="13" l="1"/>
  <c r="J51" i="13" s="1"/>
  <c r="U46" i="34" l="1"/>
  <c r="D22" i="35" l="1"/>
  <c r="F7" i="37"/>
  <c r="C22" i="37"/>
  <c r="L60" i="10"/>
  <c r="O107" i="11"/>
  <c r="P107" i="11" s="1"/>
  <c r="T46" i="10"/>
  <c r="U46" i="10"/>
  <c r="D22" i="37" l="1"/>
  <c r="D23" i="35"/>
  <c r="F8" i="37"/>
  <c r="C23" i="37"/>
  <c r="O97" i="11"/>
  <c r="O101" i="11"/>
  <c r="O102" i="11"/>
  <c r="O98" i="11"/>
  <c r="O99" i="11"/>
  <c r="O100" i="11"/>
  <c r="U52" i="10"/>
  <c r="D23" i="37" l="1"/>
  <c r="D24" i="35"/>
  <c r="F9" i="37"/>
  <c r="E37" i="35"/>
  <c r="E121" i="14" s="1"/>
  <c r="C24" i="37"/>
  <c r="C37" i="35"/>
  <c r="D121" i="14" s="1"/>
  <c r="C38" i="35"/>
  <c r="D122" i="14" s="1"/>
  <c r="C39" i="35"/>
  <c r="D123" i="14" s="1"/>
  <c r="I54" i="35"/>
  <c r="U52" i="34"/>
  <c r="E39" i="35" l="1"/>
  <c r="E123" i="14" s="1"/>
  <c r="E38" i="35"/>
  <c r="E122" i="14" s="1"/>
  <c r="D24" i="37"/>
  <c r="C39" i="37"/>
  <c r="D116" i="26" s="1"/>
  <c r="C38" i="37"/>
  <c r="D115" i="26" s="1"/>
  <c r="C37" i="37"/>
  <c r="D114" i="26" s="1"/>
  <c r="C25" i="37"/>
  <c r="D25" i="35"/>
  <c r="F10" i="37"/>
  <c r="E38" i="37"/>
  <c r="E115" i="26" s="1"/>
  <c r="E37" i="37"/>
  <c r="E114" i="26" s="1"/>
  <c r="E39" i="37"/>
  <c r="E116" i="26" s="1"/>
  <c r="O66" i="34"/>
  <c r="O60" i="34" s="1"/>
  <c r="O75" i="10"/>
  <c r="L61" i="34"/>
  <c r="T47" i="10"/>
  <c r="D25" i="37" l="1"/>
  <c r="D26" i="35"/>
  <c r="F11" i="37"/>
  <c r="C26" i="37"/>
  <c r="K60" i="34"/>
  <c r="T46" i="34" s="1"/>
  <c r="P60" i="34"/>
  <c r="O75" i="34"/>
  <c r="K10" i="34"/>
  <c r="U47" i="34"/>
  <c r="P101" i="11"/>
  <c r="P100" i="11"/>
  <c r="P98" i="11"/>
  <c r="P99" i="11"/>
  <c r="P102" i="11"/>
  <c r="P97" i="11"/>
  <c r="L61" i="10"/>
  <c r="T48" i="10"/>
  <c r="D26" i="37" l="1"/>
  <c r="D27" i="35"/>
  <c r="F12" i="37"/>
  <c r="F38" i="35"/>
  <c r="E128" i="14" s="1"/>
  <c r="E116" i="14" s="1"/>
  <c r="F37" i="35"/>
  <c r="E127" i="14" s="1"/>
  <c r="E115" i="14" s="1"/>
  <c r="F39" i="35"/>
  <c r="E129" i="14" s="1"/>
  <c r="E117" i="14" s="1"/>
  <c r="C27" i="37"/>
  <c r="D37" i="35"/>
  <c r="D127" i="14" s="1"/>
  <c r="D115" i="14" s="1"/>
  <c r="D38" i="35"/>
  <c r="D128" i="14" s="1"/>
  <c r="D116" i="14" s="1"/>
  <c r="D39" i="35"/>
  <c r="D129" i="14" s="1"/>
  <c r="D117" i="14" s="1"/>
  <c r="H54" i="35"/>
  <c r="H48" i="35" s="1"/>
  <c r="I48" i="35" s="1"/>
  <c r="T47" i="34"/>
  <c r="L60" i="34"/>
  <c r="U48" i="34"/>
  <c r="O67" i="34"/>
  <c r="O76" i="34" s="1"/>
  <c r="O76" i="10"/>
  <c r="K10" i="10"/>
  <c r="U48" i="10"/>
  <c r="U47" i="10"/>
  <c r="Y12" i="10"/>
  <c r="Y9" i="10"/>
  <c r="D27" i="37" l="1"/>
  <c r="F37" i="37" s="1"/>
  <c r="E120" i="26" s="1"/>
  <c r="E108" i="26" s="1"/>
  <c r="D39" i="37"/>
  <c r="D122" i="26" s="1"/>
  <c r="D110" i="26" s="1"/>
  <c r="D38" i="37"/>
  <c r="D121" i="26" s="1"/>
  <c r="D109" i="26" s="1"/>
  <c r="D37" i="37"/>
  <c r="D120" i="26" s="1"/>
  <c r="D108" i="26" s="1"/>
  <c r="F38" i="37"/>
  <c r="E121" i="26" s="1"/>
  <c r="E109" i="26" s="1"/>
  <c r="F39" i="37"/>
  <c r="E122" i="26" s="1"/>
  <c r="E110" i="26" s="1"/>
  <c r="O8" i="37"/>
  <c r="O10" i="37" s="1"/>
  <c r="H45" i="35"/>
  <c r="I45" i="35" s="1"/>
  <c r="H44" i="35"/>
  <c r="I44" i="35" s="1"/>
  <c r="H49" i="35"/>
  <c r="I49" i="35" s="1"/>
  <c r="H46" i="35"/>
  <c r="I46" i="35" s="1"/>
  <c r="H47" i="35"/>
  <c r="I47" i="35" s="1"/>
  <c r="U53" i="10"/>
  <c r="U54" i="10"/>
  <c r="G12" i="37" l="1"/>
  <c r="U53" i="34"/>
  <c r="F30" i="10"/>
  <c r="G7" i="37" l="1"/>
  <c r="G9" i="37"/>
  <c r="G10" i="37"/>
  <c r="G11" i="37"/>
  <c r="G8" i="37"/>
  <c r="H12" i="37"/>
  <c r="E27" i="37"/>
  <c r="U54" i="34"/>
  <c r="I89" i="12"/>
  <c r="H7" i="37" l="1"/>
  <c r="E22" i="37"/>
  <c r="H9" i="37"/>
  <c r="E24" i="37"/>
  <c r="E25" i="37"/>
  <c r="H10" i="37"/>
  <c r="H11" i="37"/>
  <c r="E26" i="37"/>
  <c r="H8" i="37"/>
  <c r="E23" i="37"/>
  <c r="J89" i="12"/>
  <c r="G37" i="37" l="1"/>
  <c r="F114" i="26" s="1"/>
  <c r="G39" i="37"/>
  <c r="F116" i="26" s="1"/>
  <c r="G38" i="37"/>
  <c r="F115" i="26" s="1"/>
  <c r="H37" i="37"/>
  <c r="F120" i="26" s="1"/>
  <c r="H38" i="37"/>
  <c r="F121" i="26" s="1"/>
  <c r="H39" i="37"/>
  <c r="F122" i="26" s="1"/>
  <c r="O11" i="37"/>
  <c r="L144" i="13"/>
  <c r="G114" i="26" l="1"/>
  <c r="F108" i="26"/>
  <c r="H114" i="26"/>
  <c r="H116" i="26"/>
  <c r="F110" i="26"/>
  <c r="G116" i="26"/>
  <c r="F109" i="26"/>
  <c r="G115" i="26"/>
  <c r="H115" i="26"/>
  <c r="G120" i="26"/>
  <c r="H120" i="26"/>
  <c r="G121" i="26"/>
  <c r="H121" i="26"/>
  <c r="H122" i="26"/>
  <c r="G122" i="26"/>
  <c r="H89" i="12"/>
  <c r="G108" i="26" l="1"/>
  <c r="H108" i="26"/>
  <c r="G110" i="26"/>
  <c r="H110" i="26"/>
  <c r="H109" i="26"/>
  <c r="G109" i="26"/>
  <c r="G89" i="12"/>
  <c r="F89" i="12" l="1"/>
  <c r="F99" i="12" l="1"/>
  <c r="C99" i="12" l="1"/>
  <c r="E99" i="12"/>
  <c r="D99" i="12"/>
  <c r="E89" i="12" l="1"/>
  <c r="D89" i="12"/>
  <c r="O144" i="13" l="1"/>
  <c r="P144" i="13" l="1"/>
  <c r="D8" i="10" l="1"/>
  <c r="K14" i="10" s="1"/>
  <c r="K13" i="10" s="1"/>
  <c r="D8" i="34"/>
  <c r="K14" i="34" s="1"/>
  <c r="K13" i="34" s="1"/>
  <c r="J50" i="13" l="1"/>
  <c r="J52" i="13"/>
  <c r="J48" i="13"/>
  <c r="J49" i="13" l="1"/>
  <c r="D115" i="13"/>
  <c r="D133" i="13" s="1"/>
  <c r="J18" i="13" l="1"/>
  <c r="L115" i="13"/>
  <c r="L133" i="13" s="1"/>
  <c r="H19" i="13"/>
  <c r="J21" i="13" l="1"/>
  <c r="J22" i="13"/>
  <c r="H85" i="13"/>
  <c r="I85" i="13" s="1"/>
  <c r="J85" i="13" s="1"/>
  <c r="H58" i="13"/>
  <c r="I58" i="13" s="1"/>
  <c r="J58" i="13" s="1"/>
  <c r="H84" i="13"/>
  <c r="I84" i="13" s="1"/>
  <c r="J84" i="13" s="1"/>
  <c r="U19" i="13" l="1"/>
  <c r="U81" i="13" s="1"/>
  <c r="H82" i="13"/>
  <c r="J19" i="13"/>
  <c r="I82" i="13" l="1"/>
  <c r="J82" i="13" s="1"/>
  <c r="X19" i="13" s="1"/>
  <c r="X81" i="13" s="1"/>
  <c r="V19" i="13"/>
  <c r="V81" i="13" s="1"/>
  <c r="W19" i="13" l="1"/>
  <c r="W81" i="13" s="1"/>
  <c r="H46" i="13"/>
  <c r="I46" i="13" s="1"/>
  <c r="J46" i="13" s="1"/>
  <c r="C10" i="10"/>
  <c r="M11" i="10" s="1"/>
  <c r="M10" i="10" s="1"/>
  <c r="C10" i="34"/>
  <c r="M11" i="34" s="1"/>
  <c r="M10" i="34" s="1"/>
  <c r="U20" i="13"/>
  <c r="U82" i="13" s="1"/>
  <c r="H83" i="13"/>
  <c r="D10" i="34" l="1"/>
  <c r="M14" i="34" s="1"/>
  <c r="M13" i="34" s="1"/>
  <c r="D10" i="10"/>
  <c r="M14" i="10" s="1"/>
  <c r="M13" i="10" s="1"/>
  <c r="U18" i="13"/>
  <c r="U80" i="13" s="1"/>
  <c r="H81" i="13"/>
  <c r="I83" i="13"/>
  <c r="J83" i="13" s="1"/>
  <c r="X20" i="13" s="1"/>
  <c r="X82" i="13" s="1"/>
  <c r="V20" i="13"/>
  <c r="V82" i="13" s="1"/>
  <c r="T22" i="13"/>
  <c r="W20" i="13"/>
  <c r="H55" i="13"/>
  <c r="H47" i="13" l="1"/>
  <c r="W82" i="13"/>
  <c r="C11" i="34"/>
  <c r="N11" i="34" s="1"/>
  <c r="N10" i="34" s="1"/>
  <c r="C11" i="10"/>
  <c r="N11" i="10" s="1"/>
  <c r="N10" i="10" s="1"/>
  <c r="U22" i="13"/>
  <c r="U84" i="13" s="1"/>
  <c r="H88" i="13"/>
  <c r="I81" i="13"/>
  <c r="J81" i="13" s="1"/>
  <c r="X18" i="13" s="1"/>
  <c r="X80" i="13" s="1"/>
  <c r="V18" i="13"/>
  <c r="V80" i="13" s="1"/>
  <c r="I55" i="13"/>
  <c r="J55" i="13" s="1"/>
  <c r="T84" i="13"/>
  <c r="W18" i="13"/>
  <c r="H57" i="13"/>
  <c r="I57" i="13" s="1"/>
  <c r="J57" i="13" s="1"/>
  <c r="V22" i="13" l="1"/>
  <c r="V84" i="13" s="1"/>
  <c r="I88" i="13"/>
  <c r="I47" i="13"/>
  <c r="J47" i="13" s="1"/>
  <c r="W80" i="13"/>
  <c r="C14" i="10"/>
  <c r="P11" i="10" s="1"/>
  <c r="P10" i="10" s="1"/>
  <c r="C14" i="34"/>
  <c r="P11" i="34" s="1"/>
  <c r="P10" i="34" s="1"/>
  <c r="D11" i="10"/>
  <c r="N14" i="10" s="1"/>
  <c r="N13" i="10" s="1"/>
  <c r="D11" i="34"/>
  <c r="N14" i="34" s="1"/>
  <c r="N13" i="34" s="1"/>
  <c r="J17" i="13"/>
  <c r="W22" i="13" l="1"/>
  <c r="W84" i="13" s="1"/>
  <c r="J88" i="13"/>
  <c r="X22" i="13" s="1"/>
  <c r="X84" i="13" s="1"/>
  <c r="D14" i="10"/>
  <c r="P14" i="10" s="1"/>
  <c r="P13" i="10" s="1"/>
  <c r="D14" i="34"/>
  <c r="P14" i="34" s="1"/>
  <c r="P13" i="34" s="1"/>
  <c r="U21" i="13"/>
  <c r="U83" i="13" s="1"/>
  <c r="H56" i="13"/>
  <c r="C15" i="10" l="1"/>
  <c r="Q11" i="10" s="1"/>
  <c r="Q10" i="10" s="1"/>
  <c r="C15" i="34"/>
  <c r="Q11" i="34" s="1"/>
  <c r="Q10" i="34" s="1"/>
  <c r="H66" i="13"/>
  <c r="I66" i="13" s="1"/>
  <c r="D15" i="34"/>
  <c r="Q14" i="34" s="1"/>
  <c r="Q13" i="34" s="1"/>
  <c r="D15" i="10"/>
  <c r="Q14" i="10" s="1"/>
  <c r="Q13" i="10" s="1"/>
  <c r="I56" i="13"/>
  <c r="J56" i="13" s="1"/>
  <c r="X21" i="13" s="1"/>
  <c r="X83" i="13" s="1"/>
  <c r="V21" i="13"/>
  <c r="V83" i="13" s="1"/>
  <c r="W21" i="13"/>
  <c r="W83" i="13" l="1"/>
  <c r="C16" i="34"/>
  <c r="R11" i="34" s="1"/>
  <c r="R10" i="34" s="1"/>
  <c r="C16" i="10"/>
  <c r="R11" i="10" s="1"/>
  <c r="R10" i="10" s="1"/>
  <c r="J66" i="13" l="1"/>
  <c r="D16" i="34"/>
  <c r="R14" i="34" s="1"/>
  <c r="R13" i="34" s="1"/>
  <c r="D16" i="10"/>
  <c r="R14" i="10" s="1"/>
  <c r="R13" i="10" s="1"/>
  <c r="H20" i="13" l="1"/>
  <c r="J20" i="13" l="1"/>
  <c r="J44" i="13" l="1"/>
  <c r="N144" i="13" l="1"/>
  <c r="G67" i="10" l="1"/>
  <c r="G67" i="34" s="1"/>
  <c r="G65" i="34"/>
  <c r="X13" i="34" s="1"/>
  <c r="H65" i="10"/>
  <c r="H67" i="10" l="1"/>
  <c r="Y13" i="34"/>
  <c r="G66" i="34"/>
  <c r="H66" i="10"/>
  <c r="Y13" i="10" l="1"/>
  <c r="H107" i="11" l="1"/>
  <c r="H101" i="11" s="1"/>
  <c r="H100" i="11" l="1"/>
  <c r="H97" i="11"/>
  <c r="I107" i="11"/>
  <c r="H102" i="11"/>
  <c r="H99" i="11"/>
  <c r="H98" i="11"/>
  <c r="I102" i="11" l="1"/>
  <c r="I100" i="11"/>
  <c r="I99" i="11"/>
  <c r="I97" i="11"/>
  <c r="I101" i="11"/>
  <c r="I98" i="11"/>
  <c r="H105" i="11" l="1"/>
  <c r="H104" i="11"/>
  <c r="I108" i="11" s="1"/>
  <c r="I104" i="11" s="1"/>
  <c r="E14" i="11" s="1"/>
  <c r="I105" i="11" l="1"/>
  <c r="E15" i="11" s="1"/>
  <c r="K67" i="10" l="1"/>
  <c r="K67" i="34" s="1"/>
  <c r="T54" i="34" s="1"/>
  <c r="K66" i="10"/>
  <c r="T52" i="10" s="1"/>
  <c r="K65" i="34"/>
  <c r="L65" i="34"/>
  <c r="T51" i="10"/>
  <c r="K74" i="10"/>
  <c r="L65" i="10"/>
  <c r="T51" i="34" l="1"/>
  <c r="F29" i="34"/>
  <c r="K76" i="10"/>
  <c r="K66" i="34"/>
  <c r="K75" i="34" s="1"/>
  <c r="L66" i="10"/>
  <c r="L66" i="34"/>
  <c r="K76" i="34"/>
  <c r="L67" i="34"/>
  <c r="T53" i="34"/>
  <c r="L67" i="10"/>
  <c r="T53" i="10"/>
  <c r="K75" i="10"/>
  <c r="K74" i="34"/>
  <c r="T52" i="34" l="1"/>
  <c r="T54" i="10"/>
  <c r="D15" i="13" l="1"/>
  <c r="D14" i="13"/>
  <c r="D26" i="13" l="1"/>
  <c r="L72" i="12" l="1"/>
  <c r="D13" i="13"/>
  <c r="D33" i="13"/>
  <c r="F33" i="13" s="1"/>
  <c r="G33" i="13" l="1"/>
  <c r="K72" i="12" l="1"/>
  <c r="H33" i="13"/>
  <c r="M108" i="13"/>
  <c r="H29" i="13"/>
  <c r="N103" i="13" s="1"/>
  <c r="U16" i="13"/>
  <c r="I33" i="13" l="1"/>
  <c r="N108" i="13"/>
  <c r="U78" i="13"/>
  <c r="I29" i="13"/>
  <c r="O103" i="13" s="1"/>
  <c r="V16" i="13"/>
  <c r="J33" i="13" l="1"/>
  <c r="P108" i="13" s="1"/>
  <c r="O108" i="13"/>
  <c r="M144" i="13"/>
  <c r="V78" i="13"/>
  <c r="J29" i="13"/>
  <c r="P103" i="13" s="1"/>
  <c r="W16" i="13"/>
  <c r="W78" i="13" l="1"/>
  <c r="X16" i="13"/>
  <c r="X78" i="13" l="1"/>
  <c r="J72" i="12" l="1"/>
  <c r="D87" i="13"/>
  <c r="D89" i="13" l="1"/>
  <c r="G26" i="13" l="1"/>
  <c r="M100" i="13" s="1"/>
  <c r="T13" i="13" l="1"/>
  <c r="H26" i="13"/>
  <c r="N100" i="13" s="1"/>
  <c r="U13" i="13"/>
  <c r="T75" i="13" l="1"/>
  <c r="I26" i="13"/>
  <c r="O100" i="13" s="1"/>
  <c r="V13" i="13"/>
  <c r="V75" i="13" s="1"/>
  <c r="C12" i="10" l="1"/>
  <c r="O11" i="10" s="1"/>
  <c r="S23" i="10" s="1"/>
  <c r="C12" i="34"/>
  <c r="O11" i="34" s="1"/>
  <c r="O10" i="34" s="1"/>
  <c r="S22" i="34" s="1"/>
  <c r="J26" i="13"/>
  <c r="W13" i="13"/>
  <c r="W75" i="13" s="1"/>
  <c r="O10" i="10" l="1"/>
  <c r="S22" i="10" s="1"/>
  <c r="S23" i="34"/>
  <c r="X13" i="13"/>
  <c r="P100" i="13"/>
  <c r="G27" i="13"/>
  <c r="M101" i="13" s="1"/>
  <c r="G24" i="13"/>
  <c r="M98" i="13" s="1"/>
  <c r="X75" i="13" l="1"/>
  <c r="T15" i="13"/>
  <c r="G28" i="13"/>
  <c r="M102" i="13" s="1"/>
  <c r="T77" i="13" l="1"/>
  <c r="G23" i="13"/>
  <c r="M97" i="13" s="1"/>
  <c r="H30" i="13"/>
  <c r="U14" i="13"/>
  <c r="U76" i="13" s="1"/>
  <c r="U75" i="13"/>
  <c r="U15" i="13"/>
  <c r="H27" i="13"/>
  <c r="N101" i="13" s="1"/>
  <c r="H23" i="13"/>
  <c r="N97" i="13" s="1"/>
  <c r="H24" i="13"/>
  <c r="N98" i="13" s="1"/>
  <c r="D12" i="34" l="1"/>
  <c r="O14" i="34" s="1"/>
  <c r="D12" i="10"/>
  <c r="O14" i="10" s="1"/>
  <c r="M133" i="13"/>
  <c r="H28" i="13"/>
  <c r="N102" i="13" s="1"/>
  <c r="N133" i="13" s="1"/>
  <c r="I23" i="13"/>
  <c r="O97" i="13" s="1"/>
  <c r="V10" i="13"/>
  <c r="H87" i="13"/>
  <c r="V15" i="13"/>
  <c r="V77" i="13" s="1"/>
  <c r="I27" i="13"/>
  <c r="O101" i="13" s="1"/>
  <c r="U77" i="13"/>
  <c r="I24" i="13"/>
  <c r="O98" i="13" s="1"/>
  <c r="V11" i="13"/>
  <c r="V73" i="13" s="1"/>
  <c r="I30" i="13"/>
  <c r="O104" i="13" s="1"/>
  <c r="V14" i="13"/>
  <c r="V76" i="13" s="1"/>
  <c r="C6" i="34" l="1"/>
  <c r="I11" i="34" s="1"/>
  <c r="I10" i="34" s="1"/>
  <c r="D6" i="10"/>
  <c r="I14" i="10" s="1"/>
  <c r="I13" i="10" s="1"/>
  <c r="C6" i="10"/>
  <c r="I11" i="10" s="1"/>
  <c r="I10" i="10" s="1"/>
  <c r="D6" i="34"/>
  <c r="I14" i="34" s="1"/>
  <c r="I13" i="34" s="1"/>
  <c r="T23" i="10"/>
  <c r="O13" i="10"/>
  <c r="T22" i="10" s="1"/>
  <c r="T23" i="34"/>
  <c r="O13" i="34"/>
  <c r="T22" i="34" s="1"/>
  <c r="J30" i="13"/>
  <c r="W14" i="13"/>
  <c r="W76" i="13" s="1"/>
  <c r="W11" i="13"/>
  <c r="W73" i="13" s="1"/>
  <c r="J24" i="13"/>
  <c r="J27" i="13"/>
  <c r="W15" i="13"/>
  <c r="W77" i="13" s="1"/>
  <c r="V72" i="13"/>
  <c r="J23" i="13"/>
  <c r="P97" i="13" s="1"/>
  <c r="W10" i="13"/>
  <c r="I28" i="13"/>
  <c r="V12" i="13"/>
  <c r="V74" i="13" s="1"/>
  <c r="H89" i="13"/>
  <c r="N134" i="13" s="1"/>
  <c r="I87" i="13" l="1"/>
  <c r="O102" i="13"/>
  <c r="O133" i="13" s="1"/>
  <c r="X15" i="13"/>
  <c r="P101" i="13"/>
  <c r="X11" i="13"/>
  <c r="X73" i="13" s="1"/>
  <c r="P98" i="13"/>
  <c r="X14" i="13"/>
  <c r="P104" i="13"/>
  <c r="I89" i="13"/>
  <c r="O134" i="13" s="1"/>
  <c r="X10" i="13"/>
  <c r="V23" i="13"/>
  <c r="V24" i="13" s="1"/>
  <c r="W72" i="13"/>
  <c r="J28" i="13"/>
  <c r="W12" i="13"/>
  <c r="W74" i="13" s="1"/>
  <c r="V86" i="13"/>
  <c r="X77" i="13" l="1"/>
  <c r="X12" i="13"/>
  <c r="X23" i="13" s="1"/>
  <c r="P102" i="13"/>
  <c r="P133" i="13" s="1"/>
  <c r="X76" i="13"/>
  <c r="V87" i="13"/>
  <c r="V89" i="13" s="1"/>
  <c r="N17" i="29"/>
  <c r="W86" i="13"/>
  <c r="J87" i="13"/>
  <c r="W23" i="13"/>
  <c r="W24" i="13" s="1"/>
  <c r="X72" i="13"/>
  <c r="X74" i="13" l="1"/>
  <c r="X86" i="13" s="1"/>
  <c r="W87" i="13"/>
  <c r="W89" i="13" s="1"/>
  <c r="N18" i="29"/>
  <c r="J89" i="13"/>
  <c r="P134" i="13" s="1"/>
  <c r="X87" i="13" l="1"/>
  <c r="X89" i="13" s="1"/>
  <c r="N19" i="29"/>
  <c r="X24" i="13"/>
  <c r="T12" i="13" l="1"/>
  <c r="T74" i="13" s="1"/>
  <c r="U12" i="13"/>
  <c r="U74" i="13" s="1"/>
  <c r="C5" i="10" l="1"/>
  <c r="H11" i="10" s="1"/>
  <c r="H10" i="10" s="1"/>
  <c r="C5" i="34"/>
  <c r="H11" i="34" s="1"/>
  <c r="H10" i="34" s="1"/>
  <c r="U11" i="13"/>
  <c r="U73" i="13" s="1"/>
  <c r="D5" i="10"/>
  <c r="H14" i="10" s="1"/>
  <c r="H13" i="10" s="1"/>
  <c r="D5" i="34"/>
  <c r="H14" i="34" s="1"/>
  <c r="H13" i="34" s="1"/>
  <c r="U10" i="13" l="1"/>
  <c r="G87" i="13"/>
  <c r="G89" i="13" s="1"/>
  <c r="M134" i="13" s="1"/>
  <c r="U72" i="13" l="1"/>
  <c r="U86" i="13" s="1"/>
  <c r="U23" i="13"/>
  <c r="U24" i="13" s="1"/>
  <c r="U87" i="13" l="1"/>
  <c r="U89" i="13" s="1"/>
  <c r="N16" i="29"/>
  <c r="T14" i="13" l="1"/>
  <c r="T76" i="13" s="1"/>
  <c r="C13" i="10" l="1"/>
  <c r="C13" i="34"/>
  <c r="D13" i="34"/>
  <c r="D13" i="10"/>
  <c r="T16" i="13" l="1"/>
  <c r="T78" i="13" s="1"/>
  <c r="C7" i="34" l="1"/>
  <c r="J11" i="34" s="1"/>
  <c r="J10" i="34" s="1"/>
  <c r="C7" i="10"/>
  <c r="J11" i="10" s="1"/>
  <c r="J10" i="10" s="1"/>
  <c r="D7" i="10"/>
  <c r="J14" i="10" s="1"/>
  <c r="J13" i="10" s="1"/>
  <c r="D7" i="34"/>
  <c r="J14" i="34" s="1"/>
  <c r="J13" i="34" s="1"/>
  <c r="T11" i="13" l="1"/>
  <c r="C9" i="34" l="1"/>
  <c r="L11" i="34" s="1"/>
  <c r="L10" i="34" s="1"/>
  <c r="T73" i="13"/>
  <c r="C9" i="10"/>
  <c r="L11" i="10" s="1"/>
  <c r="L10" i="10" s="1"/>
  <c r="D9" i="10" l="1"/>
  <c r="L14" i="10" s="1"/>
  <c r="L13" i="10" s="1"/>
  <c r="D9" i="34"/>
  <c r="L14" i="34" s="1"/>
  <c r="L13" i="34" s="1"/>
  <c r="T10" i="13" l="1"/>
  <c r="F87" i="13"/>
  <c r="F89" i="13" l="1"/>
  <c r="T72" i="13"/>
  <c r="C4" i="10"/>
  <c r="C4" i="34"/>
  <c r="T23" i="13"/>
  <c r="L134" i="13" l="1"/>
  <c r="T24" i="13"/>
  <c r="D4" i="10"/>
  <c r="D4" i="34"/>
  <c r="T86" i="13"/>
  <c r="G11" i="10"/>
  <c r="C17" i="10"/>
  <c r="G11" i="34"/>
  <c r="C17" i="34"/>
  <c r="G10" i="10" l="1"/>
  <c r="S11" i="10"/>
  <c r="P29" i="10" s="1"/>
  <c r="T87" i="13"/>
  <c r="T89" i="13" s="1"/>
  <c r="N15" i="29"/>
  <c r="G14" i="34"/>
  <c r="D17" i="34"/>
  <c r="G10" i="34"/>
  <c r="S11" i="34"/>
  <c r="P29" i="34" s="1"/>
  <c r="R29" i="34" s="1"/>
  <c r="G14" i="10"/>
  <c r="D17" i="10"/>
  <c r="S10" i="34" l="1"/>
  <c r="G13" i="10"/>
  <c r="S14" i="10"/>
  <c r="Q29" i="10" s="1"/>
  <c r="G13" i="34"/>
  <c r="S14" i="34"/>
  <c r="Q29" i="34" s="1"/>
  <c r="S29" i="34" s="1"/>
  <c r="P35" i="14"/>
  <c r="R29" i="10"/>
  <c r="X11" i="10"/>
  <c r="S10" i="10"/>
  <c r="S13" i="34" l="1"/>
  <c r="X17" i="10"/>
  <c r="S20" i="10" s="1"/>
  <c r="H29" i="10" s="1"/>
  <c r="X11" i="34"/>
  <c r="X14" i="10"/>
  <c r="T10" i="10" s="1"/>
  <c r="S19" i="10" s="1"/>
  <c r="Q35" i="14"/>
  <c r="S29" i="10"/>
  <c r="Y11" i="10"/>
  <c r="S13" i="10"/>
  <c r="X17" i="34" l="1"/>
  <c r="S20" i="34" s="1"/>
  <c r="H29" i="34" s="1"/>
  <c r="J29" i="34" s="1"/>
  <c r="X14" i="34"/>
  <c r="T10" i="34" s="1"/>
  <c r="W8" i="11"/>
  <c r="H28" i="10"/>
  <c r="F35" i="14"/>
  <c r="J29" i="10"/>
  <c r="Y11" i="34"/>
  <c r="Y17" i="10"/>
  <c r="T20" i="10" s="1"/>
  <c r="I29" i="10" s="1"/>
  <c r="Y14" i="10"/>
  <c r="T13" i="10" s="1"/>
  <c r="T19" i="10" s="1"/>
  <c r="R35" i="14"/>
  <c r="T35" i="14"/>
  <c r="S35" i="14"/>
  <c r="P28" i="10"/>
  <c r="Q28" i="10" l="1"/>
  <c r="G35" i="14"/>
  <c r="K29" i="10"/>
  <c r="Y14" i="34"/>
  <c r="T13" i="34" s="1"/>
  <c r="Y17" i="34"/>
  <c r="T20" i="34" s="1"/>
  <c r="I29" i="34" s="1"/>
  <c r="K29" i="34" s="1"/>
  <c r="J28" i="10"/>
  <c r="F33" i="14"/>
  <c r="S19" i="34"/>
  <c r="P28" i="34"/>
  <c r="P33" i="14"/>
  <c r="R28" i="10"/>
  <c r="I28" i="10"/>
  <c r="W9" i="11"/>
  <c r="R28" i="34" l="1"/>
  <c r="P34" i="14"/>
  <c r="K28" i="10"/>
  <c r="G33" i="14"/>
  <c r="T19" i="34"/>
  <c r="Q28" i="34"/>
  <c r="J35" i="14"/>
  <c r="I35" i="14"/>
  <c r="H35" i="14"/>
  <c r="H28" i="34"/>
  <c r="O8" i="35"/>
  <c r="G12" i="35" s="1"/>
  <c r="S28" i="10"/>
  <c r="Q33" i="14"/>
  <c r="G8" i="35" l="1"/>
  <c r="H12" i="35"/>
  <c r="G11" i="35"/>
  <c r="G9" i="35"/>
  <c r="G7" i="35"/>
  <c r="G10" i="35"/>
  <c r="E27" i="35"/>
  <c r="F34" i="14"/>
  <c r="J28" i="34"/>
  <c r="Q34" i="14"/>
  <c r="S28" i="34"/>
  <c r="I28" i="34"/>
  <c r="O9" i="35"/>
  <c r="I12" i="35" s="1"/>
  <c r="J33" i="14"/>
  <c r="R23" i="29"/>
  <c r="I33" i="14"/>
  <c r="H33" i="14"/>
  <c r="S23" i="29"/>
  <c r="S33" i="14"/>
  <c r="R33" i="14"/>
  <c r="T33" i="14"/>
  <c r="J12" i="35" l="1"/>
  <c r="I8" i="35"/>
  <c r="I7" i="35"/>
  <c r="I9" i="35"/>
  <c r="I10" i="35"/>
  <c r="F27" i="35"/>
  <c r="I11" i="35"/>
  <c r="E25" i="35"/>
  <c r="H10" i="35"/>
  <c r="H7" i="35"/>
  <c r="E22" i="35"/>
  <c r="R34" i="14"/>
  <c r="S34" i="14"/>
  <c r="T34" i="14"/>
  <c r="E24" i="35"/>
  <c r="H9" i="35"/>
  <c r="K28" i="34"/>
  <c r="G34" i="14"/>
  <c r="E26" i="35"/>
  <c r="H11" i="35"/>
  <c r="H8" i="35"/>
  <c r="E23" i="35"/>
  <c r="J9" i="35" l="1"/>
  <c r="F24" i="35"/>
  <c r="J7" i="35"/>
  <c r="F22" i="35"/>
  <c r="J8" i="35"/>
  <c r="F23" i="35"/>
  <c r="F26" i="35"/>
  <c r="J11" i="35"/>
  <c r="G37" i="35"/>
  <c r="F121" i="14" s="1"/>
  <c r="G39" i="35"/>
  <c r="F123" i="14" s="1"/>
  <c r="G38" i="35"/>
  <c r="F122" i="14" s="1"/>
  <c r="J34" i="14"/>
  <c r="H34" i="14"/>
  <c r="R39" i="29"/>
  <c r="I34" i="14"/>
  <c r="S39" i="29"/>
  <c r="H39" i="35"/>
  <c r="F129" i="14" s="1"/>
  <c r="H38" i="35"/>
  <c r="F128" i="14" s="1"/>
  <c r="H37" i="35"/>
  <c r="F127" i="14" s="1"/>
  <c r="J10" i="35"/>
  <c r="F25" i="35"/>
  <c r="F117" i="14" l="1"/>
  <c r="F116" i="14"/>
  <c r="F115" i="14"/>
  <c r="J38" i="35"/>
  <c r="G128" i="14" s="1"/>
  <c r="J37" i="35"/>
  <c r="G127" i="14" s="1"/>
  <c r="J39" i="35"/>
  <c r="G129" i="14" s="1"/>
  <c r="I37" i="35"/>
  <c r="G121" i="14" s="1"/>
  <c r="I38" i="35"/>
  <c r="G122" i="14" s="1"/>
  <c r="I39" i="35"/>
  <c r="G123" i="14" s="1"/>
  <c r="G116" i="14" l="1"/>
  <c r="J122" i="14"/>
  <c r="I122" i="14"/>
  <c r="H122" i="14"/>
  <c r="I127" i="14"/>
  <c r="H127" i="14"/>
  <c r="J127" i="14"/>
  <c r="I123" i="14"/>
  <c r="G117" i="14"/>
  <c r="J123" i="14"/>
  <c r="H123" i="14"/>
  <c r="H121" i="14"/>
  <c r="J121" i="14"/>
  <c r="I121" i="14"/>
  <c r="G115" i="14"/>
  <c r="J129" i="14"/>
  <c r="I129" i="14"/>
  <c r="H129" i="14"/>
  <c r="J128" i="14"/>
  <c r="I128" i="14"/>
  <c r="H128" i="14"/>
  <c r="R47" i="29" l="1"/>
  <c r="U48" i="29" s="1"/>
  <c r="H117" i="14"/>
  <c r="U47" i="29"/>
  <c r="I117" i="14"/>
  <c r="J117" i="14"/>
  <c r="I115" i="14"/>
  <c r="S47" i="29"/>
  <c r="H115" i="14"/>
  <c r="P47" i="29"/>
  <c r="S48" i="29" s="1"/>
  <c r="J115" i="14"/>
  <c r="Q47" i="29"/>
  <c r="T48" i="29" s="1"/>
  <c r="T47" i="29"/>
  <c r="I116" i="14"/>
  <c r="J116" i="14"/>
  <c r="H116" i="14"/>
  <c r="K101" i="12" l="1"/>
  <c r="K102" i="12" s="1"/>
  <c r="L101" i="12"/>
  <c r="J101" i="12"/>
  <c r="D101" i="12"/>
  <c r="D102" i="12" s="1"/>
  <c r="C101" i="12"/>
  <c r="C102" i="12" s="1"/>
  <c r="E101" i="12"/>
  <c r="E102" i="12" s="1"/>
  <c r="F101" i="12"/>
  <c r="F102" i="12" s="1"/>
  <c r="G101" i="12"/>
  <c r="G102" i="12" s="1"/>
  <c r="H101" i="12"/>
  <c r="H102" i="12" s="1"/>
  <c r="I101" i="12"/>
  <c r="I102" i="12" s="1"/>
  <c r="B5" i="13" l="1"/>
  <c r="J102" i="12"/>
  <c r="N5" i="29" s="1"/>
  <c r="N7" i="29" s="1"/>
  <c r="D90" i="13"/>
  <c r="L102" i="12"/>
  <c r="P15" i="11" l="1"/>
  <c r="P14" i="28"/>
  <c r="Q14" i="28" s="1"/>
  <c r="R14" i="28" s="1"/>
  <c r="Q14" i="11"/>
  <c r="S14" i="11" l="1"/>
  <c r="P15" i="28"/>
  <c r="Q15" i="28" s="1"/>
  <c r="R15" i="28" s="1"/>
  <c r="Q15" i="11"/>
  <c r="F15" i="11"/>
  <c r="G14" i="11"/>
  <c r="F14" i="28"/>
  <c r="G14" i="28" s="1"/>
  <c r="H14" i="28" s="1"/>
  <c r="I14" i="11" l="1"/>
  <c r="J14" i="11" s="1"/>
  <c r="H14" i="11"/>
  <c r="F15" i="28"/>
  <c r="G15" i="28" s="1"/>
  <c r="H15" i="28" s="1"/>
  <c r="G15" i="11"/>
  <c r="S15" i="11"/>
  <c r="I15" i="11" l="1"/>
  <c r="J15" i="11" s="1"/>
  <c r="H15" i="11"/>
  <c r="D22" i="11" l="1"/>
  <c r="F7" i="28"/>
  <c r="F8" i="28"/>
  <c r="D22" i="28" l="1"/>
  <c r="O67" i="11"/>
  <c r="F74" i="11"/>
  <c r="E37" i="11"/>
  <c r="P56" i="11"/>
  <c r="P55" i="11"/>
  <c r="O72" i="11"/>
  <c r="F67" i="11"/>
  <c r="P43" i="11"/>
  <c r="O45" i="11"/>
  <c r="O57" i="11"/>
  <c r="P53" i="11"/>
  <c r="O59" i="11"/>
  <c r="P58" i="11"/>
  <c r="O41" i="11"/>
  <c r="P45" i="11"/>
  <c r="O73" i="11"/>
  <c r="P44" i="11"/>
  <c r="O38" i="11"/>
  <c r="P59" i="11"/>
  <c r="P54" i="11"/>
  <c r="E44" i="11"/>
  <c r="F75" i="11"/>
  <c r="O71" i="11"/>
  <c r="E75" i="11"/>
  <c r="F71" i="11"/>
  <c r="P42" i="11"/>
  <c r="F37" i="11"/>
  <c r="O44" i="11"/>
  <c r="O43" i="11"/>
  <c r="E67" i="11"/>
  <c r="P52" i="11"/>
  <c r="O56" i="11"/>
  <c r="O37" i="11"/>
  <c r="O74" i="11"/>
  <c r="O40" i="11"/>
  <c r="F70" i="11"/>
  <c r="O42" i="11"/>
  <c r="P39" i="11"/>
  <c r="F73" i="11"/>
  <c r="P60" i="11"/>
  <c r="O55" i="11"/>
  <c r="P41" i="11"/>
  <c r="O53" i="11"/>
  <c r="F69" i="11"/>
  <c r="P37" i="11"/>
  <c r="F72" i="11"/>
  <c r="P57" i="11"/>
  <c r="O52" i="11"/>
  <c r="P40" i="11"/>
  <c r="P38" i="11"/>
  <c r="O60" i="11"/>
  <c r="F68" i="11"/>
  <c r="O70" i="11"/>
  <c r="O58" i="11"/>
  <c r="O39" i="11"/>
  <c r="O54" i="11"/>
  <c r="P67" i="11"/>
  <c r="P46" i="11" l="1"/>
  <c r="E73" i="14" s="1"/>
  <c r="O46" i="11"/>
  <c r="E66" i="14" s="1"/>
  <c r="N52" i="28"/>
  <c r="M60" i="28"/>
  <c r="N45" i="28"/>
  <c r="N67" i="28"/>
  <c r="M74" i="28"/>
  <c r="F68" i="28"/>
  <c r="N58" i="28"/>
  <c r="M70" i="28"/>
  <c r="N38" i="28"/>
  <c r="M45" i="28"/>
  <c r="M57" i="28"/>
  <c r="M55" i="28"/>
  <c r="E61" i="26" s="1"/>
  <c r="E37" i="28"/>
  <c r="N39" i="28"/>
  <c r="N55" i="28"/>
  <c r="E68" i="26" s="1"/>
  <c r="M53" i="28"/>
  <c r="M39" i="28"/>
  <c r="M37" i="28"/>
  <c r="M43" i="28"/>
  <c r="M59" i="28"/>
  <c r="E75" i="28"/>
  <c r="F67" i="28"/>
  <c r="N57" i="28"/>
  <c r="N54" i="28"/>
  <c r="F72" i="28"/>
  <c r="F70" i="28"/>
  <c r="N42" i="28"/>
  <c r="F75" i="28"/>
  <c r="M41" i="28"/>
  <c r="F74" i="28"/>
  <c r="N43" i="28"/>
  <c r="E44" i="28"/>
  <c r="M42" i="28"/>
  <c r="N60" i="28"/>
  <c r="E67" i="28"/>
  <c r="M71" i="28"/>
  <c r="M73" i="28"/>
  <c r="N41" i="28"/>
  <c r="M56" i="28"/>
  <c r="M38" i="28"/>
  <c r="F69" i="28"/>
  <c r="N53" i="28"/>
  <c r="N40" i="28"/>
  <c r="E66" i="26" s="1"/>
  <c r="N44" i="28"/>
  <c r="M54" i="28"/>
  <c r="M72" i="28"/>
  <c r="M58" i="28"/>
  <c r="F71" i="28"/>
  <c r="M67" i="28"/>
  <c r="M44" i="28"/>
  <c r="M52" i="28"/>
  <c r="N37" i="28"/>
  <c r="M40" i="28"/>
  <c r="E59" i="26" s="1"/>
  <c r="N59" i="28"/>
  <c r="N56" i="28"/>
  <c r="F37" i="28"/>
  <c r="F73" i="28"/>
  <c r="O61" i="11"/>
  <c r="E68" i="14" s="1"/>
  <c r="P61" i="11"/>
  <c r="E75" i="14" s="1"/>
  <c r="F76" i="11"/>
  <c r="E109" i="14" s="1"/>
  <c r="E52" i="26" l="1"/>
  <c r="E54" i="26"/>
  <c r="F11" i="11"/>
  <c r="D23" i="11"/>
  <c r="F9" i="28"/>
  <c r="N46" i="28"/>
  <c r="M61" i="28"/>
  <c r="N61" i="28"/>
  <c r="F76" i="28"/>
  <c r="E102" i="26" s="1"/>
  <c r="E59" i="14"/>
  <c r="P7" i="28"/>
  <c r="D28" i="28" s="1"/>
  <c r="D28" i="11"/>
  <c r="E61" i="14"/>
  <c r="M46" i="28"/>
  <c r="P8" i="28"/>
  <c r="Y58" i="11" l="1"/>
  <c r="Z45" i="11"/>
  <c r="Z40" i="11"/>
  <c r="F89" i="11"/>
  <c r="Z55" i="11"/>
  <c r="Y39" i="11"/>
  <c r="Y60" i="11"/>
  <c r="Y38" i="11"/>
  <c r="F85" i="11"/>
  <c r="Y74" i="11"/>
  <c r="F90" i="11"/>
  <c r="Y41" i="11"/>
  <c r="Y55" i="11"/>
  <c r="Y44" i="11"/>
  <c r="Z39" i="11"/>
  <c r="Y57" i="11"/>
  <c r="Z42" i="11"/>
  <c r="F87" i="11"/>
  <c r="Y70" i="11"/>
  <c r="F82" i="11"/>
  <c r="Z58" i="11"/>
  <c r="Z67" i="11"/>
  <c r="Y71" i="11"/>
  <c r="Y45" i="11"/>
  <c r="Z53" i="11"/>
  <c r="Z56" i="11"/>
  <c r="F84" i="11"/>
  <c r="Z54" i="11"/>
  <c r="E52" i="11"/>
  <c r="Y59" i="11"/>
  <c r="Y73" i="11"/>
  <c r="Z60" i="11"/>
  <c r="Z37" i="11"/>
  <c r="Y40" i="11"/>
  <c r="Y54" i="11"/>
  <c r="Z41" i="11"/>
  <c r="Y43" i="11"/>
  <c r="Z52" i="11"/>
  <c r="F86" i="11"/>
  <c r="Z57" i="11"/>
  <c r="Y42" i="11"/>
  <c r="E59" i="11"/>
  <c r="Y56" i="11"/>
  <c r="Z38" i="11"/>
  <c r="Z59" i="11"/>
  <c r="F88" i="11"/>
  <c r="Y52" i="11"/>
  <c r="Y37" i="11"/>
  <c r="Z44" i="11"/>
  <c r="E82" i="11"/>
  <c r="Y53" i="11"/>
  <c r="F52" i="11"/>
  <c r="Z43" i="11"/>
  <c r="F83" i="11"/>
  <c r="Y72" i="11"/>
  <c r="Y67" i="11"/>
  <c r="U70" i="28"/>
  <c r="V59" i="28"/>
  <c r="U43" i="28"/>
  <c r="F90" i="28"/>
  <c r="U58" i="28"/>
  <c r="V43" i="28"/>
  <c r="V40" i="28"/>
  <c r="E67" i="26" s="1"/>
  <c r="F52" i="28"/>
  <c r="U39" i="28"/>
  <c r="U56" i="28"/>
  <c r="U72" i="28"/>
  <c r="F85" i="28"/>
  <c r="U37" i="28"/>
  <c r="F89" i="28"/>
  <c r="F83" i="28"/>
  <c r="V37" i="28"/>
  <c r="U60" i="28"/>
  <c r="F82" i="28"/>
  <c r="U41" i="28"/>
  <c r="V45" i="28"/>
  <c r="V56" i="28"/>
  <c r="U55" i="28"/>
  <c r="E62" i="26" s="1"/>
  <c r="U53" i="28"/>
  <c r="U74" i="28"/>
  <c r="V58" i="28"/>
  <c r="U54" i="28"/>
  <c r="V42" i="28"/>
  <c r="V39" i="28"/>
  <c r="F87" i="28"/>
  <c r="V52" i="28"/>
  <c r="V55" i="28"/>
  <c r="E69" i="26" s="1"/>
  <c r="V67" i="28"/>
  <c r="U52" i="28"/>
  <c r="U45" i="28"/>
  <c r="U57" i="28"/>
  <c r="E52" i="28"/>
  <c r="U44" i="28"/>
  <c r="V60" i="28"/>
  <c r="V53" i="28"/>
  <c r="U59" i="28"/>
  <c r="U38" i="28"/>
  <c r="U67" i="28"/>
  <c r="V44" i="28"/>
  <c r="V41" i="28"/>
  <c r="F88" i="28"/>
  <c r="U40" i="28"/>
  <c r="E60" i="26" s="1"/>
  <c r="F84" i="28"/>
  <c r="V57" i="28"/>
  <c r="F86" i="28"/>
  <c r="V38" i="28"/>
  <c r="E59" i="28"/>
  <c r="U73" i="28"/>
  <c r="U42" i="28"/>
  <c r="E82" i="28"/>
  <c r="V54" i="28"/>
  <c r="U71" i="28"/>
  <c r="D23" i="28"/>
  <c r="P72" i="11"/>
  <c r="P70" i="11"/>
  <c r="F40" i="11"/>
  <c r="E71" i="11"/>
  <c r="O75" i="11"/>
  <c r="P73" i="11"/>
  <c r="E69" i="11"/>
  <c r="P75" i="11"/>
  <c r="E40" i="11"/>
  <c r="E39" i="11"/>
  <c r="P69" i="11"/>
  <c r="O68" i="11"/>
  <c r="E43" i="11"/>
  <c r="E73" i="11"/>
  <c r="E45" i="11"/>
  <c r="E70" i="11"/>
  <c r="E38" i="11"/>
  <c r="F43" i="11"/>
  <c r="P71" i="11"/>
  <c r="P68" i="11"/>
  <c r="E72" i="11"/>
  <c r="F39" i="11"/>
  <c r="F45" i="11"/>
  <c r="F41" i="11"/>
  <c r="E74" i="11"/>
  <c r="F44" i="11"/>
  <c r="E42" i="11"/>
  <c r="O69" i="11"/>
  <c r="F38" i="11"/>
  <c r="P74" i="11"/>
  <c r="E41" i="11"/>
  <c r="E68" i="11"/>
  <c r="F42" i="11"/>
  <c r="D24" i="11"/>
  <c r="F11" i="28"/>
  <c r="F12" i="11"/>
  <c r="F12" i="28" s="1"/>
  <c r="F10" i="28"/>
  <c r="F91" i="28" l="1"/>
  <c r="E103" i="26" s="1"/>
  <c r="E104" i="26" s="1"/>
  <c r="O76" i="11"/>
  <c r="E86" i="14" s="1"/>
  <c r="E53" i="26"/>
  <c r="F91" i="11"/>
  <c r="E110" i="14" s="1"/>
  <c r="E111" i="14" s="1"/>
  <c r="D24" i="28"/>
  <c r="E55" i="26"/>
  <c r="P76" i="11"/>
  <c r="E91" i="14" s="1"/>
  <c r="V61" i="28"/>
  <c r="U46" i="28"/>
  <c r="E46" i="11"/>
  <c r="E46" i="14" s="1"/>
  <c r="Z46" i="11"/>
  <c r="E74" i="14" s="1"/>
  <c r="E76" i="11"/>
  <c r="E103" i="14" s="1"/>
  <c r="E73" i="28"/>
  <c r="F42" i="28"/>
  <c r="E68" i="28"/>
  <c r="M75" i="28"/>
  <c r="N72" i="28"/>
  <c r="N74" i="28"/>
  <c r="E39" i="28"/>
  <c r="E45" i="28"/>
  <c r="M69" i="28"/>
  <c r="E41" i="28"/>
  <c r="N68" i="28"/>
  <c r="E71" i="28"/>
  <c r="E74" i="28"/>
  <c r="F41" i="28"/>
  <c r="M68" i="28"/>
  <c r="N71" i="28"/>
  <c r="F38" i="28"/>
  <c r="N73" i="28"/>
  <c r="E38" i="28"/>
  <c r="E42" i="28"/>
  <c r="N75" i="28"/>
  <c r="E72" i="28"/>
  <c r="F45" i="28"/>
  <c r="F44" i="28"/>
  <c r="E69" i="28"/>
  <c r="E43" i="28"/>
  <c r="F39" i="28"/>
  <c r="F43" i="28"/>
  <c r="N69" i="28"/>
  <c r="E70" i="28"/>
  <c r="F40" i="28"/>
  <c r="E45" i="26" s="1"/>
  <c r="E40" i="28"/>
  <c r="E39" i="26" s="1"/>
  <c r="N70" i="28"/>
  <c r="F46" i="11"/>
  <c r="E52" i="14" s="1"/>
  <c r="V46" i="28"/>
  <c r="Z61" i="11"/>
  <c r="E76" i="14" s="1"/>
  <c r="U61" i="28"/>
  <c r="Y46" i="11"/>
  <c r="E67" i="14" s="1"/>
  <c r="Y61" i="11"/>
  <c r="E69" i="14" s="1"/>
  <c r="E81" i="14" l="1"/>
  <c r="M76" i="28"/>
  <c r="E79" i="26" s="1"/>
  <c r="E60" i="14"/>
  <c r="E97" i="14"/>
  <c r="N76" i="28"/>
  <c r="E84" i="26" s="1"/>
  <c r="E32" i="26"/>
  <c r="E40" i="14"/>
  <c r="P11" i="11"/>
  <c r="P9" i="28"/>
  <c r="D29" i="11"/>
  <c r="E46" i="28"/>
  <c r="E76" i="28"/>
  <c r="E96" i="26" s="1"/>
  <c r="E62" i="14"/>
  <c r="F46" i="28"/>
  <c r="E74" i="26" l="1"/>
  <c r="E88" i="11"/>
  <c r="Z69" i="11"/>
  <c r="E83" i="11"/>
  <c r="Z68" i="11"/>
  <c r="F54" i="11"/>
  <c r="E53" i="11"/>
  <c r="Y68" i="11"/>
  <c r="F59" i="11"/>
  <c r="Z75" i="11"/>
  <c r="Z73" i="11"/>
  <c r="E87" i="11"/>
  <c r="Y75" i="11"/>
  <c r="Z72" i="11"/>
  <c r="E90" i="11"/>
  <c r="E58" i="11"/>
  <c r="E57" i="11"/>
  <c r="E85" i="11"/>
  <c r="F56" i="11"/>
  <c r="E55" i="11"/>
  <c r="Z70" i="11"/>
  <c r="Z74" i="11"/>
  <c r="E89" i="11"/>
  <c r="F53" i="11"/>
  <c r="E56" i="11"/>
  <c r="E84" i="11"/>
  <c r="E60" i="11"/>
  <c r="E86" i="11"/>
  <c r="Z71" i="11"/>
  <c r="E54" i="11"/>
  <c r="F57" i="11"/>
  <c r="Y69" i="11"/>
  <c r="F58" i="11"/>
  <c r="F60" i="11"/>
  <c r="F55" i="11"/>
  <c r="D30" i="11"/>
  <c r="P11" i="28"/>
  <c r="D30" i="28" s="1"/>
  <c r="P12" i="11"/>
  <c r="P12" i="28" s="1"/>
  <c r="P10" i="28"/>
  <c r="D29" i="28"/>
  <c r="E90" i="26"/>
  <c r="Y76" i="11" l="1"/>
  <c r="E87" i="14" s="1"/>
  <c r="V8" i="28"/>
  <c r="V10" i="28" s="1"/>
  <c r="G7" i="28" s="1"/>
  <c r="E22" i="28" s="1"/>
  <c r="F61" i="11"/>
  <c r="E53" i="14" s="1"/>
  <c r="E54" i="14" s="1"/>
  <c r="E61" i="11"/>
  <c r="E47" i="14" s="1"/>
  <c r="Z76" i="11"/>
  <c r="E92" i="14" s="1"/>
  <c r="E91" i="11"/>
  <c r="E104" i="14" s="1"/>
  <c r="E56" i="28"/>
  <c r="F59" i="28"/>
  <c r="E60" i="28"/>
  <c r="V75" i="28"/>
  <c r="F57" i="28"/>
  <c r="U75" i="28"/>
  <c r="V71" i="28"/>
  <c r="E89" i="28"/>
  <c r="E58" i="28"/>
  <c r="F56" i="28"/>
  <c r="U68" i="28"/>
  <c r="E86" i="28"/>
  <c r="F58" i="28"/>
  <c r="U69" i="28"/>
  <c r="E55" i="28"/>
  <c r="F54" i="28"/>
  <c r="V69" i="28"/>
  <c r="E85" i="28"/>
  <c r="E53" i="28"/>
  <c r="E88" i="28"/>
  <c r="E87" i="28"/>
  <c r="V74" i="28"/>
  <c r="E57" i="28"/>
  <c r="V72" i="28"/>
  <c r="F53" i="28"/>
  <c r="E54" i="28"/>
  <c r="V68" i="28"/>
  <c r="E90" i="28"/>
  <c r="F55" i="28"/>
  <c r="F60" i="28"/>
  <c r="V70" i="28"/>
  <c r="E84" i="28"/>
  <c r="E83" i="28"/>
  <c r="V73" i="28"/>
  <c r="E82" i="14" l="1"/>
  <c r="G11" i="28"/>
  <c r="G12" i="28" s="1"/>
  <c r="G9" i="28"/>
  <c r="E23" i="28" s="1"/>
  <c r="P67" i="28" s="1"/>
  <c r="G8" i="28"/>
  <c r="H8" i="28" s="1"/>
  <c r="Q7" i="28"/>
  <c r="R7" i="28" s="1"/>
  <c r="H7" i="28"/>
  <c r="V76" i="28"/>
  <c r="E85" i="26" s="1"/>
  <c r="U76" i="28"/>
  <c r="E80" i="26" s="1"/>
  <c r="F61" i="28"/>
  <c r="E46" i="26" s="1"/>
  <c r="E47" i="26" s="1"/>
  <c r="E98" i="14"/>
  <c r="E105" i="14"/>
  <c r="E99" i="14" s="1"/>
  <c r="E41" i="14"/>
  <c r="E48" i="14"/>
  <c r="E42" i="14" s="1"/>
  <c r="Q11" i="28"/>
  <c r="R11" i="28" s="1"/>
  <c r="H11" i="28"/>
  <c r="E24" i="28"/>
  <c r="E61" i="28"/>
  <c r="E40" i="26" s="1"/>
  <c r="E91" i="28"/>
  <c r="E97" i="26" s="1"/>
  <c r="O74" i="28"/>
  <c r="O54" i="28"/>
  <c r="O41" i="28"/>
  <c r="P58" i="28"/>
  <c r="P37" i="28"/>
  <c r="O57" i="28"/>
  <c r="P60" i="28"/>
  <c r="O53" i="28"/>
  <c r="O40" i="28"/>
  <c r="F59" i="26" s="1"/>
  <c r="P59" i="28"/>
  <c r="O52" i="28"/>
  <c r="O39" i="28"/>
  <c r="P45" i="28"/>
  <c r="O38" i="28"/>
  <c r="P38" i="28"/>
  <c r="H37" i="28"/>
  <c r="G37" i="28"/>
  <c r="O45" i="28"/>
  <c r="G44" i="28"/>
  <c r="O55" i="28"/>
  <c r="F61" i="26" s="1"/>
  <c r="P57" i="28"/>
  <c r="P44" i="28"/>
  <c r="O37" i="28"/>
  <c r="P56" i="28"/>
  <c r="P43" i="28"/>
  <c r="H75" i="28"/>
  <c r="P55" i="28"/>
  <c r="F68" i="26" s="1"/>
  <c r="P42" i="28"/>
  <c r="H74" i="28"/>
  <c r="P54" i="28"/>
  <c r="P41" i="28"/>
  <c r="H72" i="28"/>
  <c r="P53" i="28"/>
  <c r="P40" i="28"/>
  <c r="F66" i="26" s="1"/>
  <c r="H71" i="28"/>
  <c r="P52" i="28"/>
  <c r="P39" i="28"/>
  <c r="H68" i="28"/>
  <c r="O60" i="28"/>
  <c r="H67" i="28"/>
  <c r="O59" i="28"/>
  <c r="G67" i="28"/>
  <c r="O58" i="28"/>
  <c r="O44" i="28"/>
  <c r="O56" i="28"/>
  <c r="O43" i="28"/>
  <c r="O42" i="28"/>
  <c r="O67" i="28"/>
  <c r="H73" i="28"/>
  <c r="O70" i="28"/>
  <c r="H70" i="28"/>
  <c r="O71" i="28"/>
  <c r="H69" i="28"/>
  <c r="O72" i="28"/>
  <c r="G75" i="28"/>
  <c r="O73" i="28"/>
  <c r="G10" i="28" l="1"/>
  <c r="Q10" i="28" s="1"/>
  <c r="R10" i="28" s="1"/>
  <c r="H9" i="28"/>
  <c r="Q9" i="28"/>
  <c r="E28" i="28"/>
  <c r="X37" i="28" s="1"/>
  <c r="Q8" i="28"/>
  <c r="R8" i="28" s="1"/>
  <c r="G74" i="28"/>
  <c r="O69" i="28"/>
  <c r="H45" i="28"/>
  <c r="H42" i="28"/>
  <c r="H38" i="28"/>
  <c r="O75" i="28"/>
  <c r="E75" i="26"/>
  <c r="G40" i="28"/>
  <c r="G45" i="28"/>
  <c r="H39" i="28"/>
  <c r="O68" i="28"/>
  <c r="H44" i="28"/>
  <c r="P69" i="28"/>
  <c r="P70" i="28"/>
  <c r="H40" i="28"/>
  <c r="G69" i="28"/>
  <c r="G38" i="28"/>
  <c r="P72" i="28"/>
  <c r="P73" i="28"/>
  <c r="P68" i="28"/>
  <c r="G41" i="28"/>
  <c r="G70" i="28"/>
  <c r="G43" i="28"/>
  <c r="G72" i="28"/>
  <c r="H12" i="28"/>
  <c r="Q12" i="28"/>
  <c r="E91" i="26"/>
  <c r="E98" i="26"/>
  <c r="E92" i="26" s="1"/>
  <c r="G42" i="28"/>
  <c r="H41" i="28"/>
  <c r="H68" i="26"/>
  <c r="G68" i="26"/>
  <c r="O61" i="28"/>
  <c r="W72" i="28"/>
  <c r="W44" i="28"/>
  <c r="H86" i="28"/>
  <c r="X52" i="28"/>
  <c r="H52" i="28"/>
  <c r="W60" i="28"/>
  <c r="H43" i="28"/>
  <c r="F52" i="26"/>
  <c r="G59" i="26"/>
  <c r="H59" i="26"/>
  <c r="H10" i="28"/>
  <c r="O46" i="28"/>
  <c r="G71" i="28"/>
  <c r="P71" i="28"/>
  <c r="R9" i="28"/>
  <c r="E29" i="28"/>
  <c r="H76" i="28"/>
  <c r="F102" i="26" s="1"/>
  <c r="P46" i="28"/>
  <c r="P75" i="28"/>
  <c r="G68" i="28"/>
  <c r="P74" i="28"/>
  <c r="P61" i="28"/>
  <c r="G61" i="26"/>
  <c r="H61" i="26"/>
  <c r="F54" i="26"/>
  <c r="G39" i="28"/>
  <c r="G73" i="28"/>
  <c r="G66" i="26"/>
  <c r="H66" i="26"/>
  <c r="E33" i="26"/>
  <c r="E41" i="26"/>
  <c r="E34" i="26" s="1"/>
  <c r="H87" i="28" l="1"/>
  <c r="H90" i="28"/>
  <c r="W45" i="28"/>
  <c r="X39" i="28"/>
  <c r="H89" i="28"/>
  <c r="X55" i="28"/>
  <c r="F69" i="26" s="1"/>
  <c r="W67" i="28"/>
  <c r="X43" i="28"/>
  <c r="X56" i="28"/>
  <c r="X67" i="28"/>
  <c r="W40" i="28"/>
  <c r="F60" i="26" s="1"/>
  <c r="X54" i="28"/>
  <c r="W57" i="28"/>
  <c r="W37" i="28"/>
  <c r="W41" i="28"/>
  <c r="X53" i="28"/>
  <c r="X44" i="28"/>
  <c r="W38" i="28"/>
  <c r="X41" i="28"/>
  <c r="X57" i="28"/>
  <c r="X42" i="28"/>
  <c r="W54" i="28"/>
  <c r="X45" i="28"/>
  <c r="G59" i="28"/>
  <c r="W74" i="28"/>
  <c r="W42" i="28"/>
  <c r="H83" i="28"/>
  <c r="W39" i="28"/>
  <c r="W55" i="28"/>
  <c r="F62" i="26" s="1"/>
  <c r="X58" i="28"/>
  <c r="H84" i="28"/>
  <c r="W52" i="28"/>
  <c r="W70" i="28"/>
  <c r="H88" i="28"/>
  <c r="X59" i="28"/>
  <c r="G52" i="28"/>
  <c r="W58" i="28"/>
  <c r="W43" i="28"/>
  <c r="G82" i="28"/>
  <c r="W53" i="28"/>
  <c r="W56" i="28"/>
  <c r="H82" i="28"/>
  <c r="X60" i="28"/>
  <c r="W71" i="28"/>
  <c r="H85" i="28"/>
  <c r="W73" i="28"/>
  <c r="W59" i="28"/>
  <c r="X40" i="28"/>
  <c r="F67" i="26" s="1"/>
  <c r="X38" i="28"/>
  <c r="G53" i="28"/>
  <c r="X74" i="28"/>
  <c r="H54" i="28"/>
  <c r="O76" i="28"/>
  <c r="F79" i="26" s="1"/>
  <c r="G79" i="26" s="1"/>
  <c r="G85" i="28"/>
  <c r="G90" i="28"/>
  <c r="H59" i="28"/>
  <c r="H46" i="28"/>
  <c r="F45" i="26" s="1"/>
  <c r="H45" i="26" s="1"/>
  <c r="H58" i="28"/>
  <c r="W69" i="28"/>
  <c r="G84" i="28"/>
  <c r="G46" i="28"/>
  <c r="F39" i="26" s="1"/>
  <c r="H39" i="26" s="1"/>
  <c r="G76" i="28"/>
  <c r="F96" i="26" s="1"/>
  <c r="H96" i="26" s="1"/>
  <c r="X71" i="28"/>
  <c r="G54" i="28"/>
  <c r="X70" i="28"/>
  <c r="X75" i="28"/>
  <c r="X72" i="28"/>
  <c r="G60" i="28"/>
  <c r="H55" i="28"/>
  <c r="H56" i="28"/>
  <c r="P76" i="28"/>
  <c r="F84" i="26" s="1"/>
  <c r="G84" i="26" s="1"/>
  <c r="X69" i="28"/>
  <c r="W68" i="28"/>
  <c r="G86" i="28"/>
  <c r="G57" i="28"/>
  <c r="X68" i="28"/>
  <c r="H54" i="26"/>
  <c r="G54" i="26"/>
  <c r="G58" i="28"/>
  <c r="R12" i="28"/>
  <c r="V11" i="28" s="1"/>
  <c r="E30" i="28"/>
  <c r="H57" i="28"/>
  <c r="H60" i="28"/>
  <c r="G52" i="26"/>
  <c r="H52" i="26"/>
  <c r="G88" i="28"/>
  <c r="G55" i="28"/>
  <c r="G102" i="26"/>
  <c r="H102" i="26"/>
  <c r="G89" i="28"/>
  <c r="X73" i="28"/>
  <c r="W75" i="28"/>
  <c r="H53" i="28"/>
  <c r="G56" i="28"/>
  <c r="G83" i="28"/>
  <c r="G87" i="28"/>
  <c r="F53" i="26" l="1"/>
  <c r="H60" i="26"/>
  <c r="G60" i="26"/>
  <c r="F55" i="26"/>
  <c r="H69" i="26"/>
  <c r="G69" i="26"/>
  <c r="W46" i="28"/>
  <c r="X46" i="28"/>
  <c r="H91" i="28"/>
  <c r="F103" i="26" s="1"/>
  <c r="F104" i="26" s="1"/>
  <c r="G104" i="26" s="1"/>
  <c r="X61" i="28"/>
  <c r="G62" i="26"/>
  <c r="H62" i="26"/>
  <c r="W61" i="28"/>
  <c r="H67" i="26"/>
  <c r="G67" i="26"/>
  <c r="H79" i="26"/>
  <c r="F32" i="26"/>
  <c r="H32" i="26" s="1"/>
  <c r="G39" i="26"/>
  <c r="W76" i="28"/>
  <c r="F80" i="26" s="1"/>
  <c r="H80" i="26" s="1"/>
  <c r="G96" i="26"/>
  <c r="G45" i="26"/>
  <c r="F90" i="26"/>
  <c r="H90" i="26" s="1"/>
  <c r="G91" i="28"/>
  <c r="F97" i="26" s="1"/>
  <c r="F98" i="26" s="1"/>
  <c r="H98" i="26" s="1"/>
  <c r="F74" i="26"/>
  <c r="G74" i="26" s="1"/>
  <c r="H61" i="28"/>
  <c r="F46" i="26" s="1"/>
  <c r="F47" i="26" s="1"/>
  <c r="G61" i="28"/>
  <c r="F40" i="26" s="1"/>
  <c r="F41" i="26" s="1"/>
  <c r="X76" i="28"/>
  <c r="F85" i="26" s="1"/>
  <c r="H85" i="26" s="1"/>
  <c r="H84" i="26"/>
  <c r="G53" i="26" l="1"/>
  <c r="H53" i="26"/>
  <c r="H55" i="26"/>
  <c r="G55" i="26"/>
  <c r="H104" i="26"/>
  <c r="H103" i="26"/>
  <c r="G103" i="26"/>
  <c r="G32" i="26"/>
  <c r="G90" i="26"/>
  <c r="H74" i="26"/>
  <c r="G80" i="26"/>
  <c r="G98" i="26"/>
  <c r="H97" i="26"/>
  <c r="F91" i="26"/>
  <c r="G91" i="26" s="1"/>
  <c r="F92" i="26"/>
  <c r="G92" i="26" s="1"/>
  <c r="G97" i="26"/>
  <c r="H46" i="26"/>
  <c r="F75" i="26"/>
  <c r="G75" i="26" s="1"/>
  <c r="F33" i="26"/>
  <c r="H33" i="26" s="1"/>
  <c r="G40" i="26"/>
  <c r="H40" i="26"/>
  <c r="G46" i="26"/>
  <c r="G85" i="26"/>
  <c r="G47" i="26"/>
  <c r="H47" i="26"/>
  <c r="F34" i="26"/>
  <c r="H41" i="26"/>
  <c r="G41" i="26"/>
  <c r="H92" i="26" l="1"/>
  <c r="G33" i="26"/>
  <c r="H91" i="26"/>
  <c r="H75" i="26"/>
  <c r="H34" i="26"/>
  <c r="G34" i="26"/>
  <c r="O14" i="11"/>
  <c r="O15" i="11"/>
  <c r="R15" i="11" s="1"/>
  <c r="O108" i="11"/>
  <c r="O104" i="11" s="1"/>
  <c r="R14" i="11" l="1"/>
  <c r="G7" i="11" s="1"/>
  <c r="T14" i="11"/>
  <c r="T15" i="11"/>
  <c r="O105" i="11"/>
  <c r="P108" i="11" s="1"/>
  <c r="I7" i="11" l="1"/>
  <c r="F22" i="11" s="1"/>
  <c r="P105" i="11"/>
  <c r="P104" i="11"/>
  <c r="G9" i="11"/>
  <c r="H7" i="11"/>
  <c r="Q7" i="11"/>
  <c r="G11" i="11"/>
  <c r="G8" i="11"/>
  <c r="E22" i="11"/>
  <c r="I11" i="11" l="1"/>
  <c r="I8" i="11"/>
  <c r="S8" i="11" s="1"/>
  <c r="T8" i="11" s="1"/>
  <c r="S7" i="11"/>
  <c r="F28" i="11" s="1"/>
  <c r="J7" i="11"/>
  <c r="I9" i="11"/>
  <c r="J9" i="11" s="1"/>
  <c r="E23" i="11"/>
  <c r="R69" i="11" s="1"/>
  <c r="H9" i="11"/>
  <c r="Q9" i="11"/>
  <c r="G10" i="11"/>
  <c r="E28" i="11"/>
  <c r="R7" i="11"/>
  <c r="R39" i="11"/>
  <c r="R44" i="11"/>
  <c r="R54" i="11"/>
  <c r="R59" i="11"/>
  <c r="H71" i="11"/>
  <c r="Q41" i="11"/>
  <c r="Q56" i="11"/>
  <c r="Q71" i="11"/>
  <c r="R41" i="11"/>
  <c r="R56" i="11"/>
  <c r="H68" i="11"/>
  <c r="H73" i="11"/>
  <c r="H74" i="11"/>
  <c r="Q38" i="11"/>
  <c r="Q43" i="11"/>
  <c r="Q53" i="11"/>
  <c r="Q58" i="11"/>
  <c r="Q73" i="11"/>
  <c r="G75" i="11"/>
  <c r="R38" i="11"/>
  <c r="R43" i="11"/>
  <c r="R53" i="11"/>
  <c r="R58" i="11"/>
  <c r="H70" i="11"/>
  <c r="F109" i="14" s="1"/>
  <c r="H75" i="11"/>
  <c r="R42" i="11"/>
  <c r="R52" i="11"/>
  <c r="R57" i="11"/>
  <c r="R67" i="11"/>
  <c r="H69" i="11"/>
  <c r="G37" i="11"/>
  <c r="Q40" i="11"/>
  <c r="F66" i="14" s="1"/>
  <c r="Q45" i="11"/>
  <c r="Q55" i="11"/>
  <c r="F68" i="14" s="1"/>
  <c r="Q60" i="11"/>
  <c r="G67" i="11"/>
  <c r="Q70" i="11"/>
  <c r="F86" i="14" s="1"/>
  <c r="H37" i="11"/>
  <c r="R40" i="11"/>
  <c r="F73" i="14" s="1"/>
  <c r="R45" i="11"/>
  <c r="R55" i="11"/>
  <c r="F75" i="14" s="1"/>
  <c r="R60" i="11"/>
  <c r="H67" i="11"/>
  <c r="H72" i="11"/>
  <c r="R37" i="11"/>
  <c r="Q37" i="11"/>
  <c r="Q42" i="11"/>
  <c r="G44" i="11"/>
  <c r="Q52" i="11"/>
  <c r="Q57" i="11"/>
  <c r="Q67" i="11"/>
  <c r="Q72" i="11"/>
  <c r="Q39" i="11"/>
  <c r="Q44" i="11"/>
  <c r="Q54" i="11"/>
  <c r="Q59" i="11"/>
  <c r="Q74" i="11"/>
  <c r="Q8" i="11"/>
  <c r="R8" i="11" s="1"/>
  <c r="H8" i="11"/>
  <c r="Q11" i="11"/>
  <c r="R11" i="11" s="1"/>
  <c r="E24" i="11"/>
  <c r="G12" i="11"/>
  <c r="H11" i="11"/>
  <c r="S39" i="11"/>
  <c r="S44" i="11"/>
  <c r="S54" i="11"/>
  <c r="S59" i="11"/>
  <c r="S74" i="11"/>
  <c r="I44" i="11"/>
  <c r="S72" i="11"/>
  <c r="T39" i="11"/>
  <c r="T44" i="11"/>
  <c r="T54" i="11"/>
  <c r="T59" i="11"/>
  <c r="J71" i="11"/>
  <c r="S41" i="11"/>
  <c r="S56" i="11"/>
  <c r="S71" i="11"/>
  <c r="T41" i="11"/>
  <c r="T56" i="11"/>
  <c r="J68" i="11"/>
  <c r="J73" i="11"/>
  <c r="S42" i="11"/>
  <c r="S38" i="11"/>
  <c r="S43" i="11"/>
  <c r="S53" i="11"/>
  <c r="S58" i="11"/>
  <c r="S73" i="11"/>
  <c r="I75" i="11"/>
  <c r="S52" i="11"/>
  <c r="T38" i="11"/>
  <c r="T43" i="11"/>
  <c r="T53" i="11"/>
  <c r="T58" i="11"/>
  <c r="J70" i="11"/>
  <c r="G109" i="14" s="1"/>
  <c r="J75" i="11"/>
  <c r="S67" i="11"/>
  <c r="S57" i="11"/>
  <c r="I37" i="11"/>
  <c r="S40" i="11"/>
  <c r="G66" i="14" s="1"/>
  <c r="S45" i="11"/>
  <c r="S55" i="11"/>
  <c r="G68" i="14" s="1"/>
  <c r="S60" i="11"/>
  <c r="I67" i="11"/>
  <c r="S70" i="11"/>
  <c r="G86" i="14" s="1"/>
  <c r="J37" i="11"/>
  <c r="T40" i="11"/>
  <c r="G73" i="14" s="1"/>
  <c r="T45" i="11"/>
  <c r="T55" i="11"/>
  <c r="G75" i="14" s="1"/>
  <c r="T60" i="11"/>
  <c r="J67" i="11"/>
  <c r="J72" i="11"/>
  <c r="T37" i="11"/>
  <c r="T42" i="11"/>
  <c r="T52" i="11"/>
  <c r="T57" i="11"/>
  <c r="T67" i="11"/>
  <c r="J69" i="11"/>
  <c r="J74" i="11"/>
  <c r="S37" i="11"/>
  <c r="J11" i="11" l="1"/>
  <c r="I12" i="11"/>
  <c r="H41" i="11"/>
  <c r="F24" i="11"/>
  <c r="S11" i="11"/>
  <c r="T11" i="11" s="1"/>
  <c r="T7" i="11"/>
  <c r="H43" i="11"/>
  <c r="J8" i="11"/>
  <c r="I10" i="11"/>
  <c r="J10" i="11" s="1"/>
  <c r="G74" i="11"/>
  <c r="R71" i="11"/>
  <c r="H42" i="11"/>
  <c r="G69" i="11"/>
  <c r="G72" i="11"/>
  <c r="G73" i="11"/>
  <c r="H45" i="11"/>
  <c r="H40" i="11"/>
  <c r="F52" i="14" s="1"/>
  <c r="F23" i="11"/>
  <c r="J42" i="11" s="1"/>
  <c r="G42" i="11"/>
  <c r="H38" i="11"/>
  <c r="R70" i="11"/>
  <c r="F91" i="14" s="1"/>
  <c r="F81" i="14" s="1"/>
  <c r="G70" i="11"/>
  <c r="F103" i="14" s="1"/>
  <c r="F97" i="14" s="1"/>
  <c r="G43" i="11"/>
  <c r="R72" i="11"/>
  <c r="G41" i="11"/>
  <c r="G45" i="11"/>
  <c r="Q68" i="11"/>
  <c r="S9" i="11"/>
  <c r="T9" i="11" s="1"/>
  <c r="H39" i="11"/>
  <c r="H44" i="11"/>
  <c r="G68" i="11"/>
  <c r="Q75" i="11"/>
  <c r="G40" i="11"/>
  <c r="F46" i="14" s="1"/>
  <c r="Q69" i="11"/>
  <c r="R68" i="11"/>
  <c r="R74" i="11"/>
  <c r="G39" i="11"/>
  <c r="R73" i="11"/>
  <c r="G71" i="11"/>
  <c r="G38" i="11"/>
  <c r="R75" i="11"/>
  <c r="F59" i="14"/>
  <c r="S61" i="11"/>
  <c r="H76" i="11"/>
  <c r="Q46" i="11"/>
  <c r="H86" i="14"/>
  <c r="I86" i="14"/>
  <c r="J86" i="14"/>
  <c r="H12" i="11"/>
  <c r="Q12" i="11"/>
  <c r="R61" i="11"/>
  <c r="T61" i="11"/>
  <c r="T46" i="11"/>
  <c r="AC37" i="11"/>
  <c r="AC42" i="11"/>
  <c r="AC52" i="11"/>
  <c r="AC57" i="11"/>
  <c r="AC67" i="11"/>
  <c r="AC72" i="11"/>
  <c r="AD37" i="11"/>
  <c r="AD42" i="11"/>
  <c r="AD52" i="11"/>
  <c r="AD57" i="11"/>
  <c r="AD67" i="11"/>
  <c r="J84" i="11"/>
  <c r="J89" i="11"/>
  <c r="AC55" i="11"/>
  <c r="G69" i="14" s="1"/>
  <c r="AC39" i="11"/>
  <c r="AC44" i="11"/>
  <c r="AC54" i="11"/>
  <c r="AC59" i="11"/>
  <c r="AC74" i="11"/>
  <c r="AD39" i="11"/>
  <c r="AD44" i="11"/>
  <c r="AD54" i="11"/>
  <c r="AD59" i="11"/>
  <c r="J85" i="11"/>
  <c r="G110" i="14" s="1"/>
  <c r="G111" i="14" s="1"/>
  <c r="J90" i="11"/>
  <c r="AC41" i="11"/>
  <c r="AC56" i="11"/>
  <c r="AC71" i="11"/>
  <c r="AD41" i="11"/>
  <c r="AD56" i="11"/>
  <c r="J86" i="11"/>
  <c r="AC40" i="11"/>
  <c r="G67" i="14" s="1"/>
  <c r="AC45" i="11"/>
  <c r="AC38" i="11"/>
  <c r="AC43" i="11"/>
  <c r="I52" i="11"/>
  <c r="AC53" i="11"/>
  <c r="AC58" i="11"/>
  <c r="AC73" i="11"/>
  <c r="I82" i="11"/>
  <c r="AD38" i="11"/>
  <c r="AD43" i="11"/>
  <c r="J52" i="11"/>
  <c r="AD53" i="11"/>
  <c r="AD58" i="11"/>
  <c r="J82" i="11"/>
  <c r="J87" i="11"/>
  <c r="I59" i="11"/>
  <c r="AC60" i="11"/>
  <c r="AC70" i="11"/>
  <c r="G87" i="14" s="1"/>
  <c r="AD40" i="11"/>
  <c r="G74" i="14" s="1"/>
  <c r="AD45" i="11"/>
  <c r="AD55" i="11"/>
  <c r="G76" i="14" s="1"/>
  <c r="AD60" i="11"/>
  <c r="J83" i="11"/>
  <c r="J88" i="11"/>
  <c r="R46" i="11"/>
  <c r="G61" i="14"/>
  <c r="H68" i="14"/>
  <c r="I68" i="14"/>
  <c r="J68" i="14"/>
  <c r="J66" i="14"/>
  <c r="G59" i="14"/>
  <c r="H66" i="14"/>
  <c r="I66" i="14"/>
  <c r="J76" i="11"/>
  <c r="AB37" i="11"/>
  <c r="AB42" i="11"/>
  <c r="AB52" i="11"/>
  <c r="AB57" i="11"/>
  <c r="AB67" i="11"/>
  <c r="H84" i="11"/>
  <c r="H89" i="11"/>
  <c r="AA39" i="11"/>
  <c r="AA44" i="11"/>
  <c r="AA54" i="11"/>
  <c r="AA59" i="11"/>
  <c r="AA74" i="11"/>
  <c r="AB39" i="11"/>
  <c r="AB44" i="11"/>
  <c r="AB54" i="11"/>
  <c r="AB59" i="11"/>
  <c r="H85" i="11"/>
  <c r="F110" i="14" s="1"/>
  <c r="F111" i="14" s="1"/>
  <c r="H90" i="11"/>
  <c r="AA41" i="11"/>
  <c r="AA56" i="11"/>
  <c r="AA71" i="11"/>
  <c r="AB41" i="11"/>
  <c r="AB56" i="11"/>
  <c r="H86" i="11"/>
  <c r="AB45" i="11"/>
  <c r="AB55" i="11"/>
  <c r="F76" i="14" s="1"/>
  <c r="H88" i="11"/>
  <c r="AB40" i="11"/>
  <c r="F74" i="14" s="1"/>
  <c r="AA38" i="11"/>
  <c r="AA43" i="11"/>
  <c r="G52" i="11"/>
  <c r="AA53" i="11"/>
  <c r="AA58" i="11"/>
  <c r="AA73" i="11"/>
  <c r="G82" i="11"/>
  <c r="AB38" i="11"/>
  <c r="AB43" i="11"/>
  <c r="H52" i="11"/>
  <c r="AB53" i="11"/>
  <c r="AB58" i="11"/>
  <c r="H82" i="11"/>
  <c r="H87" i="11"/>
  <c r="AB60" i="11"/>
  <c r="H83" i="11"/>
  <c r="AA40" i="11"/>
  <c r="F67" i="14" s="1"/>
  <c r="AA45" i="11"/>
  <c r="AA55" i="11"/>
  <c r="F69" i="14" s="1"/>
  <c r="G59" i="11"/>
  <c r="AA60" i="11"/>
  <c r="AA70" i="11"/>
  <c r="F87" i="14" s="1"/>
  <c r="AA37" i="11"/>
  <c r="AA42" i="11"/>
  <c r="AA52" i="11"/>
  <c r="AA57" i="11"/>
  <c r="AA67" i="11"/>
  <c r="AA72" i="11"/>
  <c r="J109" i="14"/>
  <c r="H109" i="14"/>
  <c r="I109" i="14"/>
  <c r="H10" i="11"/>
  <c r="Q10" i="11"/>
  <c r="R10" i="11" s="1"/>
  <c r="Q61" i="11"/>
  <c r="R9" i="11"/>
  <c r="E29" i="11"/>
  <c r="H54" i="11" s="1"/>
  <c r="H75" i="14"/>
  <c r="I75" i="14"/>
  <c r="J75" i="14"/>
  <c r="J73" i="14"/>
  <c r="H73" i="14"/>
  <c r="I73" i="14"/>
  <c r="S46" i="11"/>
  <c r="F61" i="14"/>
  <c r="J12" i="11" l="1"/>
  <c r="S12" i="11"/>
  <c r="F30" i="11" s="1"/>
  <c r="S10" i="11"/>
  <c r="T10" i="11" s="1"/>
  <c r="J45" i="11"/>
  <c r="F40" i="14"/>
  <c r="I45" i="11"/>
  <c r="S68" i="11"/>
  <c r="T74" i="11"/>
  <c r="J44" i="11"/>
  <c r="T72" i="11"/>
  <c r="I42" i="11"/>
  <c r="I69" i="11"/>
  <c r="I70" i="11"/>
  <c r="G103" i="14" s="1"/>
  <c r="H103" i="14" s="1"/>
  <c r="T68" i="11"/>
  <c r="S75" i="11"/>
  <c r="T69" i="11"/>
  <c r="I72" i="11"/>
  <c r="T73" i="11"/>
  <c r="T71" i="11"/>
  <c r="I39" i="11"/>
  <c r="T75" i="11"/>
  <c r="J40" i="11"/>
  <c r="G52" i="14" s="1"/>
  <c r="J52" i="14" s="1"/>
  <c r="J41" i="11"/>
  <c r="I73" i="11"/>
  <c r="I74" i="11"/>
  <c r="T70" i="11"/>
  <c r="G91" i="14" s="1"/>
  <c r="I91" i="14" s="1"/>
  <c r="J38" i="11"/>
  <c r="I43" i="11"/>
  <c r="J39" i="11"/>
  <c r="I68" i="11"/>
  <c r="F29" i="11"/>
  <c r="I89" i="11" s="1"/>
  <c r="I38" i="11"/>
  <c r="I40" i="11"/>
  <c r="G46" i="14" s="1"/>
  <c r="H46" i="11"/>
  <c r="G46" i="11"/>
  <c r="G76" i="11"/>
  <c r="Q76" i="11"/>
  <c r="J43" i="11"/>
  <c r="I41" i="11"/>
  <c r="S69" i="11"/>
  <c r="I71" i="11"/>
  <c r="R76" i="11"/>
  <c r="AA69" i="11"/>
  <c r="F62" i="14"/>
  <c r="G58" i="11"/>
  <c r="F60" i="14"/>
  <c r="G53" i="11"/>
  <c r="AB46" i="11"/>
  <c r="H53" i="11"/>
  <c r="AA46" i="11"/>
  <c r="G88" i="11"/>
  <c r="G85" i="11"/>
  <c r="F104" i="14" s="1"/>
  <c r="F98" i="14" s="1"/>
  <c r="G83" i="11"/>
  <c r="AB71" i="11"/>
  <c r="AA75" i="11"/>
  <c r="G87" i="11"/>
  <c r="H60" i="11"/>
  <c r="G90" i="11"/>
  <c r="H76" i="14"/>
  <c r="I76" i="14"/>
  <c r="J76" i="14"/>
  <c r="H55" i="11"/>
  <c r="F53" i="14" s="1"/>
  <c r="F54" i="14" s="1"/>
  <c r="AC61" i="11"/>
  <c r="E30" i="11"/>
  <c r="R12" i="11"/>
  <c r="AA68" i="11"/>
  <c r="G86" i="11"/>
  <c r="H74" i="14"/>
  <c r="I74" i="14"/>
  <c r="J74" i="14"/>
  <c r="AC46" i="11"/>
  <c r="H87" i="14"/>
  <c r="I87" i="14"/>
  <c r="J87" i="14"/>
  <c r="H111" i="14"/>
  <c r="I111" i="14"/>
  <c r="J111" i="14"/>
  <c r="G54" i="11"/>
  <c r="G57" i="11"/>
  <c r="G60" i="11"/>
  <c r="G62" i="14"/>
  <c r="H69" i="14"/>
  <c r="I69" i="14"/>
  <c r="J69" i="14"/>
  <c r="J59" i="14"/>
  <c r="H59" i="14"/>
  <c r="I59" i="14"/>
  <c r="H110" i="14"/>
  <c r="I110" i="14"/>
  <c r="J110" i="14"/>
  <c r="G55" i="11"/>
  <c r="F47" i="14" s="1"/>
  <c r="G89" i="11"/>
  <c r="J91" i="11"/>
  <c r="H91" i="11"/>
  <c r="T12" i="11"/>
  <c r="AB73" i="11"/>
  <c r="AB75" i="11"/>
  <c r="AB74" i="11"/>
  <c r="AB72" i="11"/>
  <c r="H61" i="14"/>
  <c r="I61" i="14"/>
  <c r="J61" i="14"/>
  <c r="G60" i="14"/>
  <c r="H67" i="14"/>
  <c r="I67" i="14"/>
  <c r="J67" i="14"/>
  <c r="AD61" i="11"/>
  <c r="AB70" i="11"/>
  <c r="F92" i="14" s="1"/>
  <c r="F82" i="14" s="1"/>
  <c r="G56" i="11"/>
  <c r="H59" i="11"/>
  <c r="AB68" i="11"/>
  <c r="H58" i="11"/>
  <c r="H56" i="11"/>
  <c r="AD46" i="11"/>
  <c r="G84" i="11"/>
  <c r="AB69" i="11"/>
  <c r="AA61" i="11"/>
  <c r="H57" i="11"/>
  <c r="AB61" i="11"/>
  <c r="I103" i="14" l="1"/>
  <c r="G97" i="14"/>
  <c r="H97" i="14" s="1"/>
  <c r="I57" i="11"/>
  <c r="J53" i="11"/>
  <c r="J103" i="14"/>
  <c r="AD72" i="11"/>
  <c r="AD69" i="11"/>
  <c r="I86" i="11"/>
  <c r="AD71" i="11"/>
  <c r="I56" i="11"/>
  <c r="I87" i="11"/>
  <c r="I60" i="11"/>
  <c r="I88" i="11"/>
  <c r="AD73" i="11"/>
  <c r="S76" i="11"/>
  <c r="AC69" i="11"/>
  <c r="J57" i="11"/>
  <c r="I58" i="11"/>
  <c r="AD75" i="11"/>
  <c r="AD70" i="11"/>
  <c r="G92" i="14" s="1"/>
  <c r="G82" i="14" s="1"/>
  <c r="I82" i="14" s="1"/>
  <c r="J58" i="11"/>
  <c r="J46" i="11"/>
  <c r="G81" i="14"/>
  <c r="S31" i="29" s="1"/>
  <c r="J91" i="14"/>
  <c r="H91" i="14"/>
  <c r="G40" i="14"/>
  <c r="I40" i="14" s="1"/>
  <c r="T76" i="11"/>
  <c r="I76" i="11"/>
  <c r="I52" i="14"/>
  <c r="H52" i="14"/>
  <c r="I83" i="11"/>
  <c r="I84" i="11"/>
  <c r="J60" i="11"/>
  <c r="J56" i="11"/>
  <c r="I53" i="11"/>
  <c r="J59" i="11"/>
  <c r="I46" i="14"/>
  <c r="I90" i="11"/>
  <c r="J46" i="14"/>
  <c r="I55" i="11"/>
  <c r="G47" i="14" s="1"/>
  <c r="J47" i="14" s="1"/>
  <c r="H46" i="14"/>
  <c r="AD68" i="11"/>
  <c r="AD74" i="11"/>
  <c r="AC75" i="11"/>
  <c r="AC68" i="11"/>
  <c r="I54" i="11"/>
  <c r="J54" i="11"/>
  <c r="I85" i="11"/>
  <c r="G104" i="14" s="1"/>
  <c r="I104" i="14" s="1"/>
  <c r="J55" i="11"/>
  <c r="G53" i="14" s="1"/>
  <c r="H53" i="14" s="1"/>
  <c r="I46" i="11"/>
  <c r="F105" i="14"/>
  <c r="F99" i="14" s="1"/>
  <c r="AA76" i="11"/>
  <c r="H61" i="11"/>
  <c r="G91" i="11"/>
  <c r="AB76" i="11"/>
  <c r="G61" i="11"/>
  <c r="H62" i="14"/>
  <c r="I62" i="14"/>
  <c r="J62" i="14"/>
  <c r="H60" i="14"/>
  <c r="I60" i="14"/>
  <c r="J60" i="14"/>
  <c r="F41" i="14"/>
  <c r="F48" i="14"/>
  <c r="F42" i="14" s="1"/>
  <c r="I92" i="14" l="1"/>
  <c r="J92" i="14"/>
  <c r="J40" i="14"/>
  <c r="H92" i="14"/>
  <c r="H40" i="14"/>
  <c r="J97" i="14"/>
  <c r="I97" i="14"/>
  <c r="AC76" i="11"/>
  <c r="H82" i="14"/>
  <c r="I91" i="11"/>
  <c r="I61" i="11"/>
  <c r="Q31" i="29"/>
  <c r="T31" i="29"/>
  <c r="R31" i="29"/>
  <c r="I81" i="14"/>
  <c r="J82" i="14"/>
  <c r="H81" i="14"/>
  <c r="J81" i="14"/>
  <c r="I47" i="14"/>
  <c r="AD76" i="11"/>
  <c r="H47" i="14"/>
  <c r="H104" i="14"/>
  <c r="G41" i="14"/>
  <c r="H41" i="14" s="1"/>
  <c r="I53" i="14"/>
  <c r="J61" i="11"/>
  <c r="G54" i="14"/>
  <c r="H54" i="14" s="1"/>
  <c r="J53" i="14"/>
  <c r="G48" i="14"/>
  <c r="H48" i="14" s="1"/>
  <c r="G105" i="14"/>
  <c r="H105" i="14" s="1"/>
  <c r="G98" i="14"/>
  <c r="J98" i="14" s="1"/>
  <c r="J104" i="14"/>
  <c r="G99" i="14" l="1"/>
  <c r="H98" i="14"/>
  <c r="I98" i="14"/>
  <c r="J41" i="14"/>
  <c r="J105" i="14"/>
  <c r="I105" i="14"/>
  <c r="J54" i="14"/>
  <c r="I54" i="14"/>
  <c r="G42" i="14"/>
  <c r="J42" i="14" s="1"/>
  <c r="J48" i="14"/>
  <c r="I41" i="14"/>
  <c r="I48" i="14"/>
  <c r="I99" i="14" l="1"/>
  <c r="J99" i="14"/>
  <c r="H99" i="14"/>
  <c r="H42" i="14"/>
  <c r="I42" i="14"/>
</calcChain>
</file>

<file path=xl/sharedStrings.xml><?xml version="1.0" encoding="utf-8"?>
<sst xmlns="http://schemas.openxmlformats.org/spreadsheetml/2006/main" count="2516" uniqueCount="528">
  <si>
    <t>Inputs:</t>
  </si>
  <si>
    <t>Assumptions:</t>
  </si>
  <si>
    <r>
      <rPr>
        <b/>
        <sz val="11"/>
        <color theme="1"/>
        <rFont val="Garamond"/>
        <family val="1"/>
      </rPr>
      <t>Current year plus three required data set</t>
    </r>
    <r>
      <rPr>
        <sz val="11"/>
        <color theme="1"/>
        <rFont val="Garamond"/>
        <family val="1"/>
      </rPr>
      <t>.</t>
    </r>
  </si>
  <si>
    <t>Rate Impact for Year (2026-2030)</t>
  </si>
  <si>
    <t>Include CA Climate Credit in Rates</t>
  </si>
  <si>
    <t>N</t>
  </si>
  <si>
    <t>Current Effective Rates</t>
  </si>
  <si>
    <t>Baseline Region - (Residential bill)</t>
  </si>
  <si>
    <t>9 warm</t>
  </si>
  <si>
    <t>Typical residential average usage kWh/month</t>
  </si>
  <si>
    <t>Sales Forecast</t>
  </si>
  <si>
    <t xml:space="preserve">Residential bill calculated using </t>
  </si>
  <si>
    <t>Schedule D, Basic, Single Family</t>
  </si>
  <si>
    <t>Annual Usage</t>
  </si>
  <si>
    <t xml:space="preserve">Non-CARE bill impact calculated with average summer usage of </t>
  </si>
  <si>
    <t>kWh per month</t>
  </si>
  <si>
    <t>Non-CARE</t>
  </si>
  <si>
    <t>Pending Proceedings</t>
  </si>
  <si>
    <t>Include in Impact (Y)</t>
  </si>
  <si>
    <t>Applicable Year(s)</t>
  </si>
  <si>
    <t xml:space="preserve">Non-CARE bill impact calculated with average winter usage of </t>
  </si>
  <si>
    <t>2027 ERRA Forecast</t>
  </si>
  <si>
    <t>Y</t>
  </si>
  <si>
    <t xml:space="preserve">CARE bill impact calculated with average summer usage of </t>
  </si>
  <si>
    <t>CARE</t>
  </si>
  <si>
    <t>2024 ERRA Review</t>
  </si>
  <si>
    <t>2025 ERRA Review</t>
  </si>
  <si>
    <t xml:space="preserve">CARE bill impact calculated with average winter usage of </t>
  </si>
  <si>
    <t>Section 851 - Sale of Hydroelectric TULE</t>
  </si>
  <si>
    <t xml:space="preserve">Essential Use (Basic) bill impact calculated with average summer usage of </t>
  </si>
  <si>
    <t>Essential Use (Basic)</t>
  </si>
  <si>
    <t>NextGen</t>
  </si>
  <si>
    <t>2026-2030</t>
  </si>
  <si>
    <t xml:space="preserve">Essential Use (Basic) bill impact calculated with average winter usage of </t>
  </si>
  <si>
    <t>IQP 2027 Bridge Funding</t>
  </si>
  <si>
    <t xml:space="preserve">Essential Use (All-Electric) bill impact calculated with average summer usage of </t>
  </si>
  <si>
    <t>Essential Use (All-Electric)</t>
  </si>
  <si>
    <t>2024 WMCE</t>
  </si>
  <si>
    <t>Section 851 - Sale of North Coast Property</t>
  </si>
  <si>
    <t xml:space="preserve">Essential Use (All-Electric) bill impact calculated with average winter usage of </t>
  </si>
  <si>
    <t>Section 851 - Ontario Easements</t>
  </si>
  <si>
    <t>Average monthly usage is for all customers (Non-CARE and CARE) based on seasonal usage in</t>
  </si>
  <si>
    <t>IQP 2028-2033 Application</t>
  </si>
  <si>
    <t>2028-2030</t>
  </si>
  <si>
    <t>Summer season</t>
  </si>
  <si>
    <t>months</t>
  </si>
  <si>
    <t>EE 2028-2035 Application</t>
  </si>
  <si>
    <t>Winter Season</t>
  </si>
  <si>
    <t>AMI 2.0</t>
  </si>
  <si>
    <t>Residential Bi-Annual Climate Credit</t>
  </si>
  <si>
    <t>Diablo Canyon Extended Operations NBC</t>
  </si>
  <si>
    <t>2024/2025 TAMA Balance</t>
  </si>
  <si>
    <t>Outputs:</t>
  </si>
  <si>
    <t>(A)</t>
  </si>
  <si>
    <t>(B)</t>
  </si>
  <si>
    <t>(C)</t>
  </si>
  <si>
    <t>(D)</t>
  </si>
  <si>
    <t>(D)/(A)</t>
  </si>
  <si>
    <t>(D)/(B)</t>
  </si>
  <si>
    <t>(D)/(C)</t>
  </si>
  <si>
    <t>Bundled Average Rates - ¢/kWh</t>
  </si>
  <si>
    <t>Total System (Bundled and Unbundled) Average Rates - ¢/kWh</t>
  </si>
  <si>
    <t>Customer Group</t>
  </si>
  <si>
    <t>% Change over Authorized</t>
  </si>
  <si>
    <t>Residential</t>
  </si>
  <si>
    <t>Total Residential (RAR)</t>
  </si>
  <si>
    <t>Small Commercial</t>
  </si>
  <si>
    <t>Total Small Commercial (AR)</t>
  </si>
  <si>
    <t>System</t>
  </si>
  <si>
    <t>Total System (SAR)</t>
  </si>
  <si>
    <t>Bundled Residential Monthly Average Bills</t>
  </si>
  <si>
    <t>Total</t>
  </si>
  <si>
    <t>Bundled Residential Monthly Average Bills - Summer</t>
  </si>
  <si>
    <t>Bundled Residential Monthly Average Bills - Winter</t>
  </si>
  <si>
    <t>Essential Use (Basic) - Non-CARE</t>
  </si>
  <si>
    <t>Essential Use (Basic) - CARE</t>
  </si>
  <si>
    <t>Essential Use (All-Electric) - Non-CARE</t>
  </si>
  <si>
    <t>Essential Use (All-Electric) - CARE</t>
  </si>
  <si>
    <t>All-Electric - Non-CARE</t>
  </si>
  <si>
    <t>All-Electric - CARE</t>
  </si>
  <si>
    <t>All-Electric - Total</t>
  </si>
  <si>
    <t>Small Commercial Monthly Average Bills</t>
  </si>
  <si>
    <t>NAICS 531</t>
  </si>
  <si>
    <t>NAICS 621</t>
  </si>
  <si>
    <t>NAICS 722</t>
  </si>
  <si>
    <t>Small Commercial Monthly Average Bills - Summer</t>
  </si>
  <si>
    <t>Small Commercial Monthly Average Bills - Winter</t>
  </si>
  <si>
    <t xml:space="preserve">Summary of Selected Data </t>
  </si>
  <si>
    <t>2026 Revenue</t>
  </si>
  <si>
    <t xml:space="preserve"> Requirement</t>
  </si>
  <si>
    <t>$000</t>
  </si>
  <si>
    <t>Current total system-level revenue requirement that is used for defining the reporting threshold:</t>
  </si>
  <si>
    <t>A</t>
  </si>
  <si>
    <t>One-percent reporting threshold</t>
  </si>
  <si>
    <r>
      <t>List of currently open proceedings for which affordability metrics have been filed</t>
    </r>
    <r>
      <rPr>
        <vertAlign val="superscript"/>
        <sz val="11"/>
        <color theme="1"/>
        <rFont val="Calibri"/>
        <family val="2"/>
        <scheme val="minor"/>
      </rPr>
      <t>1</t>
    </r>
    <r>
      <rPr>
        <sz val="11"/>
        <color theme="1"/>
        <rFont val="Calibri"/>
        <family val="2"/>
        <scheme val="minor"/>
      </rPr>
      <t>:</t>
    </r>
  </si>
  <si>
    <t>Annual Revenue</t>
  </si>
  <si>
    <t>A.25-03-009</t>
  </si>
  <si>
    <t>Average annual revenue requirement from 2025-2032</t>
  </si>
  <si>
    <t>Total system-level revenue requirement if all pending revenue were granted in full</t>
  </si>
  <si>
    <t>YE 2026</t>
  </si>
  <si>
    <t>B</t>
  </si>
  <si>
    <t>YE 2027</t>
  </si>
  <si>
    <t>C</t>
  </si>
  <si>
    <t>YE 2028</t>
  </si>
  <si>
    <t>D</t>
  </si>
  <si>
    <t>YE 2029</t>
  </si>
  <si>
    <t>E</t>
  </si>
  <si>
    <t>YE 2030</t>
  </si>
  <si>
    <t>Bundled residential average rate (RAR) if all pending revenue were granted in full (from Cost and Rate Tracker (CRT) as submitted by utility):</t>
  </si>
  <si>
    <t>cents/kWh</t>
  </si>
  <si>
    <t>Bundled residential average monthly bill corresponding to RAR above for typical customer in climate zone 9 using 500 kWh (from CRT as submitted by utility):</t>
  </si>
  <si>
    <t>Bundled small commercial average rate (TOU-GS-1) if all pending revenue were granted in full (from Cost and Rate Tracker (CRT) as submitted by utility):</t>
  </si>
  <si>
    <t>Bundled small commercial average monthly bill corresponding to TOU-GS-1 rate above for typical customer by NAICS (from CRT as submitted by utility):</t>
  </si>
  <si>
    <r>
      <rPr>
        <vertAlign val="superscript"/>
        <sz val="11"/>
        <color theme="1"/>
        <rFont val="Calibri"/>
        <family val="2"/>
        <scheme val="minor"/>
      </rPr>
      <t>1</t>
    </r>
    <r>
      <rPr>
        <sz val="11"/>
        <color theme="1"/>
        <rFont val="Calibri"/>
        <family val="2"/>
        <scheme val="minor"/>
      </rPr>
      <t xml:space="preserve"> Pursuant to D.25-12-044, Ordering Paragraph 1, affordability metrics are only required in General Rate Case filings where the revenue is estimated to exceed one-percent of currently authorized revenues system-wide for a single fuel</t>
    </r>
  </si>
  <si>
    <t>Annual Period 2026</t>
  </si>
  <si>
    <t>Reporting Date: Quarter Ended June 30</t>
  </si>
  <si>
    <t>January 1, 2024</t>
  </si>
  <si>
    <t>March 1, 2024</t>
  </si>
  <si>
    <t>June 1, 2024</t>
  </si>
  <si>
    <t>October 1, 2024</t>
  </si>
  <si>
    <t>January 1, 2025</t>
  </si>
  <si>
    <t>March 1, 2025</t>
  </si>
  <si>
    <t>June 1, 2025</t>
  </si>
  <si>
    <t>October 1, 2025</t>
  </si>
  <si>
    <t>January 1, 2026</t>
  </si>
  <si>
    <t>June 1, 2026</t>
  </si>
  <si>
    <t>5178-E</t>
  </si>
  <si>
    <t>5235-E</t>
  </si>
  <si>
    <t>5307-E</t>
  </si>
  <si>
    <t>5379-E / E-A</t>
  </si>
  <si>
    <t>5449-E</t>
  </si>
  <si>
    <t>5484-E</t>
  </si>
  <si>
    <t>5555-E</t>
  </si>
  <si>
    <t>5643-E</t>
  </si>
  <si>
    <t>5725-E</t>
  </si>
  <si>
    <t>Filing Description</t>
  </si>
  <si>
    <t>Revenue Recovery Mechanism</t>
  </si>
  <si>
    <t>Authority for Revenue Requirement</t>
  </si>
  <si>
    <t xml:space="preserve">Balancing Account </t>
  </si>
  <si>
    <t>Safety Affordability Reliability Proceedings</t>
  </si>
  <si>
    <t>2018 GRC (Attrition Years)</t>
  </si>
  <si>
    <t>General Rate Case (GRC-G)</t>
  </si>
  <si>
    <t>Generation</t>
  </si>
  <si>
    <t>D.25-09-030; Advice 5677-E; D.25-12-043</t>
  </si>
  <si>
    <t>General Rate Case (GRC-N)</t>
  </si>
  <si>
    <t>New System Gen</t>
  </si>
  <si>
    <t>General Rate Case (GRC-D)</t>
  </si>
  <si>
    <t>Distribution</t>
  </si>
  <si>
    <t>D.25-09-030; Advice 5677-E; D.25-12-043; Advice 5760-E</t>
  </si>
  <si>
    <t>2018 GRC Memo Account/One-Time/FF&amp;U</t>
  </si>
  <si>
    <t>2025 GRCRRMA (24-month amortization)</t>
  </si>
  <si>
    <t>D.25-09-030; Advice 5642-E/E-A; Uncollectibles Factor Update only</t>
  </si>
  <si>
    <t>Non-utility Affiliate Credits</t>
  </si>
  <si>
    <t>2025 GRC One-Time Recovery of Accounts</t>
  </si>
  <si>
    <t>2025 GRC - FF&amp;U Impact on Non-GRC Items</t>
  </si>
  <si>
    <t>Now Incorporated in individual Line Items</t>
  </si>
  <si>
    <t>MCAM</t>
  </si>
  <si>
    <t>Public Purpose</t>
  </si>
  <si>
    <t>Nuclear</t>
  </si>
  <si>
    <t>Pole Loading &amp; Deteriorated Poles Balancing Account</t>
  </si>
  <si>
    <t>D.15-10-037</t>
  </si>
  <si>
    <t>Tax Accounting Memorandum Account (TAMA)</t>
  </si>
  <si>
    <t>Pole Loading &amp; Deteriorated Pole Programs Balancing Account</t>
  </si>
  <si>
    <t>D.21-08-036</t>
  </si>
  <si>
    <t>2023/2024 TAMA Balance</t>
  </si>
  <si>
    <t>Advice 5515-E</t>
  </si>
  <si>
    <t>Pension/PBOP/Medical Balancing Accounts</t>
  </si>
  <si>
    <t>D.21-08-036; D.25-09-030</t>
  </si>
  <si>
    <t>2019 ERRA Forecast</t>
  </si>
  <si>
    <t>ERRA Forecast</t>
  </si>
  <si>
    <t>D.25-12-028</t>
  </si>
  <si>
    <t>2020 ERRA Forecast</t>
  </si>
  <si>
    <t>ERRA Forecast (BA)</t>
  </si>
  <si>
    <t>GHG Revenue</t>
  </si>
  <si>
    <t>Modified CAM (MCAM) Rate Component:</t>
  </si>
  <si>
    <t>A portion is in the Balancing Account</t>
  </si>
  <si>
    <t>2018 ERRA Balancing Account Trigger</t>
  </si>
  <si>
    <t>TMNBA/BMNBC BA</t>
  </si>
  <si>
    <t>ERRA/PABA/ESMA/LCTA Balancing Account</t>
  </si>
  <si>
    <t>2023 ERRA Trigger</t>
  </si>
  <si>
    <t>D.23-04-012; Advice 5036-E</t>
  </si>
  <si>
    <t>2024 ERRA Trigger</t>
  </si>
  <si>
    <t>D.24-08-015</t>
  </si>
  <si>
    <t>DAC-GT/CSGT Clean Energy Programs (BA)</t>
  </si>
  <si>
    <t>2021 ERRA Review</t>
  </si>
  <si>
    <t>D.25-06-006; Advice 5604-E</t>
  </si>
  <si>
    <t>2023 ERRA Review</t>
  </si>
  <si>
    <t>D.26-04-006; Advice 5808-E</t>
  </si>
  <si>
    <t>BRRBA</t>
  </si>
  <si>
    <t>BRRBA Balancing Account</t>
  </si>
  <si>
    <t>NDAM Balancing Account</t>
  </si>
  <si>
    <t>BRRBA (Inc. FRC FF)</t>
  </si>
  <si>
    <t>D.15-10-037; D.25-08-033; Advice 5691-E</t>
  </si>
  <si>
    <t>CARE Balancing Account</t>
  </si>
  <si>
    <t>PPPAM Balancing Account</t>
  </si>
  <si>
    <t>Emergency Reliability UOS</t>
  </si>
  <si>
    <t>Advice 4894-E; Advice 5142-E; Advice 5408-E; Advice 5674-E</t>
  </si>
  <si>
    <t>2021 GRC Track 2 O&amp;M (36-Month Amortization)</t>
  </si>
  <si>
    <t>D.21-01-012; Advice 4658-E/E-A</t>
  </si>
  <si>
    <t>2021 GRC Track 3 O&amp;M (36-Month Amortization)</t>
  </si>
  <si>
    <t>D.22-06-032</t>
  </si>
  <si>
    <t>VMBA Undercollection Threshold</t>
  </si>
  <si>
    <t>Advice 5534-E; Uncollectibles Factor Update only</t>
  </si>
  <si>
    <t>WRMBA Undercollection</t>
  </si>
  <si>
    <t>Advice 5267-E</t>
  </si>
  <si>
    <t>2020 Vegetation Management Z-Factor</t>
  </si>
  <si>
    <t>Resolution E-5287</t>
  </si>
  <si>
    <t>2021 Wildfire Mitigation/Vegetation Management</t>
  </si>
  <si>
    <t>D.24-03-008</t>
  </si>
  <si>
    <t>2022 WM/VM (non-IRR portion)</t>
  </si>
  <si>
    <t>D.25-06-051; Advice 5601-E; Uncollectibles Factor Update only</t>
  </si>
  <si>
    <t>2022 WM/VM (55% Interm Rate Recovery)</t>
  </si>
  <si>
    <t>D.24-07-012</t>
  </si>
  <si>
    <t>2023 WMCE</t>
  </si>
  <si>
    <t>D.25-06-017; Uncollectibles Factor Update only</t>
  </si>
  <si>
    <t>Mobilehome Master Meter Balancing Account</t>
  </si>
  <si>
    <t>WEMA 2</t>
  </si>
  <si>
    <t>D.23-05-033</t>
  </si>
  <si>
    <t>CEMA - 2020 Storms</t>
  </si>
  <si>
    <t>D.24-05-037</t>
  </si>
  <si>
    <t>CEMA Reimbursement - 2020 Creek</t>
  </si>
  <si>
    <t>Advice 5495-E; Uncollectibles Factor Update only</t>
  </si>
  <si>
    <t>2017 Thomas Fire - CEMA</t>
  </si>
  <si>
    <t>D.25-01-042; Advice 5555-E</t>
  </si>
  <si>
    <t>Wildfire Self-Insurance Credit</t>
  </si>
  <si>
    <t>D.23-05-013</t>
  </si>
  <si>
    <t>CSRP Track 2</t>
  </si>
  <si>
    <t>D.23-03-019</t>
  </si>
  <si>
    <t>DCPP</t>
  </si>
  <si>
    <t>D.25-12-007</t>
  </si>
  <si>
    <t>SJV DAC Pilots</t>
  </si>
  <si>
    <t>GSRP Recovery Bonds FRC #1 (AB 1054)</t>
  </si>
  <si>
    <t>Securitization</t>
  </si>
  <si>
    <t>D.20-11-007; Advice 4416-E</t>
  </si>
  <si>
    <t>2021 GRC Tracks 1 and 2 Recovery Bonds FRC #2 (AB 1054)</t>
  </si>
  <si>
    <t>D.21-10-025; Advice 4717-E-A</t>
  </si>
  <si>
    <t>2021 GRC Tracks 1 and 3 Recovery Bonds FRC #3 (AB 1054)</t>
  </si>
  <si>
    <t>D.23-02-023; Advice 5018-E</t>
  </si>
  <si>
    <t>2017 Thomas Fire - WEMA Recovery Bonds FRC #4</t>
  </si>
  <si>
    <t>D.25-08-033; Advice 5691-E</t>
  </si>
  <si>
    <t>Public Policy Proceedings</t>
  </si>
  <si>
    <t xml:space="preserve">   Subtotal Safety Affordability Reliability</t>
  </si>
  <si>
    <t>Demand Response</t>
  </si>
  <si>
    <t>Energy Efficiency</t>
  </si>
  <si>
    <t>D.23-12-005; Uncollectibles Factor Update only</t>
  </si>
  <si>
    <t>Demand Response (Inc. ELPBA 2023-2025)</t>
  </si>
  <si>
    <t>D.23-12-005</t>
  </si>
  <si>
    <t>Energy Efficiency (Inc. IDSM)</t>
  </si>
  <si>
    <t>D.23-08-005; Advice 5123-E; D.24-09-031; Advice 5670-E</t>
  </si>
  <si>
    <t>New Home Energy Storage Pilot (NHESP)</t>
  </si>
  <si>
    <t>D.22-04-044; Advice 4852-E</t>
  </si>
  <si>
    <t>Energy Efficiency Market Transformation</t>
  </si>
  <si>
    <t>D.19-12-021; D.25-11-023</t>
  </si>
  <si>
    <t>2020 RUBA Uncollectibles (36-Month Amortization)</t>
  </si>
  <si>
    <t>Advice 4658-E/E-A</t>
  </si>
  <si>
    <t>CA Solar Initiatives/MASH/SASH</t>
  </si>
  <si>
    <t>Charge Ready Programs (Pilot, Bridge and Schools and Parks)</t>
  </si>
  <si>
    <t>Advice 5676-E</t>
  </si>
  <si>
    <t>Transportation Electrification</t>
  </si>
  <si>
    <t>Low Income Programs (ESAP)</t>
  </si>
  <si>
    <t>D.21-06-015</t>
  </si>
  <si>
    <t>Statewide ME&amp;O</t>
  </si>
  <si>
    <t>Low Income Programs (CARE/FERA Admin)</t>
  </si>
  <si>
    <t>D.21-06-015; Advice 4638-E</t>
  </si>
  <si>
    <t>Self-Generation Incentive Program (SGIP)</t>
  </si>
  <si>
    <t>EPIC - RD&amp;D and Renewables</t>
  </si>
  <si>
    <t>D.26-02-037; Advice 5779-E</t>
  </si>
  <si>
    <t>Aliso Canyon Energy Storage</t>
  </si>
  <si>
    <t>D.20-01-021; D.21-11-028; Advice 4169-E</t>
  </si>
  <si>
    <t>Tariff On-Bill Pilot Program Balancing Account (TOPPBA)</t>
  </si>
  <si>
    <t>D.25-12-021; Advice 5732-E</t>
  </si>
  <si>
    <t>Flex Alert Paid Marketing</t>
  </si>
  <si>
    <t>D.26-03-016</t>
  </si>
  <si>
    <t>Non-CPUC Jurisdictional Proceedings</t>
  </si>
  <si>
    <t xml:space="preserve">   Subtotal Public Policy </t>
  </si>
  <si>
    <t>DWR Bond/Power</t>
  </si>
  <si>
    <t>Wildfire Fund Charge</t>
  </si>
  <si>
    <t>DWR</t>
  </si>
  <si>
    <t>DWR Bond Refund</t>
  </si>
  <si>
    <t>FERC Base Transmission</t>
  </si>
  <si>
    <t>Wildfire Fund Charge (AB1054)</t>
  </si>
  <si>
    <t>D.25-12-006</t>
  </si>
  <si>
    <t>TRBAA</t>
  </si>
  <si>
    <t>FERC</t>
  </si>
  <si>
    <t>ER26-602</t>
  </si>
  <si>
    <t>RSBAA</t>
  </si>
  <si>
    <t>TRBAA (BA)</t>
  </si>
  <si>
    <t>TOTCA</t>
  </si>
  <si>
    <t>ER26-378</t>
  </si>
  <si>
    <t>TACBAA</t>
  </si>
  <si>
    <t>RSBAA (BA)</t>
  </si>
  <si>
    <t>ER26-318</t>
  </si>
  <si>
    <t>Total Approved, Implemented Since Jan 1 or To Be Implemented</t>
  </si>
  <si>
    <t>TACBAA (BA)</t>
  </si>
  <si>
    <t>ER26-1958-000</t>
  </si>
  <si>
    <t xml:space="preserve">   Subtotal Non-CPUC Jurisdictional</t>
  </si>
  <si>
    <t>PUCRF</t>
  </si>
  <si>
    <t>Total Authorized Revenue</t>
  </si>
  <si>
    <t>w/o PUCRF</t>
  </si>
  <si>
    <t>Current Revenue Requirement ($000):</t>
  </si>
  <si>
    <t>Inc. PUCRF</t>
  </si>
  <si>
    <t>Current Revenue Requirement Effective:</t>
  </si>
  <si>
    <t>Approved Application(s), Implemented Since Jan 1 or To Be Implemented</t>
  </si>
  <si>
    <t>Comes from SAR file</t>
  </si>
  <si>
    <t>Proceeding</t>
  </si>
  <si>
    <t>Authorized Revenue Requirement ($000)</t>
  </si>
  <si>
    <t>Existing or New Item (if existing, use delta from prior for rate impact)</t>
  </si>
  <si>
    <t>Total Authorized</t>
  </si>
  <si>
    <t>Existing</t>
  </si>
  <si>
    <t>D.25-09-030; Advice 5642-E/E-A</t>
  </si>
  <si>
    <t>2026 ERRA Forecast F&amp;PP</t>
  </si>
  <si>
    <t>Check</t>
  </si>
  <si>
    <t>2026 ERRA Forecast (BA)</t>
  </si>
  <si>
    <t>2026 ERRA Forecast</t>
  </si>
  <si>
    <t>2026 ERRA/PABA/ESMA/LCTA (BA)</t>
  </si>
  <si>
    <t>2022 ERRA Review</t>
  </si>
  <si>
    <t>D.26-01-033</t>
  </si>
  <si>
    <t>New</t>
  </si>
  <si>
    <t>D.25-06-017</t>
  </si>
  <si>
    <t>Advice 5495-E</t>
  </si>
  <si>
    <t>Advice 5534-E</t>
  </si>
  <si>
    <t>2022 WM/VM (Non-IRR Portion)</t>
  </si>
  <si>
    <t>D.25-06-051; Advice 5601-E</t>
  </si>
  <si>
    <t>D.25-01-042</t>
  </si>
  <si>
    <t>Woolsey Fire - CEMA</t>
  </si>
  <si>
    <t>D.25-12-023</t>
  </si>
  <si>
    <t>2018 Woolsey Fire - WEMA Recovery Bonds FRC #5</t>
  </si>
  <si>
    <t>D.26-05-006</t>
  </si>
  <si>
    <t>Section 851 - Sale of GO 5 Property</t>
  </si>
  <si>
    <t>D.25-07-011</t>
  </si>
  <si>
    <t>Section 851 - Sale of Hydroelectric San Bernardino</t>
  </si>
  <si>
    <t>D.25-09-012</t>
  </si>
  <si>
    <t>Section 851 - Sale of Hydroelectric Fontana Union Water</t>
  </si>
  <si>
    <t>D.26-01-006</t>
  </si>
  <si>
    <t>D.23-12-005; Advice 5421-E</t>
  </si>
  <si>
    <t>Advice 5141-E; Advice 5407-E; Advice 5676-E</t>
  </si>
  <si>
    <t>Total w/Authorized and Pending</t>
  </si>
  <si>
    <t>TE Funding Cycle 1</t>
  </si>
  <si>
    <t>D.22-11-040; Advice 4954-E</t>
  </si>
  <si>
    <t>On hold</t>
  </si>
  <si>
    <t>Tariff On-Bill Pilot Program</t>
  </si>
  <si>
    <t>ER25-267</t>
  </si>
  <si>
    <t>ER25-305</t>
  </si>
  <si>
    <t>Increase over current</t>
  </si>
  <si>
    <t>w/PUCRF</t>
  </si>
  <si>
    <t>Pending Application(s), Not Yet Approved</t>
  </si>
  <si>
    <t>Basis for Revenue Requirement</t>
  </si>
  <si>
    <t>Proposed Revenue Requirement ($000)</t>
  </si>
  <si>
    <t>Proposed Revenue Recovery Mechanism</t>
  </si>
  <si>
    <t>Include in Impact</t>
  </si>
  <si>
    <t>2027 ERRA Forecast F&amp;PP</t>
  </si>
  <si>
    <t>A.26-05-006</t>
  </si>
  <si>
    <t>Filed Application</t>
  </si>
  <si>
    <t>Exising</t>
  </si>
  <si>
    <t>2027 ERRA Forecast (BA)</t>
  </si>
  <si>
    <t>2027 ERRA/PABA (BA)</t>
  </si>
  <si>
    <t>DAC-GT/CSGT Clean Energy Programs</t>
  </si>
  <si>
    <t>A.25-04-004</t>
  </si>
  <si>
    <t>A.26-04-002</t>
  </si>
  <si>
    <t>A.26-03-031</t>
  </si>
  <si>
    <t>A.25-03-001</t>
  </si>
  <si>
    <t>A.25-12-015</t>
  </si>
  <si>
    <t>A.25-12-002</t>
  </si>
  <si>
    <t>A.26-01-002</t>
  </si>
  <si>
    <t>A.26-03-030</t>
  </si>
  <si>
    <t>Advice 5777-E</t>
  </si>
  <si>
    <t>Filed Advice Letter</t>
  </si>
  <si>
    <t>A.25-06-022</t>
  </si>
  <si>
    <t>A.26-01-005</t>
  </si>
  <si>
    <t>A.26-01-006</t>
  </si>
  <si>
    <t>A.26-03-010</t>
  </si>
  <si>
    <t>Total Pending, Filed but not Approved</t>
  </si>
  <si>
    <t>Applications Projected to be Filed, Next 12 Months*</t>
  </si>
  <si>
    <t>Estimated Filing Date</t>
  </si>
  <si>
    <t>Filing Basis</t>
  </si>
  <si>
    <t>* All amounts in this Projected section are estimates and subject to change. SCE provides this data in an effort to be as helpful and transparent as possible to further the Commission's efforts to understand the impact all pending rate increases.</t>
  </si>
  <si>
    <t>CONFIDENTIAL
This Excel Sheet Is Marked Confidential In Accordance With Applicable Law and Regulation.
Basis for Confidentiality In Accompanying Confidentiality Declaration.
Public Disclosure Restricted.</t>
  </si>
  <si>
    <t>Total Revenue ($000)</t>
  </si>
  <si>
    <t>Authorized</t>
  </si>
  <si>
    <t>w/ Pending</t>
  </si>
  <si>
    <t>Allocation</t>
  </si>
  <si>
    <t>NDC</t>
  </si>
  <si>
    <t>PPPC</t>
  </si>
  <si>
    <t>NSGC</t>
  </si>
  <si>
    <t>Transmission</t>
  </si>
  <si>
    <t>GHG Rev</t>
  </si>
  <si>
    <t>DWRBC</t>
  </si>
  <si>
    <t>SECURITIZATION</t>
  </si>
  <si>
    <t>Revenue ($000) - System</t>
  </si>
  <si>
    <t>w/Pending</t>
  </si>
  <si>
    <t>CARE Adj.</t>
  </si>
  <si>
    <t>% of CARE Sales</t>
  </si>
  <si>
    <t>CARE Line Item Discount %</t>
  </si>
  <si>
    <t>Total System</t>
  </si>
  <si>
    <t>CARE Discounst</t>
  </si>
  <si>
    <t>non-CARE Residential Sales</t>
  </si>
  <si>
    <t>Total Sales (excl. CARE&amp;SL)</t>
  </si>
  <si>
    <t>Res CARE Surcharge</t>
  </si>
  <si>
    <t>RES CARE Discount Specific Split</t>
  </si>
  <si>
    <t>CARE Surcharge Allocator</t>
  </si>
  <si>
    <t>Revenue Split - Bundled</t>
  </si>
  <si>
    <t>Bundled Revenue</t>
  </si>
  <si>
    <t>System CARE Discount</t>
  </si>
  <si>
    <t>Res GHG</t>
  </si>
  <si>
    <t>Res GHG System</t>
  </si>
  <si>
    <t>Bundled</t>
  </si>
  <si>
    <t>System (Bundled and Unbundled)</t>
  </si>
  <si>
    <t>Janaury of each year</t>
  </si>
  <si>
    <t>Proposed Avg Rates (Authorized)</t>
  </si>
  <si>
    <t>Proposed Avg Rates (w/Pending)</t>
  </si>
  <si>
    <t>% Change (Authorized)</t>
  </si>
  <si>
    <t>% Change (w/Pending)</t>
  </si>
  <si>
    <t>1/1/26 Bundled
w/Credit</t>
  </si>
  <si>
    <t>1/1/26 Bundled
w/out Credit</t>
  </si>
  <si>
    <t>1/1/26 System
w/Credit</t>
  </si>
  <si>
    <t>1/1/26 System
w/out Credit</t>
  </si>
  <si>
    <t>Residential System</t>
  </si>
  <si>
    <t>Total Bundled</t>
  </si>
  <si>
    <t>Current Effective</t>
  </si>
  <si>
    <t>Residential Allocator</t>
  </si>
  <si>
    <t>System Sales</t>
  </si>
  <si>
    <t>Bundled Sales</t>
  </si>
  <si>
    <t>% of Bdl</t>
  </si>
  <si>
    <t>CARE%</t>
  </si>
  <si>
    <t>Non-CARE Residential</t>
  </si>
  <si>
    <t>Non-Exempt Sales</t>
  </si>
  <si>
    <t>% of Resl Sales (Bdl)</t>
  </si>
  <si>
    <t>% of Resl Sales (Sys)</t>
  </si>
  <si>
    <t xml:space="preserve">CONFIDENTIAL
The Attachment(s) Are Marked Confidential In Accordance With D. 16-08-024 and D. 17-09-023. Basis for Confidentiality In Accompanying Confidentiality Declaration.
</t>
  </si>
  <si>
    <t>Schedule D</t>
  </si>
  <si>
    <t>Schedule D-CARE</t>
  </si>
  <si>
    <t>Proposed</t>
  </si>
  <si>
    <t>Rates</t>
  </si>
  <si>
    <t>Authorized Rates</t>
  </si>
  <si>
    <t>Authorized Revenue</t>
  </si>
  <si>
    <t>w/Pending Rates</t>
  </si>
  <si>
    <t>w/Pending Revenue</t>
  </si>
  <si>
    <t>w/ BSC</t>
  </si>
  <si>
    <t>Baseline - Summer</t>
  </si>
  <si>
    <t xml:space="preserve">Bundled Residential Rev Req </t>
  </si>
  <si>
    <t>- Winter</t>
  </si>
  <si>
    <t>Proposed (Authorized)</t>
  </si>
  <si>
    <t>101% - 400% of Baseline - Summer</t>
  </si>
  <si>
    <t>Proposed (w/Pending)</t>
  </si>
  <si>
    <t>401% of Baseline - Summer</t>
  </si>
  <si>
    <t>Basic Charge - Single-Family Residence</t>
  </si>
  <si>
    <t>Basic Charge - Multi-Family Residence</t>
  </si>
  <si>
    <t>2025 Recorded Data - Average Monthly Usage - kWh (Bundled / Basic Service Only)</t>
  </si>
  <si>
    <t>2025 Recorded Data - Average Monthly Usage - kWh (Bundled / All Electric Only)</t>
  </si>
  <si>
    <t>SCHEDULE D RATES ($/kWh)</t>
  </si>
  <si>
    <t xml:space="preserve">MONTHLY BASELINE QUANTITIES </t>
  </si>
  <si>
    <t>BASIC</t>
  </si>
  <si>
    <t>ALL-ELECTRIC</t>
  </si>
  <si>
    <t>Climate Zone</t>
  </si>
  <si>
    <t>Summer</t>
  </si>
  <si>
    <t>Winter</t>
  </si>
  <si>
    <t>Sample Population Weight</t>
  </si>
  <si>
    <t>Jan 2026</t>
  </si>
  <si>
    <t>Tier 1</t>
  </si>
  <si>
    <t>5 warm</t>
  </si>
  <si>
    <t>Tier 2</t>
  </si>
  <si>
    <t>6 cool</t>
  </si>
  <si>
    <t>8 cool</t>
  </si>
  <si>
    <t>cust $ / Day</t>
  </si>
  <si>
    <t>SCHEDULE D-CARE RATES ($/kWh)</t>
  </si>
  <si>
    <t>10 hot (Sec 745)</t>
  </si>
  <si>
    <t>13 hot</t>
  </si>
  <si>
    <t>14 hot</t>
  </si>
  <si>
    <t>15 hot</t>
  </si>
  <si>
    <t>16 cool</t>
  </si>
  <si>
    <t>Daily to Monthly Conversion Factor</t>
  </si>
  <si>
    <t>NON-CARE</t>
  </si>
  <si>
    <t>ALL</t>
  </si>
  <si>
    <t xml:space="preserve">All-Electric - CARE	</t>
  </si>
  <si>
    <t>Customers</t>
  </si>
  <si>
    <t>GS-1</t>
  </si>
  <si>
    <t>CARE Effective Discount</t>
  </si>
  <si>
    <t>GS-1 Sales</t>
  </si>
  <si>
    <t>GS-1 CARE Surcharge</t>
  </si>
  <si>
    <t>GS-1 GHG</t>
  </si>
  <si>
    <t>GS-1 GHG System</t>
  </si>
  <si>
    <t>GS-1 Bundled</t>
  </si>
  <si>
    <t>GS-1 System</t>
  </si>
  <si>
    <t>GS-1 Allocator</t>
  </si>
  <si>
    <t>% of GS-1 Sales (Bdl)</t>
  </si>
  <si>
    <t>% of GS-1 Sales (Sys)</t>
  </si>
  <si>
    <t>Schedule TOU-GS-1-E</t>
  </si>
  <si>
    <t>On Peak</t>
  </si>
  <si>
    <t xml:space="preserve">Bundled GS-1 Rev Req </t>
  </si>
  <si>
    <t>Mid Peak</t>
  </si>
  <si>
    <t>Off Peak</t>
  </si>
  <si>
    <t>SuperOff Peak</t>
  </si>
  <si>
    <t>2025 Recorded Data</t>
  </si>
  <si>
    <t>SCHEDULE TOU-GS-1-E ($/kWh)</t>
  </si>
  <si>
    <t>NAICS</t>
  </si>
  <si>
    <t>On Peak kWh</t>
  </si>
  <si>
    <t>Mid Peak kWh</t>
  </si>
  <si>
    <t>Off Peak kWh</t>
  </si>
  <si>
    <t>Super Off Peak kWh</t>
  </si>
  <si>
    <t>Total kWh</t>
  </si>
  <si>
    <t>Super Off Peak</t>
  </si>
  <si>
    <t>TOU-GS-1-E</t>
  </si>
  <si>
    <t>Total Sales</t>
  </si>
  <si>
    <t>Revenue Change</t>
  </si>
  <si>
    <t>(C)/(A)</t>
  </si>
  <si>
    <t>(C)/(B)</t>
  </si>
  <si>
    <t>% Change over 1/1/2026</t>
  </si>
  <si>
    <t>% Change over Current</t>
  </si>
  <si>
    <t>Small Commercial (AR)</t>
  </si>
  <si>
    <t>Seasonality:</t>
  </si>
  <si>
    <t>Revenue Change ($000)</t>
  </si>
  <si>
    <t>Revenue Change ($000) - System</t>
  </si>
  <si>
    <t>% of CARE Sales (Bundled)</t>
  </si>
  <si>
    <t>non-CARE Sales</t>
  </si>
  <si>
    <t>Bundled Revenue Change</t>
  </si>
  <si>
    <t xml:space="preserve">Proposed Avg Rates </t>
  </si>
  <si>
    <t xml:space="preserve">% Change </t>
  </si>
  <si>
    <t>Revenue</t>
  </si>
  <si>
    <t>Current</t>
  </si>
  <si>
    <t>Change</t>
  </si>
  <si>
    <t>Proposed Change</t>
  </si>
  <si>
    <t>HUC</t>
  </si>
  <si>
    <t xml:space="preserve"> Revenue</t>
  </si>
  <si>
    <t>6/1/26 Bundled
w/Credit</t>
  </si>
  <si>
    <t>6/1/26 Bundled
w/out Credit</t>
  </si>
  <si>
    <t>6/1/26 System
w/Credit</t>
  </si>
  <si>
    <t>6/1/26 System
w/out Credit</t>
  </si>
  <si>
    <t>5829-E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</si>
</sst>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mm/dd/yy;@"/>
    <numFmt numFmtId="165" formatCode="0.0%"/>
    <numFmt numFmtId="166" formatCode="0.00000"/>
    <numFmt numFmtId="167" formatCode="#.00"/>
    <numFmt numFmtId="168" formatCode="#,##0."/>
    <numFmt numFmtId="169" formatCode="&quot;$&quot;#."/>
    <numFmt numFmtId="170" formatCode="0.00_)"/>
    <numFmt numFmtId="171" formatCode="#,##0.00&quot; $&quot;;\-#,##0.00&quot; $&quot;"/>
    <numFmt numFmtId="172" formatCode="m\-d\-yy"/>
    <numFmt numFmtId="173" formatCode="_(* #,##0_);_(* \(#,##0\);_(* &quot;-&quot;??_);_(@_)"/>
    <numFmt numFmtId="174" formatCode="#,##0.0"/>
    <numFmt numFmtId="175" formatCode="#,##0.00000_);[Red]\(#,##0.00000\)"/>
    <numFmt numFmtId="176" formatCode="0.0"/>
    <numFmt numFmtId="177" formatCode="0.000"/>
    <numFmt numFmtId="178" formatCode="_(* #,##0.0_);_(* \(#,##0.0\);_(* &quot;-&quot;??_);_(@_)"/>
    <numFmt numFmtId="179" formatCode="0.0000000%"/>
    <numFmt numFmtId="180" formatCode="_(* #,##0.000_);_(* \(#,##0.000\);_(* &quot;-&quot;_);_(@_)"/>
    <numFmt numFmtId="181" formatCode="_(* #,##0.000_);_(* \(#,##0.000\);_(* &quot;-&quot;??_);_(@_)"/>
    <numFmt numFmtId="182" formatCode="&quot;$&quot;#,##0.00"/>
    <numFmt numFmtId="183" formatCode="_(* #,##0.0_);_(* \(#,##0.0\);_(* &quot;-&quot;_);_(@_)"/>
    <numFmt numFmtId="184" formatCode="#,##0.00_);\(#,##0.00\);\–_);&quot;–&quot;_)"/>
    <numFmt numFmtId="185" formatCode="#,##0_);\(#,##0\);\–_);&quot;–&quot;_)"/>
    <numFmt numFmtId="186" formatCode="0.000%"/>
  </numFmts>
  <fonts count="55" x14ac:knownFonts="1">
    <font>
      <sz val="11"/>
      <color theme="1"/>
      <name val="Calibri"/>
      <family val="2"/>
      <scheme val="minor"/>
    </font>
    <font>
      <sz val="10"/>
      <name val="Arial"/>
      <family val="2"/>
    </font>
    <font>
      <b/>
      <sz val="10"/>
      <name val="Arial"/>
      <family val="2"/>
    </font>
    <font>
      <sz val="10"/>
      <name val="MS Sans Serif"/>
      <family val="2"/>
    </font>
    <font>
      <sz val="1"/>
      <color indexed="8"/>
      <name val="Courier"/>
      <family val="3"/>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2"/>
      <name val="Garamond"/>
      <family val="1"/>
    </font>
    <font>
      <b/>
      <sz val="11"/>
      <name val="Garamond"/>
      <family val="1"/>
    </font>
    <font>
      <sz val="11"/>
      <name val="Garamond"/>
      <family val="1"/>
    </font>
    <font>
      <b/>
      <sz val="12"/>
      <name val="Garamond"/>
      <family val="1"/>
    </font>
    <font>
      <sz val="10"/>
      <name val="Garamond"/>
      <family val="1"/>
    </font>
    <font>
      <sz val="11"/>
      <color theme="1"/>
      <name val="Garamond"/>
      <family val="1"/>
    </font>
    <font>
      <b/>
      <sz val="11"/>
      <color theme="1"/>
      <name val="Garamond"/>
      <family val="1"/>
    </font>
    <font>
      <u/>
      <sz val="10"/>
      <name val="Garamond"/>
      <family val="1"/>
    </font>
    <font>
      <b/>
      <sz val="10"/>
      <name val="Garamond"/>
      <family val="1"/>
    </font>
    <font>
      <sz val="10"/>
      <color indexed="10"/>
      <name val="Garamond"/>
      <family val="1"/>
    </font>
    <font>
      <b/>
      <sz val="11"/>
      <color rgb="FFFF0000"/>
      <name val="Garamond"/>
      <family val="1"/>
    </font>
    <font>
      <sz val="11"/>
      <color theme="1"/>
      <name val="Calibri"/>
      <family val="2"/>
      <scheme val="minor"/>
    </font>
    <font>
      <sz val="11"/>
      <name val="Calibri"/>
      <family val="2"/>
      <scheme val="minor"/>
    </font>
    <font>
      <b/>
      <sz val="12"/>
      <color rgb="FFFF0000"/>
      <name val="Garamond"/>
      <family val="1"/>
    </font>
    <font>
      <sz val="11"/>
      <color rgb="FFFF0000"/>
      <name val="Calibri"/>
      <family val="2"/>
      <scheme val="minor"/>
    </font>
    <font>
      <sz val="12"/>
      <color rgb="FFFF0000"/>
      <name val="Garamond"/>
      <family val="1"/>
    </font>
    <font>
      <sz val="12"/>
      <color theme="1"/>
      <name val="Garamond"/>
      <family val="1"/>
    </font>
    <font>
      <b/>
      <sz val="12"/>
      <color rgb="FF3333FF"/>
      <name val="Garamond"/>
      <family val="1"/>
    </font>
    <font>
      <b/>
      <sz val="11"/>
      <color rgb="FF3333FF"/>
      <name val="Garamond"/>
      <family val="1"/>
    </font>
    <font>
      <sz val="11"/>
      <color rgb="FF3333FF"/>
      <name val="Garamond"/>
      <family val="1"/>
    </font>
    <font>
      <sz val="8"/>
      <name val="Calibri"/>
      <family val="2"/>
      <scheme val="minor"/>
    </font>
    <font>
      <sz val="12"/>
      <color rgb="FF3333FF"/>
      <name val="Garamond"/>
      <family val="1"/>
    </font>
    <font>
      <u/>
      <sz val="11"/>
      <color theme="10"/>
      <name val="Calibri"/>
      <family val="2"/>
      <scheme val="minor"/>
    </font>
    <font>
      <sz val="11"/>
      <color rgb="FFFF0000"/>
      <name val="Garamond"/>
      <family val="1"/>
    </font>
    <font>
      <sz val="11"/>
      <color rgb="FFFF0000"/>
      <name val="Calibri"/>
      <family val="2"/>
    </font>
    <font>
      <sz val="11"/>
      <name val="Calibri"/>
      <family val="2"/>
    </font>
    <font>
      <b/>
      <sz val="11"/>
      <name val="Calibri"/>
      <family val="2"/>
      <scheme val="minor"/>
    </font>
    <font>
      <u/>
      <sz val="11"/>
      <name val="Calibri"/>
      <family val="2"/>
      <scheme val="minor"/>
    </font>
    <font>
      <b/>
      <u/>
      <sz val="11"/>
      <name val="Calibri"/>
      <family val="2"/>
      <scheme val="minor"/>
    </font>
    <font>
      <b/>
      <u/>
      <sz val="11"/>
      <name val="Calibri"/>
      <family val="2"/>
    </font>
    <font>
      <sz val="11"/>
      <color theme="0" tint="-0.249977111117893"/>
      <name val="Calibri"/>
      <family val="2"/>
      <scheme val="minor"/>
    </font>
    <font>
      <b/>
      <sz val="14"/>
      <name val="Calibri"/>
      <family val="2"/>
    </font>
    <font>
      <b/>
      <sz val="11"/>
      <name val="Calibri"/>
      <family val="2"/>
    </font>
    <font>
      <b/>
      <sz val="11"/>
      <color rgb="FFFF0000"/>
      <name val="Calibri"/>
      <family val="2"/>
    </font>
    <font>
      <b/>
      <u/>
      <sz val="11"/>
      <color theme="10"/>
      <name val="Calibri"/>
      <family val="2"/>
      <scheme val="minor"/>
    </font>
    <font>
      <strike/>
      <sz val="11"/>
      <name val="Calibri"/>
      <family val="2"/>
      <scheme val="minor"/>
    </font>
    <font>
      <sz val="10"/>
      <color rgb="FF0000FF"/>
      <name val="Arial"/>
      <family val="2"/>
    </font>
    <font>
      <b/>
      <sz val="10"/>
      <color theme="0"/>
      <name val="Garamond"/>
      <family val="1"/>
    </font>
    <font>
      <b/>
      <sz val="11"/>
      <color theme="0"/>
      <name val="Garamond"/>
      <family val="1"/>
    </font>
    <font>
      <vertAlign val="superscript"/>
      <sz val="11"/>
      <color theme="1"/>
      <name val="Calibri"/>
      <family val="2"/>
      <scheme val="minor"/>
    </font>
    <font>
      <b/>
      <sz val="12"/>
      <color theme="1"/>
      <name val="Garamond"/>
      <family val="1"/>
    </font>
    <font>
      <sz val="10"/>
      <color theme="1" tint="0.499984740745262"/>
      <name val="Garamond"/>
      <family val="1"/>
    </font>
    <font>
      <sz val="10"/>
      <name val="Calibri"/>
      <family val="2"/>
      <scheme val="minor"/>
    </font>
    <font>
      <b/>
      <i/>
      <sz val="11"/>
      <name val="Calibri"/>
      <family val="2"/>
      <scheme val="minor"/>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CC"/>
        <bgColor indexed="64"/>
      </patternFill>
    </fill>
  </fills>
  <borders count="43">
    <border>
      <left/>
      <right/>
      <top/>
      <bottom/>
      <diagonal/>
    </border>
    <border>
      <left/>
      <right/>
      <top style="thin">
        <color auto="1"/>
      </top>
      <bottom style="thin">
        <color auto="1"/>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s>
  <cellStyleXfs count="40">
    <xf numFmtId="0" fontId="0" fillId="0" borderId="0"/>
    <xf numFmtId="0" fontId="1" fillId="0" borderId="0"/>
    <xf numFmtId="172" fontId="2" fillId="2" borderId="2">
      <alignment horizontal="center" vertical="center"/>
    </xf>
    <xf numFmtId="43" fontId="1" fillId="0" borderId="0" applyFont="0" applyFill="0" applyBorder="0" applyAlignment="0" applyProtection="0"/>
    <xf numFmtId="168" fontId="4" fillId="0" borderId="0">
      <protection locked="0"/>
    </xf>
    <xf numFmtId="44" fontId="1" fillId="0" borderId="0" applyFont="0" applyFill="0" applyBorder="0" applyAlignment="0" applyProtection="0"/>
    <xf numFmtId="44" fontId="1" fillId="0" borderId="0" applyFont="0" applyFill="0" applyBorder="0" applyAlignment="0" applyProtection="0"/>
    <xf numFmtId="169" fontId="4" fillId="0" borderId="0">
      <protection locked="0"/>
    </xf>
    <xf numFmtId="0" fontId="4" fillId="0" borderId="0">
      <protection locked="0"/>
    </xf>
    <xf numFmtId="167" fontId="4" fillId="0" borderId="0">
      <protection locked="0"/>
    </xf>
    <xf numFmtId="38" fontId="5" fillId="3" borderId="0" applyNumberFormat="0" applyBorder="0" applyAlignment="0" applyProtection="0"/>
    <xf numFmtId="0" fontId="6" fillId="0" borderId="0" applyNumberFormat="0" applyFill="0" applyBorder="0" applyAlignment="0" applyProtection="0"/>
    <xf numFmtId="0" fontId="4" fillId="0" borderId="0">
      <protection locked="0"/>
    </xf>
    <xf numFmtId="0" fontId="4" fillId="0" borderId="0">
      <protection locked="0"/>
    </xf>
    <xf numFmtId="171" fontId="1" fillId="0" borderId="0">
      <protection locked="0"/>
    </xf>
    <xf numFmtId="171" fontId="1" fillId="0" borderId="0">
      <protection locked="0"/>
    </xf>
    <xf numFmtId="0" fontId="7" fillId="0" borderId="3" applyNumberFormat="0" applyFill="0" applyAlignment="0" applyProtection="0"/>
    <xf numFmtId="10" fontId="5" fillId="4" borderId="4" applyNumberFormat="0" applyBorder="0" applyAlignment="0" applyProtection="0"/>
    <xf numFmtId="37" fontId="8" fillId="0" borderId="0"/>
    <xf numFmtId="170" fontId="9" fillId="0" borderId="0"/>
    <xf numFmtId="0" fontId="1" fillId="0" borderId="0"/>
    <xf numFmtId="0" fontId="1" fillId="0" borderId="0"/>
    <xf numFmtId="9"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5">
      <protection locked="0"/>
    </xf>
    <xf numFmtId="37" fontId="5" fillId="5" borderId="0" applyNumberFormat="0" applyBorder="0" applyAlignment="0" applyProtection="0"/>
    <xf numFmtId="37" fontId="5" fillId="0" borderId="0"/>
    <xf numFmtId="37" fontId="5" fillId="5" borderId="0" applyNumberFormat="0" applyBorder="0" applyAlignment="0" applyProtection="0"/>
    <xf numFmtId="3" fontId="10" fillId="0" borderId="3" applyProtection="0"/>
    <xf numFmtId="0" fontId="1" fillId="0" borderId="0"/>
    <xf numFmtId="0" fontId="3" fillId="0" borderId="0"/>
    <xf numFmtId="9" fontId="3" fillId="0" borderId="0" applyFont="0" applyFill="0" applyBorder="0" applyAlignment="0" applyProtection="0"/>
    <xf numFmtId="0" fontId="3" fillId="0" borderId="0"/>
    <xf numFmtId="0" fontId="1" fillId="0" borderId="0"/>
    <xf numFmtId="43" fontId="22" fillId="0" borderId="0" applyFont="0" applyFill="0" applyBorder="0" applyAlignment="0" applyProtection="0"/>
    <xf numFmtId="0" fontId="1" fillId="0" borderId="0"/>
    <xf numFmtId="9" fontId="22" fillId="0" borderId="0" applyFont="0" applyFill="0" applyBorder="0" applyAlignment="0" applyProtection="0"/>
    <xf numFmtId="0" fontId="33" fillId="0" borderId="0" applyNumberFormat="0" applyFill="0" applyBorder="0" applyAlignment="0" applyProtection="0"/>
  </cellStyleXfs>
  <cellXfs count="536">
    <xf numFmtId="0" fontId="0" fillId="0" borderId="0" xfId="0"/>
    <xf numFmtId="0" fontId="12" fillId="0" borderId="0" xfId="1" applyFont="1"/>
    <xf numFmtId="0" fontId="13" fillId="0" borderId="0" xfId="1" applyFont="1"/>
    <xf numFmtId="173" fontId="11" fillId="0" borderId="0" xfId="3" applyNumberFormat="1" applyFont="1"/>
    <xf numFmtId="0" fontId="12" fillId="0" borderId="0" xfId="1" applyFont="1" applyAlignment="1">
      <alignment horizontal="right"/>
    </xf>
    <xf numFmtId="173" fontId="13" fillId="0" borderId="0" xfId="3" applyNumberFormat="1" applyFont="1" applyFill="1" applyBorder="1" applyAlignment="1">
      <alignment horizontal="center"/>
    </xf>
    <xf numFmtId="0" fontId="13" fillId="0" borderId="0" xfId="1" applyFont="1" applyAlignment="1">
      <alignment horizontal="center"/>
    </xf>
    <xf numFmtId="173" fontId="13" fillId="0" borderId="0" xfId="3" applyNumberFormat="1" applyFont="1" applyBorder="1" applyAlignment="1">
      <alignment horizontal="center" wrapText="1"/>
    </xf>
    <xf numFmtId="0" fontId="13" fillId="0" borderId="4" xfId="1" applyFont="1" applyBorder="1" applyAlignment="1">
      <alignment horizontal="center" wrapText="1"/>
    </xf>
    <xf numFmtId="0" fontId="11" fillId="0" borderId="0" xfId="0" applyFont="1"/>
    <xf numFmtId="0" fontId="11" fillId="0" borderId="0" xfId="0" applyFont="1" applyAlignment="1">
      <alignment horizontal="center" wrapText="1"/>
    </xf>
    <xf numFmtId="43" fontId="11" fillId="0" borderId="0" xfId="0" applyNumberFormat="1" applyFont="1"/>
    <xf numFmtId="165" fontId="11" fillId="0" borderId="0" xfId="24" applyNumberFormat="1" applyFont="1" applyAlignment="1">
      <alignment horizontal="center"/>
    </xf>
    <xf numFmtId="0" fontId="11" fillId="0" borderId="0" xfId="0" applyFont="1" applyAlignment="1">
      <alignment horizontal="right"/>
    </xf>
    <xf numFmtId="3" fontId="11" fillId="0" borderId="0" xfId="0" applyNumberFormat="1" applyFont="1" applyAlignment="1">
      <alignment horizontal="center"/>
    </xf>
    <xf numFmtId="10" fontId="11" fillId="0" borderId="0" xfId="24" applyNumberFormat="1" applyFont="1"/>
    <xf numFmtId="38" fontId="11" fillId="0" borderId="0" xfId="0" applyNumberFormat="1" applyFont="1" applyAlignment="1">
      <alignment horizontal="center"/>
    </xf>
    <xf numFmtId="10" fontId="11" fillId="0" borderId="0" xfId="25" applyNumberFormat="1" applyFont="1" applyAlignment="1">
      <alignment horizontal="center"/>
    </xf>
    <xf numFmtId="15" fontId="13" fillId="0" borderId="0" xfId="1" applyNumberFormat="1" applyFont="1"/>
    <xf numFmtId="0" fontId="13" fillId="0" borderId="0" xfId="0" applyFont="1"/>
    <xf numFmtId="0" fontId="13" fillId="0" borderId="4" xfId="1" applyFont="1" applyBorder="1"/>
    <xf numFmtId="175" fontId="13" fillId="0" borderId="0" xfId="34" applyNumberFormat="1" applyFont="1" applyAlignment="1" applyProtection="1">
      <alignment horizontal="left"/>
      <protection locked="0"/>
    </xf>
    <xf numFmtId="175" fontId="12" fillId="0" borderId="0" xfId="35" applyNumberFormat="1" applyFont="1" applyAlignment="1">
      <alignment horizontal="right"/>
    </xf>
    <xf numFmtId="166" fontId="11" fillId="0" borderId="0" xfId="0" applyNumberFormat="1" applyFont="1"/>
    <xf numFmtId="176" fontId="11" fillId="0" borderId="0" xfId="0" applyNumberFormat="1" applyFont="1" applyAlignment="1">
      <alignment horizontal="center"/>
    </xf>
    <xf numFmtId="175" fontId="13" fillId="0" borderId="0" xfId="35" quotePrefix="1" applyNumberFormat="1" applyFont="1" applyAlignment="1">
      <alignment horizontal="right"/>
    </xf>
    <xf numFmtId="166" fontId="11" fillId="0" borderId="0" xfId="0" applyNumberFormat="1" applyFont="1" applyAlignment="1">
      <alignment horizontal="center"/>
    </xf>
    <xf numFmtId="175" fontId="13" fillId="0" borderId="0" xfId="34" applyNumberFormat="1" applyFont="1" applyAlignment="1" applyProtection="1">
      <alignment horizontal="right"/>
      <protection locked="0"/>
    </xf>
    <xf numFmtId="0" fontId="12" fillId="0" borderId="0" xfId="0" applyFont="1" applyAlignment="1">
      <alignment horizontal="center" wrapText="1"/>
    </xf>
    <xf numFmtId="15" fontId="12" fillId="0" borderId="0" xfId="0" applyNumberFormat="1" applyFont="1" applyAlignment="1">
      <alignment horizontal="center" wrapText="1"/>
    </xf>
    <xf numFmtId="176" fontId="11" fillId="0" borderId="0" xfId="0" applyNumberFormat="1" applyFont="1" applyAlignment="1">
      <alignment horizontal="right"/>
    </xf>
    <xf numFmtId="166" fontId="11" fillId="0" borderId="0" xfId="0" applyNumberFormat="1" applyFont="1" applyAlignment="1">
      <alignment horizontal="right"/>
    </xf>
    <xf numFmtId="43" fontId="11" fillId="0" borderId="0" xfId="3" applyFont="1" applyFill="1"/>
    <xf numFmtId="0" fontId="11" fillId="0" borderId="0" xfId="0" applyFont="1" applyAlignment="1">
      <alignment horizontal="center"/>
    </xf>
    <xf numFmtId="166" fontId="11" fillId="7" borderId="0" xfId="0" applyNumberFormat="1" applyFont="1" applyFill="1"/>
    <xf numFmtId="177" fontId="11" fillId="7" borderId="0" xfId="0" applyNumberFormat="1" applyFont="1" applyFill="1"/>
    <xf numFmtId="0" fontId="11" fillId="7" borderId="0" xfId="0" applyFont="1" applyFill="1"/>
    <xf numFmtId="0" fontId="15" fillId="0" borderId="0" xfId="1" applyFont="1"/>
    <xf numFmtId="0" fontId="16" fillId="0" borderId="0" xfId="0" applyFont="1"/>
    <xf numFmtId="0" fontId="16" fillId="0" borderId="4" xfId="0" applyFont="1" applyBorder="1"/>
    <xf numFmtId="0" fontId="16" fillId="0" borderId="22" xfId="0" applyFont="1" applyBorder="1"/>
    <xf numFmtId="1" fontId="16" fillId="7" borderId="22" xfId="0" applyNumberFormat="1" applyFont="1" applyFill="1" applyBorder="1"/>
    <xf numFmtId="1" fontId="16" fillId="0" borderId="4" xfId="0" applyNumberFormat="1" applyFont="1" applyBorder="1"/>
    <xf numFmtId="0" fontId="16" fillId="0" borderId="0" xfId="0" applyFont="1" applyAlignment="1">
      <alignment horizontal="right"/>
    </xf>
    <xf numFmtId="0" fontId="16" fillId="0" borderId="23" xfId="0" applyFont="1" applyBorder="1"/>
    <xf numFmtId="1" fontId="16" fillId="7" borderId="23" xfId="0" applyNumberFormat="1" applyFont="1" applyFill="1" applyBorder="1"/>
    <xf numFmtId="176" fontId="16" fillId="0" borderId="0" xfId="0" applyNumberFormat="1" applyFont="1"/>
    <xf numFmtId="3" fontId="16" fillId="0" borderId="0" xfId="0" applyNumberFormat="1" applyFont="1"/>
    <xf numFmtId="0" fontId="15" fillId="0" borderId="0" xfId="20" applyFont="1"/>
    <xf numFmtId="0" fontId="18" fillId="0" borderId="0" xfId="20" applyFont="1"/>
    <xf numFmtId="0" fontId="19" fillId="0" borderId="0" xfId="20" applyFont="1" applyAlignment="1">
      <alignment horizontal="center" wrapText="1"/>
    </xf>
    <xf numFmtId="17" fontId="19" fillId="0" borderId="0" xfId="20" applyNumberFormat="1" applyFont="1" applyAlignment="1">
      <alignment horizontal="center" wrapText="1"/>
    </xf>
    <xf numFmtId="0" fontId="15" fillId="0" borderId="6" xfId="20" applyFont="1" applyBorder="1" applyAlignment="1">
      <alignment horizontal="right"/>
    </xf>
    <xf numFmtId="17" fontId="19" fillId="0" borderId="6" xfId="20" applyNumberFormat="1" applyFont="1" applyBorder="1" applyAlignment="1">
      <alignment horizontal="center" wrapText="1"/>
    </xf>
    <xf numFmtId="0" fontId="16" fillId="0" borderId="6" xfId="0" applyFont="1" applyBorder="1"/>
    <xf numFmtId="0" fontId="15" fillId="0" borderId="0" xfId="20" applyFont="1" applyAlignment="1">
      <alignment horizontal="right"/>
    </xf>
    <xf numFmtId="166" fontId="16" fillId="0" borderId="0" xfId="6" applyNumberFormat="1" applyFont="1"/>
    <xf numFmtId="44" fontId="16" fillId="0" borderId="0" xfId="6" applyFont="1" applyBorder="1"/>
    <xf numFmtId="165" fontId="16" fillId="0" borderId="0" xfId="24" applyNumberFormat="1" applyFont="1" applyBorder="1"/>
    <xf numFmtId="0" fontId="16" fillId="0" borderId="0" xfId="0" applyFont="1" applyAlignment="1">
      <alignment horizontal="left" vertical="top"/>
    </xf>
    <xf numFmtId="0" fontId="15" fillId="0" borderId="0" xfId="20" applyFont="1" applyAlignment="1">
      <alignment horizontal="left" vertical="top"/>
    </xf>
    <xf numFmtId="1" fontId="20" fillId="0" borderId="0" xfId="20" applyNumberFormat="1" applyFont="1"/>
    <xf numFmtId="1" fontId="15" fillId="0" borderId="0" xfId="20" applyNumberFormat="1" applyFont="1"/>
    <xf numFmtId="0" fontId="16" fillId="0" borderId="4" xfId="0" applyFont="1" applyBorder="1" applyAlignment="1">
      <alignment wrapText="1"/>
    </xf>
    <xf numFmtId="0" fontId="21" fillId="0" borderId="0" xfId="0" applyFont="1"/>
    <xf numFmtId="173" fontId="13" fillId="0" borderId="6" xfId="3" applyNumberFormat="1" applyFont="1" applyFill="1" applyBorder="1" applyAlignment="1">
      <alignment horizontal="center"/>
    </xf>
    <xf numFmtId="173" fontId="12" fillId="0" borderId="0" xfId="3" applyNumberFormat="1" applyFont="1" applyFill="1" applyBorder="1" applyAlignment="1">
      <alignment horizontal="center"/>
    </xf>
    <xf numFmtId="0" fontId="13" fillId="0" borderId="0" xfId="1" applyFont="1" applyAlignment="1">
      <alignment horizontal="right"/>
    </xf>
    <xf numFmtId="176" fontId="11" fillId="0" borderId="0" xfId="0" applyNumberFormat="1" applyFont="1"/>
    <xf numFmtId="0" fontId="16" fillId="0" borderId="0" xfId="0" applyFont="1" applyAlignment="1">
      <alignment horizontal="center" wrapText="1"/>
    </xf>
    <xf numFmtId="38" fontId="11" fillId="0" borderId="0" xfId="0" applyNumberFormat="1" applyFont="1"/>
    <xf numFmtId="14" fontId="19" fillId="0" borderId="6" xfId="20" quotePrefix="1" applyNumberFormat="1" applyFont="1" applyBorder="1" applyAlignment="1">
      <alignment horizontal="right"/>
    </xf>
    <xf numFmtId="173" fontId="11" fillId="0" borderId="0" xfId="0" applyNumberFormat="1" applyFont="1" applyAlignment="1">
      <alignment horizontal="center"/>
    </xf>
    <xf numFmtId="173" fontId="11" fillId="0" borderId="0" xfId="3" applyNumberFormat="1" applyFont="1" applyFill="1"/>
    <xf numFmtId="0" fontId="13" fillId="6" borderId="4" xfId="1" applyFont="1" applyFill="1" applyBorder="1" applyAlignment="1">
      <alignment horizontal="center"/>
    </xf>
    <xf numFmtId="0" fontId="13" fillId="0" borderId="16" xfId="1" applyFont="1" applyBorder="1"/>
    <xf numFmtId="174" fontId="13" fillId="0" borderId="20" xfId="1" applyNumberFormat="1" applyFont="1" applyBorder="1" applyAlignment="1">
      <alignment horizontal="center"/>
    </xf>
    <xf numFmtId="165" fontId="13" fillId="0" borderId="22" xfId="25" applyNumberFormat="1" applyFont="1" applyFill="1" applyBorder="1" applyAlignment="1">
      <alignment horizontal="center"/>
    </xf>
    <xf numFmtId="174" fontId="13" fillId="0" borderId="10" xfId="1" applyNumberFormat="1" applyFont="1" applyBorder="1" applyAlignment="1">
      <alignment horizontal="center"/>
    </xf>
    <xf numFmtId="174" fontId="13" fillId="0" borderId="21" xfId="1" applyNumberFormat="1" applyFont="1" applyBorder="1" applyAlignment="1">
      <alignment horizontal="center"/>
    </xf>
    <xf numFmtId="165" fontId="13" fillId="0" borderId="21" xfId="25" applyNumberFormat="1" applyFont="1" applyFill="1" applyBorder="1" applyAlignment="1">
      <alignment horizontal="center"/>
    </xf>
    <xf numFmtId="0" fontId="13" fillId="0" borderId="1" xfId="1" applyFont="1" applyBorder="1" applyAlignment="1">
      <alignment horizontal="center"/>
    </xf>
    <xf numFmtId="44" fontId="13" fillId="0" borderId="22" xfId="1" applyNumberFormat="1" applyFont="1" applyBorder="1" applyAlignment="1">
      <alignment horizontal="center"/>
    </xf>
    <xf numFmtId="44" fontId="13" fillId="0" borderId="26" xfId="1" applyNumberFormat="1" applyFont="1" applyBorder="1" applyAlignment="1">
      <alignment horizontal="center"/>
    </xf>
    <xf numFmtId="165" fontId="13" fillId="0" borderId="22" xfId="22" applyNumberFormat="1" applyFont="1" applyFill="1" applyBorder="1" applyAlignment="1">
      <alignment horizontal="center"/>
    </xf>
    <xf numFmtId="44" fontId="13" fillId="0" borderId="21" xfId="1" applyNumberFormat="1" applyFont="1" applyBorder="1" applyAlignment="1">
      <alignment horizontal="center"/>
    </xf>
    <xf numFmtId="44" fontId="13" fillId="0" borderId="12" xfId="1" applyNumberFormat="1" applyFont="1" applyBorder="1" applyAlignment="1">
      <alignment horizontal="center"/>
    </xf>
    <xf numFmtId="165" fontId="13" fillId="0" borderId="21" xfId="22" applyNumberFormat="1" applyFont="1" applyFill="1" applyBorder="1" applyAlignment="1">
      <alignment horizontal="center"/>
    </xf>
    <xf numFmtId="0" fontId="16" fillId="0" borderId="4" xfId="0" applyFont="1" applyBorder="1" applyAlignment="1">
      <alignment horizontal="center" vertical="top" wrapText="1"/>
    </xf>
    <xf numFmtId="0" fontId="16" fillId="0" borderId="0" xfId="0" applyFont="1" applyAlignment="1">
      <alignment vertical="top" wrapText="1"/>
    </xf>
    <xf numFmtId="0" fontId="15" fillId="0" borderId="0" xfId="0" applyFont="1" applyAlignment="1">
      <alignment horizontal="center" vertical="center"/>
    </xf>
    <xf numFmtId="0" fontId="15" fillId="0" borderId="0" xfId="0" applyFont="1"/>
    <xf numFmtId="4" fontId="15" fillId="0" borderId="0" xfId="0" applyNumberFormat="1" applyFont="1" applyAlignment="1">
      <alignment horizontal="right" vertical="center"/>
    </xf>
    <xf numFmtId="0" fontId="15" fillId="0" borderId="0" xfId="0" applyFont="1" applyAlignment="1">
      <alignment horizontal="right" vertical="center"/>
    </xf>
    <xf numFmtId="0" fontId="11" fillId="0" borderId="29" xfId="0" applyFont="1" applyBorder="1" applyAlignment="1">
      <alignment horizontal="center" wrapText="1"/>
    </xf>
    <xf numFmtId="0" fontId="13" fillId="0" borderId="0" xfId="0" applyFont="1" applyAlignment="1">
      <alignment horizontal="right"/>
    </xf>
    <xf numFmtId="1" fontId="16" fillId="0" borderId="23" xfId="0" applyNumberFormat="1" applyFont="1" applyBorder="1"/>
    <xf numFmtId="0" fontId="13" fillId="0" borderId="1" xfId="1" applyFont="1" applyBorder="1"/>
    <xf numFmtId="9" fontId="16" fillId="0" borderId="0" xfId="38" applyFont="1" applyFill="1" applyBorder="1" applyAlignment="1">
      <alignment horizontal="center"/>
    </xf>
    <xf numFmtId="0" fontId="16" fillId="0" borderId="0" xfId="0" applyFont="1" applyAlignment="1">
      <alignment horizontal="center"/>
    </xf>
    <xf numFmtId="166" fontId="16" fillId="0" borderId="0" xfId="6" applyNumberFormat="1" applyFont="1" applyFill="1"/>
    <xf numFmtId="44" fontId="16" fillId="0" borderId="0" xfId="6" applyFont="1" applyFill="1" applyBorder="1"/>
    <xf numFmtId="176" fontId="26" fillId="0" borderId="0" xfId="0" applyNumberFormat="1" applyFont="1"/>
    <xf numFmtId="43" fontId="16" fillId="0" borderId="0" xfId="0" applyNumberFormat="1" applyFont="1"/>
    <xf numFmtId="0" fontId="0" fillId="0" borderId="0" xfId="0" applyAlignment="1">
      <alignment horizontal="left"/>
    </xf>
    <xf numFmtId="9" fontId="27" fillId="0" borderId="0" xfId="38" applyFont="1" applyAlignment="1">
      <alignment horizontal="right"/>
    </xf>
    <xf numFmtId="0" fontId="11" fillId="0" borderId="30" xfId="0" applyFont="1" applyBorder="1" applyAlignment="1">
      <alignment horizontal="center"/>
    </xf>
    <xf numFmtId="173" fontId="11" fillId="0" borderId="30" xfId="3" applyNumberFormat="1" applyFont="1" applyBorder="1"/>
    <xf numFmtId="173" fontId="11" fillId="0" borderId="0" xfId="3" applyNumberFormat="1" applyFont="1" applyBorder="1"/>
    <xf numFmtId="3" fontId="16" fillId="0" borderId="0" xfId="0" applyNumberFormat="1" applyFont="1" applyAlignment="1">
      <alignment horizontal="center"/>
    </xf>
    <xf numFmtId="14" fontId="13" fillId="0" borderId="4" xfId="1" quotePrefix="1" applyNumberFormat="1" applyFont="1" applyBorder="1" applyAlignment="1">
      <alignment horizontal="center"/>
    </xf>
    <xf numFmtId="14" fontId="13" fillId="0" borderId="4" xfId="1" quotePrefix="1" applyNumberFormat="1" applyFont="1" applyBorder="1" applyAlignment="1">
      <alignment horizontal="center" wrapText="1"/>
    </xf>
    <xf numFmtId="0" fontId="24" fillId="0" borderId="0" xfId="0" applyFont="1" applyAlignment="1">
      <alignment horizontal="center" wrapText="1"/>
    </xf>
    <xf numFmtId="0" fontId="15" fillId="0" borderId="0" xfId="0" applyFont="1" applyAlignment="1">
      <alignment vertical="center"/>
    </xf>
    <xf numFmtId="0" fontId="12" fillId="0" borderId="6" xfId="1" applyFont="1" applyBorder="1" applyAlignment="1">
      <alignment horizontal="center"/>
    </xf>
    <xf numFmtId="0" fontId="28" fillId="0" borderId="0" xfId="0" applyFont="1"/>
    <xf numFmtId="0" fontId="28" fillId="0" borderId="0" xfId="0" applyFont="1" applyAlignment="1">
      <alignment horizontal="center"/>
    </xf>
    <xf numFmtId="0" fontId="17" fillId="0" borderId="0" xfId="0" applyFont="1"/>
    <xf numFmtId="165" fontId="13" fillId="0" borderId="20" xfId="22" applyNumberFormat="1" applyFont="1" applyFill="1" applyBorder="1" applyAlignment="1">
      <alignment horizontal="center"/>
    </xf>
    <xf numFmtId="0" fontId="30" fillId="0" borderId="0" xfId="0" applyFont="1" applyAlignment="1">
      <alignment horizontal="center"/>
    </xf>
    <xf numFmtId="173" fontId="13" fillId="0" borderId="29" xfId="3" applyNumberFormat="1" applyFont="1" applyFill="1" applyBorder="1" applyAlignment="1">
      <alignment horizontal="center"/>
    </xf>
    <xf numFmtId="0" fontId="13" fillId="0" borderId="34" xfId="1" applyFont="1" applyBorder="1" applyAlignment="1">
      <alignment horizontal="center" wrapText="1"/>
    </xf>
    <xf numFmtId="165" fontId="13" fillId="0" borderId="35" xfId="25" applyNumberFormat="1" applyFont="1" applyFill="1" applyBorder="1" applyAlignment="1">
      <alignment horizontal="center"/>
    </xf>
    <xf numFmtId="165" fontId="13" fillId="0" borderId="36" xfId="25" applyNumberFormat="1" applyFont="1" applyFill="1" applyBorder="1" applyAlignment="1">
      <alignment horizontal="center"/>
    </xf>
    <xf numFmtId="165" fontId="13" fillId="0" borderId="37" xfId="22" applyNumberFormat="1" applyFont="1" applyFill="1" applyBorder="1" applyAlignment="1">
      <alignment horizontal="center"/>
    </xf>
    <xf numFmtId="165" fontId="13" fillId="0" borderId="36" xfId="22" applyNumberFormat="1" applyFont="1" applyFill="1" applyBorder="1" applyAlignment="1">
      <alignment horizontal="center"/>
    </xf>
    <xf numFmtId="165" fontId="13" fillId="0" borderId="35" xfId="22" applyNumberFormat="1" applyFont="1" applyFill="1" applyBorder="1" applyAlignment="1">
      <alignment horizontal="center"/>
    </xf>
    <xf numFmtId="0" fontId="17" fillId="0" borderId="0" xfId="0" applyFont="1" applyAlignment="1">
      <alignment horizontal="center"/>
    </xf>
    <xf numFmtId="0" fontId="29" fillId="0" borderId="0" xfId="0" applyFont="1"/>
    <xf numFmtId="173" fontId="13" fillId="6" borderId="0" xfId="3" applyNumberFormat="1" applyFont="1" applyFill="1" applyBorder="1" applyAlignment="1">
      <alignment horizontal="center"/>
    </xf>
    <xf numFmtId="173" fontId="13" fillId="6" borderId="6" xfId="3" applyNumberFormat="1" applyFont="1" applyFill="1" applyBorder="1" applyAlignment="1">
      <alignment horizontal="center"/>
    </xf>
    <xf numFmtId="44" fontId="17" fillId="0" borderId="0" xfId="6" applyFont="1" applyBorder="1"/>
    <xf numFmtId="10" fontId="16" fillId="0" borderId="0" xfId="0" applyNumberFormat="1" applyFont="1"/>
    <xf numFmtId="0" fontId="32" fillId="0" borderId="0" xfId="0" applyFont="1" applyAlignment="1">
      <alignment horizontal="right"/>
    </xf>
    <xf numFmtId="9" fontId="27" fillId="0" borderId="0" xfId="38" applyFont="1" applyFill="1"/>
    <xf numFmtId="0" fontId="14" fillId="0" borderId="0" xfId="20" applyFont="1" applyAlignment="1">
      <alignment vertical="center"/>
    </xf>
    <xf numFmtId="165" fontId="16" fillId="0" borderId="0" xfId="38" applyNumberFormat="1" applyFont="1"/>
    <xf numFmtId="178" fontId="11" fillId="0" borderId="0" xfId="3" applyNumberFormat="1" applyFont="1" applyFill="1"/>
    <xf numFmtId="173" fontId="26" fillId="0" borderId="0" xfId="0" applyNumberFormat="1" applyFont="1" applyAlignment="1">
      <alignment horizontal="center"/>
    </xf>
    <xf numFmtId="38" fontId="26" fillId="0" borderId="0" xfId="0" applyNumberFormat="1" applyFont="1"/>
    <xf numFmtId="0" fontId="13" fillId="0" borderId="4" xfId="1" applyFont="1" applyBorder="1" applyAlignment="1">
      <alignment horizontal="center"/>
    </xf>
    <xf numFmtId="9" fontId="15" fillId="0" borderId="0" xfId="38" applyFont="1" applyAlignment="1">
      <alignment vertical="center"/>
    </xf>
    <xf numFmtId="177" fontId="11" fillId="0" borderId="0" xfId="0" applyNumberFormat="1" applyFont="1"/>
    <xf numFmtId="0" fontId="28" fillId="0" borderId="30" xfId="0" applyFont="1" applyBorder="1" applyAlignment="1">
      <alignment horizontal="center"/>
    </xf>
    <xf numFmtId="0" fontId="11" fillId="0" borderId="29" xfId="0" applyFont="1" applyBorder="1" applyAlignment="1">
      <alignment horizontal="center"/>
    </xf>
    <xf numFmtId="9" fontId="27" fillId="0" borderId="0" xfId="38" applyFont="1" applyFill="1" applyAlignment="1">
      <alignment horizontal="right"/>
    </xf>
    <xf numFmtId="178" fontId="11" fillId="0" borderId="0" xfId="0" applyNumberFormat="1" applyFont="1" applyAlignment="1">
      <alignment horizontal="center"/>
    </xf>
    <xf numFmtId="10" fontId="11" fillId="0" borderId="0" xfId="24" applyNumberFormat="1" applyFont="1" applyFill="1"/>
    <xf numFmtId="0" fontId="26" fillId="0" borderId="0" xfId="0" applyFont="1" applyAlignment="1">
      <alignment horizontal="center"/>
    </xf>
    <xf numFmtId="10" fontId="11" fillId="0" borderId="0" xfId="24" applyNumberFormat="1" applyFont="1" applyFill="1" applyAlignment="1">
      <alignment horizontal="center"/>
    </xf>
    <xf numFmtId="10" fontId="26" fillId="7" borderId="0" xfId="25" applyNumberFormat="1" applyFont="1" applyFill="1" applyAlignment="1">
      <alignment horizontal="center"/>
    </xf>
    <xf numFmtId="9" fontId="26" fillId="7" borderId="0" xfId="25" applyFont="1" applyFill="1" applyAlignment="1">
      <alignment horizontal="center"/>
    </xf>
    <xf numFmtId="165" fontId="11" fillId="0" borderId="0" xfId="38" applyNumberFormat="1" applyFont="1" applyFill="1"/>
    <xf numFmtId="165" fontId="11" fillId="0" borderId="0" xfId="38" applyNumberFormat="1" applyFont="1" applyAlignment="1">
      <alignment horizontal="center"/>
    </xf>
    <xf numFmtId="165" fontId="16" fillId="0" borderId="0" xfId="38" applyNumberFormat="1" applyFont="1" applyFill="1"/>
    <xf numFmtId="165" fontId="16" fillId="0" borderId="0" xfId="38" applyNumberFormat="1" applyFont="1" applyAlignment="1">
      <alignment horizontal="center"/>
    </xf>
    <xf numFmtId="44" fontId="16" fillId="0" borderId="0" xfId="0" applyNumberFormat="1" applyFont="1"/>
    <xf numFmtId="0" fontId="11" fillId="0" borderId="31" xfId="0" applyFont="1" applyBorder="1"/>
    <xf numFmtId="0" fontId="11" fillId="0" borderId="6" xfId="0" applyFont="1" applyBorder="1" applyAlignment="1">
      <alignment wrapText="1"/>
    </xf>
    <xf numFmtId="9" fontId="11" fillId="0" borderId="0" xfId="24" applyFont="1" applyFill="1" applyBorder="1" applyAlignment="1">
      <alignment horizontal="center"/>
    </xf>
    <xf numFmtId="166" fontId="16" fillId="0" borderId="0" xfId="6" applyNumberFormat="1" applyFont="1" applyBorder="1"/>
    <xf numFmtId="0" fontId="16" fillId="6" borderId="0" xfId="0" applyFont="1" applyFill="1"/>
    <xf numFmtId="165" fontId="11" fillId="0" borderId="0" xfId="24" applyNumberFormat="1" applyFont="1" applyFill="1"/>
    <xf numFmtId="10" fontId="11" fillId="0" borderId="0" xfId="38" applyNumberFormat="1" applyFont="1" applyFill="1"/>
    <xf numFmtId="165" fontId="16" fillId="7" borderId="0" xfId="38" applyNumberFormat="1" applyFont="1" applyFill="1"/>
    <xf numFmtId="165" fontId="16" fillId="7" borderId="0" xfId="38" applyNumberFormat="1" applyFont="1" applyFill="1" applyBorder="1"/>
    <xf numFmtId="1" fontId="16" fillId="0" borderId="0" xfId="0" applyNumberFormat="1" applyFont="1"/>
    <xf numFmtId="9" fontId="16" fillId="0" borderId="0" xfId="38" applyFont="1"/>
    <xf numFmtId="9" fontId="16" fillId="6" borderId="0" xfId="0" applyNumberFormat="1" applyFont="1" applyFill="1"/>
    <xf numFmtId="9" fontId="15" fillId="0" borderId="0" xfId="38" applyFont="1"/>
    <xf numFmtId="9" fontId="16" fillId="0" borderId="0" xfId="0" applyNumberFormat="1" applyFont="1"/>
    <xf numFmtId="9" fontId="15" fillId="0" borderId="0" xfId="38" applyFont="1" applyAlignment="1">
      <alignment horizontal="right" vertical="center"/>
    </xf>
    <xf numFmtId="179" fontId="16" fillId="0" borderId="0" xfId="0" applyNumberFormat="1" applyFont="1"/>
    <xf numFmtId="4" fontId="16" fillId="0" borderId="0" xfId="0" applyNumberFormat="1" applyFont="1"/>
    <xf numFmtId="10" fontId="11" fillId="7" borderId="0" xfId="24" applyNumberFormat="1" applyFont="1" applyFill="1" applyAlignment="1">
      <alignment horizontal="center"/>
    </xf>
    <xf numFmtId="1" fontId="16" fillId="0" borderId="22" xfId="0" applyNumberFormat="1" applyFont="1" applyBorder="1"/>
    <xf numFmtId="173" fontId="11" fillId="0" borderId="0" xfId="36" applyNumberFormat="1" applyFont="1" applyAlignment="1">
      <alignment horizontal="center" wrapText="1"/>
    </xf>
    <xf numFmtId="174" fontId="16" fillId="0" borderId="0" xfId="0" applyNumberFormat="1" applyFont="1"/>
    <xf numFmtId="10" fontId="11" fillId="0" borderId="0" xfId="38" applyNumberFormat="1" applyFont="1"/>
    <xf numFmtId="0" fontId="18" fillId="0" borderId="0" xfId="20" applyFont="1" applyAlignment="1">
      <alignment horizontal="center"/>
    </xf>
    <xf numFmtId="0" fontId="18" fillId="0" borderId="0" xfId="20" applyFont="1" applyAlignment="1">
      <alignment horizontal="right"/>
    </xf>
    <xf numFmtId="44" fontId="13" fillId="0" borderId="20" xfId="1" applyNumberFormat="1" applyFont="1" applyBorder="1" applyAlignment="1">
      <alignment horizontal="center"/>
    </xf>
    <xf numFmtId="17" fontId="16" fillId="0" borderId="0" xfId="6" applyNumberFormat="1" applyFont="1" applyBorder="1" applyAlignment="1"/>
    <xf numFmtId="17" fontId="16" fillId="0" borderId="0" xfId="6" quotePrefix="1" applyNumberFormat="1" applyFont="1" applyBorder="1" applyAlignment="1"/>
    <xf numFmtId="0" fontId="15" fillId="0" borderId="4" xfId="20" applyFont="1" applyBorder="1" applyAlignment="1">
      <alignment horizontal="center"/>
    </xf>
    <xf numFmtId="0" fontId="11" fillId="0" borderId="6" xfId="0" applyFont="1" applyBorder="1" applyAlignment="1">
      <alignment horizontal="center" wrapText="1"/>
    </xf>
    <xf numFmtId="0" fontId="11" fillId="0" borderId="6" xfId="0" applyFont="1" applyBorder="1" applyAlignment="1">
      <alignment horizontal="center"/>
    </xf>
    <xf numFmtId="9" fontId="11" fillId="0" borderId="0" xfId="38" applyFont="1" applyFill="1"/>
    <xf numFmtId="173" fontId="16" fillId="0" borderId="0" xfId="0" applyNumberFormat="1" applyFont="1"/>
    <xf numFmtId="9" fontId="26" fillId="0" borderId="0" xfId="25" applyFont="1" applyFill="1" applyAlignment="1">
      <alignment horizontal="center"/>
    </xf>
    <xf numFmtId="165" fontId="16" fillId="0" borderId="0" xfId="24" applyNumberFormat="1" applyFont="1" applyFill="1" applyBorder="1"/>
    <xf numFmtId="165" fontId="16" fillId="0" borderId="0" xfId="38" applyNumberFormat="1" applyFont="1" applyFill="1" applyAlignment="1">
      <alignment horizontal="center"/>
    </xf>
    <xf numFmtId="1" fontId="16" fillId="7" borderId="20" xfId="0" applyNumberFormat="1" applyFont="1" applyFill="1" applyBorder="1"/>
    <xf numFmtId="44" fontId="17" fillId="0" borderId="0" xfId="6" applyFont="1" applyFill="1" applyBorder="1"/>
    <xf numFmtId="10" fontId="11" fillId="8" borderId="0" xfId="0" applyNumberFormat="1" applyFont="1" applyFill="1"/>
    <xf numFmtId="0" fontId="19" fillId="0" borderId="0" xfId="20" applyFont="1"/>
    <xf numFmtId="0" fontId="13" fillId="0" borderId="28" xfId="1" applyFont="1" applyBorder="1" applyAlignment="1">
      <alignment horizontal="center"/>
    </xf>
    <xf numFmtId="0" fontId="13" fillId="0" borderId="16" xfId="1" applyFont="1" applyBorder="1" applyAlignment="1">
      <alignment horizontal="center"/>
    </xf>
    <xf numFmtId="0" fontId="12" fillId="0" borderId="0" xfId="1" applyFont="1" applyAlignment="1">
      <alignment horizontal="center"/>
    </xf>
    <xf numFmtId="173" fontId="16" fillId="0" borderId="0" xfId="36" applyNumberFormat="1" applyFont="1"/>
    <xf numFmtId="165" fontId="26" fillId="0" borderId="0" xfId="25" applyNumberFormat="1" applyFont="1" applyFill="1" applyAlignment="1">
      <alignment horizontal="center"/>
    </xf>
    <xf numFmtId="165" fontId="26" fillId="0" borderId="0" xfId="25" applyNumberFormat="1" applyFont="1" applyAlignment="1">
      <alignment horizontal="center"/>
    </xf>
    <xf numFmtId="0" fontId="12" fillId="9" borderId="0" xfId="1" applyFont="1" applyFill="1"/>
    <xf numFmtId="44" fontId="13" fillId="0" borderId="0" xfId="1" applyNumberFormat="1" applyFont="1" applyAlignment="1">
      <alignment horizontal="center"/>
    </xf>
    <xf numFmtId="165" fontId="13" fillId="0" borderId="0" xfId="22" applyNumberFormat="1" applyFont="1" applyFill="1" applyBorder="1" applyAlignment="1">
      <alignment horizontal="center"/>
    </xf>
    <xf numFmtId="0" fontId="16" fillId="9" borderId="0" xfId="0" applyFont="1" applyFill="1"/>
    <xf numFmtId="0" fontId="13" fillId="9" borderId="0" xfId="1" applyFont="1" applyFill="1"/>
    <xf numFmtId="0" fontId="16" fillId="0" borderId="0" xfId="0" applyFont="1" applyAlignment="1">
      <alignment horizontal="left"/>
    </xf>
    <xf numFmtId="178" fontId="16" fillId="0" borderId="0" xfId="36" applyNumberFormat="1" applyFont="1" applyFill="1" applyBorder="1" applyAlignment="1">
      <alignment horizontal="center"/>
    </xf>
    <xf numFmtId="43" fontId="16" fillId="0" borderId="0" xfId="36" applyFont="1" applyFill="1" applyBorder="1" applyAlignment="1">
      <alignment horizontal="center"/>
    </xf>
    <xf numFmtId="173" fontId="16" fillId="0" borderId="0" xfId="36" applyNumberFormat="1" applyFont="1" applyFill="1" applyBorder="1" applyAlignment="1">
      <alignment horizontal="center"/>
    </xf>
    <xf numFmtId="165" fontId="16" fillId="0" borderId="0" xfId="38" applyNumberFormat="1" applyFont="1" applyFill="1" applyBorder="1" applyAlignment="1">
      <alignment horizontal="right"/>
    </xf>
    <xf numFmtId="14" fontId="13" fillId="0" borderId="4" xfId="1" applyNumberFormat="1" applyFont="1" applyBorder="1" applyAlignment="1">
      <alignment horizontal="center" wrapText="1"/>
    </xf>
    <xf numFmtId="165" fontId="27" fillId="7" borderId="0" xfId="38" applyNumberFormat="1" applyFont="1" applyFill="1"/>
    <xf numFmtId="165" fontId="27" fillId="0" borderId="0" xfId="38" applyNumberFormat="1" applyFont="1" applyFill="1"/>
    <xf numFmtId="14" fontId="19" fillId="0" borderId="6" xfId="20" applyNumberFormat="1" applyFont="1" applyBorder="1" applyAlignment="1">
      <alignment horizontal="right"/>
    </xf>
    <xf numFmtId="0" fontId="16" fillId="0" borderId="15" xfId="0" applyFont="1" applyBorder="1" applyAlignment="1">
      <alignment horizontal="center"/>
    </xf>
    <xf numFmtId="10" fontId="27" fillId="7" borderId="0" xfId="38" applyNumberFormat="1" applyFont="1" applyFill="1"/>
    <xf numFmtId="175" fontId="13" fillId="0" borderId="0" xfId="35" applyNumberFormat="1" applyFont="1" applyAlignment="1">
      <alignment horizontal="right"/>
    </xf>
    <xf numFmtId="2" fontId="16" fillId="0" borderId="0" xfId="0" applyNumberFormat="1" applyFont="1"/>
    <xf numFmtId="0" fontId="16" fillId="0" borderId="15" xfId="0" applyFont="1" applyBorder="1" applyAlignment="1">
      <alignment horizontal="center" vertical="top" wrapText="1"/>
    </xf>
    <xf numFmtId="0" fontId="16" fillId="0" borderId="1" xfId="0" applyFont="1" applyBorder="1" applyAlignment="1">
      <alignment horizontal="center" vertical="top" wrapText="1"/>
    </xf>
    <xf numFmtId="0" fontId="16" fillId="0" borderId="16" xfId="0" applyFont="1" applyBorder="1" applyAlignment="1">
      <alignment horizontal="center" vertical="top" wrapText="1"/>
    </xf>
    <xf numFmtId="0" fontId="16" fillId="0" borderId="4" xfId="0" applyFont="1" applyBorder="1" applyAlignment="1">
      <alignment horizontal="center"/>
    </xf>
    <xf numFmtId="0" fontId="16" fillId="0" borderId="30" xfId="0" applyFont="1" applyBorder="1"/>
    <xf numFmtId="1" fontId="16" fillId="7" borderId="20" xfId="38" applyNumberFormat="1" applyFont="1" applyFill="1" applyBorder="1"/>
    <xf numFmtId="1" fontId="16" fillId="0" borderId="20" xfId="0" applyNumberFormat="1" applyFont="1" applyBorder="1"/>
    <xf numFmtId="1" fontId="16" fillId="7" borderId="22" xfId="38" applyNumberFormat="1" applyFont="1" applyFill="1" applyBorder="1"/>
    <xf numFmtId="0" fontId="16" fillId="0" borderId="31" xfId="0" applyFont="1" applyBorder="1"/>
    <xf numFmtId="1" fontId="16" fillId="7" borderId="23" xfId="38" applyNumberFormat="1" applyFont="1" applyFill="1" applyBorder="1"/>
    <xf numFmtId="166" fontId="16" fillId="0" borderId="0" xfId="0" applyNumberFormat="1" applyFont="1"/>
    <xf numFmtId="166" fontId="16" fillId="0" borderId="0" xfId="6" applyNumberFormat="1" applyFont="1" applyFill="1" applyBorder="1"/>
    <xf numFmtId="0" fontId="13" fillId="0" borderId="25" xfId="1" applyFont="1" applyBorder="1" applyAlignment="1">
      <alignment horizontal="right"/>
    </xf>
    <xf numFmtId="0" fontId="13" fillId="0" borderId="26" xfId="1" applyFont="1" applyBorder="1" applyAlignment="1">
      <alignment horizontal="right"/>
    </xf>
    <xf numFmtId="174" fontId="13" fillId="0" borderId="22" xfId="1" applyNumberFormat="1" applyFont="1" applyBorder="1" applyAlignment="1">
      <alignment horizontal="center"/>
    </xf>
    <xf numFmtId="165" fontId="13" fillId="0" borderId="7" xfId="22" applyNumberFormat="1" applyFont="1" applyFill="1" applyBorder="1" applyAlignment="1">
      <alignment horizontal="center"/>
    </xf>
    <xf numFmtId="165" fontId="13" fillId="0" borderId="8" xfId="22" applyNumberFormat="1" applyFont="1" applyFill="1" applyBorder="1" applyAlignment="1">
      <alignment horizontal="center"/>
    </xf>
    <xf numFmtId="2" fontId="11" fillId="0" borderId="0" xfId="38" applyNumberFormat="1" applyFont="1" applyAlignment="1">
      <alignment horizontal="center"/>
    </xf>
    <xf numFmtId="0" fontId="17" fillId="0" borderId="25" xfId="0" applyFont="1" applyBorder="1" applyAlignment="1">
      <alignment horizontal="center"/>
    </xf>
    <xf numFmtId="0" fontId="13" fillId="0" borderId="25" xfId="1" applyFont="1" applyBorder="1" applyAlignment="1">
      <alignment horizontal="center" wrapText="1"/>
    </xf>
    <xf numFmtId="0" fontId="13" fillId="0" borderId="0" xfId="1" applyFont="1" applyAlignment="1">
      <alignment horizontal="center" wrapText="1"/>
    </xf>
    <xf numFmtId="165" fontId="13" fillId="0" borderId="25" xfId="22" applyNumberFormat="1" applyFont="1" applyFill="1" applyBorder="1" applyAlignment="1">
      <alignment horizontal="center"/>
    </xf>
    <xf numFmtId="10" fontId="26" fillId="0" borderId="0" xfId="25" applyNumberFormat="1" applyFont="1" applyFill="1" applyAlignment="1">
      <alignment horizontal="center"/>
    </xf>
    <xf numFmtId="9" fontId="16" fillId="0" borderId="0" xfId="38" applyFont="1" applyFill="1"/>
    <xf numFmtId="9" fontId="15" fillId="0" borderId="0" xfId="38" applyFont="1" applyFill="1"/>
    <xf numFmtId="9" fontId="15" fillId="0" borderId="0" xfId="38" applyFont="1" applyFill="1" applyAlignment="1">
      <alignment horizontal="right" vertical="center"/>
    </xf>
    <xf numFmtId="9" fontId="11" fillId="0" borderId="0" xfId="38" applyFont="1" applyFill="1" applyAlignment="1">
      <alignment horizontal="center"/>
    </xf>
    <xf numFmtId="9" fontId="15" fillId="0" borderId="0" xfId="38" applyFont="1" applyFill="1" applyAlignment="1">
      <alignment vertical="center"/>
    </xf>
    <xf numFmtId="0" fontId="11" fillId="0" borderId="30" xfId="0" applyFont="1" applyBorder="1"/>
    <xf numFmtId="2" fontId="16" fillId="0" borderId="0" xfId="38" applyNumberFormat="1" applyFont="1"/>
    <xf numFmtId="44" fontId="16" fillId="0" borderId="4" xfId="0" applyNumberFormat="1" applyFont="1" applyBorder="1"/>
    <xf numFmtId="0" fontId="16" fillId="0" borderId="10" xfId="0" applyFont="1" applyBorder="1"/>
    <xf numFmtId="0" fontId="16" fillId="0" borderId="41" xfId="0" applyFont="1" applyBorder="1"/>
    <xf numFmtId="9" fontId="25" fillId="0" borderId="0" xfId="38" applyFont="1" applyFill="1" applyBorder="1"/>
    <xf numFmtId="173" fontId="36" fillId="0" borderId="0" xfId="36" applyNumberFormat="1" applyFont="1" applyFill="1" applyBorder="1"/>
    <xf numFmtId="173" fontId="23" fillId="0" borderId="0" xfId="36" applyNumberFormat="1" applyFont="1" applyFill="1"/>
    <xf numFmtId="0" fontId="38" fillId="0" borderId="0" xfId="39" applyFont="1" applyFill="1" applyBorder="1"/>
    <xf numFmtId="41" fontId="23" fillId="0" borderId="0" xfId="36" applyNumberFormat="1" applyFont="1" applyFill="1"/>
    <xf numFmtId="41" fontId="23" fillId="0" borderId="0" xfId="36" applyNumberFormat="1" applyFont="1" applyFill="1" applyBorder="1"/>
    <xf numFmtId="41" fontId="23" fillId="0" borderId="29" xfId="36" applyNumberFormat="1" applyFont="1" applyFill="1" applyBorder="1"/>
    <xf numFmtId="9" fontId="23" fillId="0" borderId="0" xfId="38" applyFont="1" applyFill="1"/>
    <xf numFmtId="41" fontId="23" fillId="0" borderId="6" xfId="36" applyNumberFormat="1" applyFont="1" applyFill="1" applyBorder="1"/>
    <xf numFmtId="43" fontId="23" fillId="0" borderId="0" xfId="36" applyFont="1" applyFill="1"/>
    <xf numFmtId="173" fontId="23" fillId="0" borderId="0" xfId="36" applyNumberFormat="1" applyFont="1" applyFill="1" applyBorder="1"/>
    <xf numFmtId="41" fontId="23" fillId="0" borderId="0" xfId="36" applyNumberFormat="1" applyFont="1" applyFill="1" applyAlignment="1">
      <alignment horizontal="left" indent="1"/>
    </xf>
    <xf numFmtId="9" fontId="23" fillId="0" borderId="0" xfId="38" applyFont="1" applyFill="1" applyBorder="1"/>
    <xf numFmtId="173" fontId="23" fillId="0" borderId="0" xfId="36" applyNumberFormat="1" applyFont="1" applyFill="1" applyAlignment="1">
      <alignment wrapText="1"/>
    </xf>
    <xf numFmtId="173" fontId="23" fillId="0" borderId="6" xfId="36" applyNumberFormat="1" applyFont="1" applyFill="1" applyBorder="1"/>
    <xf numFmtId="49" fontId="39" fillId="0" borderId="0" xfId="39" applyNumberFormat="1" applyFont="1" applyFill="1" applyBorder="1" applyAlignment="1">
      <alignment horizontal="center" vertical="center"/>
    </xf>
    <xf numFmtId="173" fontId="36" fillId="0" borderId="6" xfId="36" applyNumberFormat="1" applyFont="1" applyFill="1" applyBorder="1"/>
    <xf numFmtId="173" fontId="43" fillId="0" borderId="0" xfId="36" applyNumberFormat="1" applyFont="1" applyFill="1" applyBorder="1" applyAlignment="1">
      <alignment horizontal="left"/>
    </xf>
    <xf numFmtId="173" fontId="16" fillId="0" borderId="0" xfId="36" applyNumberFormat="1" applyFont="1" applyFill="1"/>
    <xf numFmtId="0" fontId="17" fillId="0" borderId="0" xfId="0" applyFont="1" applyAlignment="1">
      <alignment horizontal="left"/>
    </xf>
    <xf numFmtId="165" fontId="11" fillId="0" borderId="0" xfId="38" applyNumberFormat="1" applyFont="1"/>
    <xf numFmtId="9" fontId="16" fillId="7" borderId="0" xfId="38" applyFont="1" applyFill="1"/>
    <xf numFmtId="173" fontId="11" fillId="0" borderId="30" xfId="3" applyNumberFormat="1" applyFont="1" applyFill="1" applyBorder="1"/>
    <xf numFmtId="173" fontId="11" fillId="0" borderId="0" xfId="3" applyNumberFormat="1" applyFont="1" applyFill="1" applyBorder="1"/>
    <xf numFmtId="49" fontId="45" fillId="0" borderId="0" xfId="39" applyNumberFormat="1" applyFont="1" applyFill="1" applyBorder="1" applyAlignment="1">
      <alignment horizontal="center" vertical="center"/>
    </xf>
    <xf numFmtId="2" fontId="11" fillId="0" borderId="0" xfId="38" applyNumberFormat="1" applyFont="1" applyFill="1"/>
    <xf numFmtId="0" fontId="0" fillId="0" borderId="0" xfId="0" applyAlignment="1">
      <alignment wrapText="1"/>
    </xf>
    <xf numFmtId="176" fontId="11" fillId="7" borderId="4" xfId="0" applyNumberFormat="1" applyFont="1" applyFill="1" applyBorder="1" applyAlignment="1">
      <alignment horizontal="right"/>
    </xf>
    <xf numFmtId="0" fontId="27" fillId="7" borderId="4" xfId="0" applyFont="1" applyFill="1" applyBorder="1"/>
    <xf numFmtId="0" fontId="27" fillId="7" borderId="4" xfId="0" applyFont="1" applyFill="1" applyBorder="1" applyAlignment="1">
      <alignment wrapText="1"/>
    </xf>
    <xf numFmtId="0" fontId="27" fillId="7" borderId="4" xfId="0" applyFont="1" applyFill="1" applyBorder="1" applyAlignment="1">
      <alignment horizontal="left"/>
    </xf>
    <xf numFmtId="176" fontId="27" fillId="7" borderId="4" xfId="0" applyNumberFormat="1" applyFont="1" applyFill="1" applyBorder="1"/>
    <xf numFmtId="173" fontId="46" fillId="0" borderId="0" xfId="36" applyNumberFormat="1" applyFont="1" applyFill="1" applyBorder="1" applyAlignment="1">
      <alignment wrapText="1"/>
    </xf>
    <xf numFmtId="173" fontId="46" fillId="0" borderId="0" xfId="36" applyNumberFormat="1" applyFont="1" applyFill="1"/>
    <xf numFmtId="0" fontId="12" fillId="0" borderId="18" xfId="1" applyFont="1" applyBorder="1" applyAlignment="1">
      <alignment horizontal="center"/>
    </xf>
    <xf numFmtId="0" fontId="12" fillId="0" borderId="19" xfId="1"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41" fontId="16" fillId="0" borderId="0" xfId="0" applyNumberFormat="1" applyFont="1"/>
    <xf numFmtId="174" fontId="13" fillId="0" borderId="0" xfId="0" applyNumberFormat="1" applyFont="1"/>
    <xf numFmtId="0" fontId="12" fillId="0" borderId="18" xfId="0" applyFont="1" applyBorder="1" applyAlignment="1">
      <alignment horizontal="center"/>
    </xf>
    <xf numFmtId="44" fontId="13" fillId="0" borderId="32" xfId="1" applyNumberFormat="1" applyFont="1" applyBorder="1" applyAlignment="1">
      <alignment horizontal="center"/>
    </xf>
    <xf numFmtId="0" fontId="36" fillId="0" borderId="0" xfId="0" applyFont="1" applyProtection="1">
      <protection locked="0"/>
    </xf>
    <xf numFmtId="0" fontId="23" fillId="0" borderId="0" xfId="0" applyFont="1"/>
    <xf numFmtId="0" fontId="36" fillId="0" borderId="0" xfId="0" applyFont="1"/>
    <xf numFmtId="0" fontId="36" fillId="0" borderId="0" xfId="37" applyFont="1"/>
    <xf numFmtId="0" fontId="25" fillId="0" borderId="0" xfId="0" applyFont="1"/>
    <xf numFmtId="41" fontId="25" fillId="0" borderId="0" xfId="0" applyNumberFormat="1" applyFont="1"/>
    <xf numFmtId="165" fontId="11" fillId="0" borderId="0" xfId="24" applyNumberFormat="1" applyFont="1" applyFill="1" applyAlignment="1">
      <alignment horizontal="center"/>
    </xf>
    <xf numFmtId="10" fontId="27" fillId="0" borderId="0" xfId="38" applyNumberFormat="1" applyFont="1" applyFill="1"/>
    <xf numFmtId="173" fontId="13" fillId="0" borderId="0" xfId="3" applyNumberFormat="1" applyFont="1" applyFill="1" applyBorder="1" applyAlignment="1">
      <alignment horizontal="center" wrapText="1"/>
    </xf>
    <xf numFmtId="176" fontId="27" fillId="0" borderId="1" xfId="0" applyNumberFormat="1" applyFont="1" applyBorder="1"/>
    <xf numFmtId="176" fontId="27" fillId="0" borderId="16" xfId="0" applyNumberFormat="1" applyFont="1" applyBorder="1"/>
    <xf numFmtId="173" fontId="11" fillId="0" borderId="0" xfId="36" applyNumberFormat="1" applyFont="1" applyFill="1" applyAlignment="1">
      <alignment horizontal="center" wrapText="1"/>
    </xf>
    <xf numFmtId="10" fontId="11" fillId="0" borderId="0" xfId="25" applyNumberFormat="1" applyFont="1" applyFill="1" applyAlignment="1">
      <alignment horizontal="center"/>
    </xf>
    <xf numFmtId="173" fontId="36" fillId="0" borderId="0" xfId="0" applyNumberFormat="1" applyFont="1"/>
    <xf numFmtId="0" fontId="42" fillId="0" borderId="0" xfId="0" applyFont="1" applyAlignment="1">
      <alignment horizontal="centerContinuous"/>
    </xf>
    <xf numFmtId="49" fontId="43" fillId="0" borderId="32" xfId="0" quotePrefix="1" applyNumberFormat="1" applyFont="1" applyBorder="1" applyAlignment="1">
      <alignment horizontal="center"/>
    </xf>
    <xf numFmtId="0" fontId="36" fillId="0" borderId="33" xfId="0" applyFont="1" applyBorder="1"/>
    <xf numFmtId="0" fontId="36" fillId="0" borderId="0" xfId="0" applyFont="1" applyAlignment="1">
      <alignment horizontal="center" vertical="center"/>
    </xf>
    <xf numFmtId="0" fontId="36" fillId="0" borderId="7" xfId="0" applyFont="1" applyBorder="1" applyAlignment="1">
      <alignment horizontal="center" vertical="center"/>
    </xf>
    <xf numFmtId="0" fontId="36" fillId="0" borderId="1" xfId="0" applyFont="1" applyBorder="1"/>
    <xf numFmtId="0" fontId="36" fillId="0" borderId="1" xfId="0" applyFont="1" applyBorder="1" applyAlignment="1">
      <alignment wrapText="1"/>
    </xf>
    <xf numFmtId="0" fontId="36" fillId="0" borderId="27" xfId="0" applyFont="1" applyBorder="1" applyAlignment="1">
      <alignment wrapText="1"/>
    </xf>
    <xf numFmtId="0" fontId="43" fillId="0" borderId="0" xfId="0" applyFont="1"/>
    <xf numFmtId="0" fontId="36" fillId="0" borderId="7" xfId="0" applyFont="1" applyBorder="1"/>
    <xf numFmtId="0" fontId="36" fillId="0" borderId="0" xfId="0" applyFont="1" applyAlignment="1">
      <alignment horizontal="left" wrapText="1"/>
    </xf>
    <xf numFmtId="0" fontId="35" fillId="0" borderId="0" xfId="0" applyFont="1"/>
    <xf numFmtId="41" fontId="36" fillId="0" borderId="0" xfId="36" applyNumberFormat="1" applyFont="1" applyFill="1" applyBorder="1"/>
    <xf numFmtId="0" fontId="44" fillId="0" borderId="0" xfId="0" applyFont="1"/>
    <xf numFmtId="3" fontId="43" fillId="0" borderId="24" xfId="0" applyNumberFormat="1" applyFont="1" applyBorder="1"/>
    <xf numFmtId="180" fontId="36" fillId="0" borderId="10" xfId="0" applyNumberFormat="1" applyFont="1" applyBorder="1"/>
    <xf numFmtId="41" fontId="36" fillId="0" borderId="10" xfId="0" applyNumberFormat="1" applyFont="1" applyBorder="1"/>
    <xf numFmtId="0" fontId="36" fillId="0" borderId="8" xfId="0" applyFont="1" applyBorder="1"/>
    <xf numFmtId="180" fontId="36" fillId="0" borderId="0" xfId="0" applyNumberFormat="1" applyFont="1"/>
    <xf numFmtId="181" fontId="36" fillId="0" borderId="0" xfId="0" applyNumberFormat="1" applyFont="1"/>
    <xf numFmtId="0" fontId="0" fillId="0" borderId="0" xfId="0" applyAlignment="1">
      <alignment horizontal="center"/>
    </xf>
    <xf numFmtId="0" fontId="41" fillId="0" borderId="0" xfId="0" applyFont="1"/>
    <xf numFmtId="6" fontId="0" fillId="0" borderId="6" xfId="0" quotePrefix="1" applyNumberFormat="1" applyBorder="1" applyAlignment="1">
      <alignment horizontal="center"/>
    </xf>
    <xf numFmtId="0" fontId="0" fillId="0" borderId="0" xfId="0" applyAlignment="1">
      <alignment vertical="center"/>
    </xf>
    <xf numFmtId="5" fontId="0" fillId="0" borderId="0" xfId="0" applyNumberForma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xf>
    <xf numFmtId="41" fontId="0" fillId="0" borderId="0" xfId="0" applyNumberFormat="1"/>
    <xf numFmtId="9" fontId="0" fillId="0" borderId="0" xfId="38" applyFont="1" applyFill="1"/>
    <xf numFmtId="0" fontId="25" fillId="0" borderId="0" xfId="0" applyFont="1" applyAlignment="1">
      <alignment horizontal="center"/>
    </xf>
    <xf numFmtId="176" fontId="0" fillId="0" borderId="0" xfId="0" applyNumberFormat="1"/>
    <xf numFmtId="9" fontId="0" fillId="0" borderId="0" xfId="38" applyFont="1" applyFill="1" applyBorder="1"/>
    <xf numFmtId="176" fontId="41" fillId="0" borderId="0" xfId="0" applyNumberFormat="1" applyFont="1"/>
    <xf numFmtId="182" fontId="0" fillId="0" borderId="0" xfId="0" applyNumberFormat="1"/>
    <xf numFmtId="44" fontId="41" fillId="0" borderId="0" xfId="0" applyNumberFormat="1" applyFont="1"/>
    <xf numFmtId="44" fontId="0" fillId="0" borderId="0" xfId="0" applyNumberFormat="1"/>
    <xf numFmtId="182" fontId="25" fillId="0" borderId="0" xfId="0" applyNumberFormat="1" applyFont="1"/>
    <xf numFmtId="14" fontId="13" fillId="0" borderId="4" xfId="1" applyNumberFormat="1" applyFont="1" applyBorder="1" applyAlignment="1">
      <alignment horizontal="center"/>
    </xf>
    <xf numFmtId="0" fontId="17" fillId="0" borderId="6" xfId="0" applyFont="1" applyBorder="1"/>
    <xf numFmtId="0" fontId="17" fillId="0" borderId="6" xfId="0" applyFont="1" applyBorder="1" applyAlignment="1">
      <alignment horizontal="center"/>
    </xf>
    <xf numFmtId="0" fontId="13" fillId="0" borderId="0" xfId="0" applyFont="1" applyAlignment="1">
      <alignment horizontal="left"/>
    </xf>
    <xf numFmtId="0" fontId="34" fillId="0" borderId="0" xfId="0" applyFont="1"/>
    <xf numFmtId="9" fontId="16" fillId="0" borderId="0" xfId="38" applyFont="1" applyFill="1" applyAlignment="1">
      <alignment horizontal="center"/>
    </xf>
    <xf numFmtId="0" fontId="13" fillId="0" borderId="0" xfId="0" applyFont="1" applyAlignment="1">
      <alignment horizontal="center"/>
    </xf>
    <xf numFmtId="0" fontId="34" fillId="0" borderId="0" xfId="0" quotePrefix="1" applyFont="1"/>
    <xf numFmtId="0" fontId="12" fillId="0" borderId="17" xfId="1" applyFont="1" applyBorder="1" applyAlignment="1">
      <alignment horizontal="left"/>
    </xf>
    <xf numFmtId="0" fontId="13" fillId="0" borderId="27" xfId="1" applyFont="1" applyBorder="1" applyAlignment="1">
      <alignment horizontal="center" wrapText="1"/>
    </xf>
    <xf numFmtId="165" fontId="13" fillId="0" borderId="7" xfId="25" applyNumberFormat="1" applyFont="1" applyFill="1" applyBorder="1" applyAlignment="1">
      <alignment horizontal="center"/>
    </xf>
    <xf numFmtId="165" fontId="13" fillId="0" borderId="8" xfId="25" applyNumberFormat="1" applyFont="1" applyFill="1" applyBorder="1" applyAlignment="1">
      <alignment horizontal="center"/>
    </xf>
    <xf numFmtId="0" fontId="17" fillId="0" borderId="17" xfId="0" applyFont="1" applyBorder="1" applyAlignment="1">
      <alignment horizontal="left"/>
    </xf>
    <xf numFmtId="43" fontId="16" fillId="0" borderId="0" xfId="36" applyFont="1" applyFill="1"/>
    <xf numFmtId="165" fontId="16" fillId="0" borderId="0" xfId="0" applyNumberFormat="1" applyFont="1"/>
    <xf numFmtId="165" fontId="16" fillId="0" borderId="0" xfId="38" applyNumberFormat="1" applyFont="1" applyFill="1" applyBorder="1"/>
    <xf numFmtId="0" fontId="16" fillId="0" borderId="0" xfId="0" applyFont="1" applyAlignment="1">
      <alignment wrapText="1"/>
    </xf>
    <xf numFmtId="183" fontId="36" fillId="0" borderId="10" xfId="0" applyNumberFormat="1" applyFont="1" applyBorder="1"/>
    <xf numFmtId="184" fontId="47" fillId="0" borderId="0" xfId="0" applyNumberFormat="1" applyFont="1" applyAlignment="1">
      <alignment horizontal="center"/>
    </xf>
    <xf numFmtId="0" fontId="48" fillId="10" borderId="0" xfId="20" applyFont="1" applyFill="1"/>
    <xf numFmtId="0" fontId="49" fillId="10" borderId="0" xfId="0" applyFont="1" applyFill="1"/>
    <xf numFmtId="165" fontId="49" fillId="10" borderId="0" xfId="24" applyNumberFormat="1" applyFont="1" applyFill="1" applyBorder="1"/>
    <xf numFmtId="0" fontId="49" fillId="10" borderId="0" xfId="0" applyFont="1" applyFill="1" applyAlignment="1">
      <alignment horizontal="center"/>
    </xf>
    <xf numFmtId="0" fontId="14" fillId="11" borderId="6" xfId="20" applyFont="1" applyFill="1" applyBorder="1" applyAlignment="1">
      <alignment vertical="center"/>
    </xf>
    <xf numFmtId="0" fontId="16" fillId="11" borderId="6" xfId="0" applyFont="1" applyFill="1" applyBorder="1"/>
    <xf numFmtId="0" fontId="17" fillId="11" borderId="6" xfId="0" applyFont="1" applyFill="1" applyBorder="1" applyAlignment="1">
      <alignment horizontal="center"/>
    </xf>
    <xf numFmtId="0" fontId="11" fillId="0" borderId="6" xfId="0" applyFont="1" applyBorder="1" applyAlignment="1">
      <alignment horizontal="right"/>
    </xf>
    <xf numFmtId="0" fontId="11" fillId="0" borderId="6" xfId="0" applyFont="1" applyBorder="1"/>
    <xf numFmtId="9" fontId="11" fillId="0" borderId="6" xfId="38" applyFont="1" applyFill="1" applyBorder="1" applyAlignment="1">
      <alignment horizontal="center"/>
    </xf>
    <xf numFmtId="10" fontId="11" fillId="0" borderId="6" xfId="38" applyNumberFormat="1" applyFont="1" applyBorder="1"/>
    <xf numFmtId="0" fontId="15" fillId="0" borderId="6" xfId="0" applyFont="1" applyBorder="1" applyAlignment="1">
      <alignment vertical="center"/>
    </xf>
    <xf numFmtId="165" fontId="11" fillId="0" borderId="0" xfId="25" applyNumberFormat="1" applyFont="1" applyAlignment="1">
      <alignment horizontal="center"/>
    </xf>
    <xf numFmtId="165" fontId="11" fillId="0" borderId="0" xfId="25" applyNumberFormat="1" applyFont="1" applyFill="1" applyAlignment="1">
      <alignment horizontal="center"/>
    </xf>
    <xf numFmtId="9" fontId="11" fillId="0" borderId="0" xfId="0" applyNumberFormat="1" applyFont="1"/>
    <xf numFmtId="185" fontId="32" fillId="0" borderId="0" xfId="0" applyNumberFormat="1" applyFont="1"/>
    <xf numFmtId="185" fontId="32" fillId="0" borderId="6" xfId="0" applyNumberFormat="1" applyFont="1" applyBorder="1"/>
    <xf numFmtId="3" fontId="16" fillId="7" borderId="0" xfId="0" applyNumberFormat="1" applyFont="1" applyFill="1"/>
    <xf numFmtId="175" fontId="16" fillId="0" borderId="0" xfId="0" applyNumberFormat="1" applyFont="1"/>
    <xf numFmtId="9" fontId="26" fillId="0" borderId="0" xfId="0" applyNumberFormat="1" applyFont="1"/>
    <xf numFmtId="185" fontId="32" fillId="12" borderId="0" xfId="0" applyNumberFormat="1" applyFont="1" applyFill="1"/>
    <xf numFmtId="174" fontId="13" fillId="0" borderId="0" xfId="1" applyNumberFormat="1" applyFont="1" applyAlignment="1">
      <alignment horizontal="center"/>
    </xf>
    <xf numFmtId="0" fontId="0" fillId="0" borderId="6" xfId="0" applyBorder="1" applyAlignment="1">
      <alignment horizontal="right"/>
    </xf>
    <xf numFmtId="165" fontId="15" fillId="0" borderId="0" xfId="0" applyNumberFormat="1" applyFont="1"/>
    <xf numFmtId="165" fontId="0" fillId="0" borderId="0" xfId="38" applyNumberFormat="1" applyFont="1"/>
    <xf numFmtId="165" fontId="23" fillId="0" borderId="0" xfId="38" applyNumberFormat="1" applyFont="1" applyFill="1"/>
    <xf numFmtId="165" fontId="15" fillId="0" borderId="0" xfId="38" applyNumberFormat="1" applyFont="1"/>
    <xf numFmtId="10" fontId="15" fillId="0" borderId="0" xfId="38" applyNumberFormat="1" applyFont="1" applyAlignment="1">
      <alignment vertical="center"/>
    </xf>
    <xf numFmtId="0" fontId="24" fillId="0" borderId="0" xfId="0" applyFont="1" applyAlignment="1">
      <alignment horizontal="center" vertical="center"/>
    </xf>
    <xf numFmtId="173" fontId="11" fillId="0" borderId="0" xfId="36" applyNumberFormat="1" applyFont="1" applyFill="1"/>
    <xf numFmtId="10" fontId="11" fillId="0" borderId="0" xfId="0" applyNumberFormat="1" applyFont="1"/>
    <xf numFmtId="186" fontId="11" fillId="0" borderId="0" xfId="0" applyNumberFormat="1" applyFont="1"/>
    <xf numFmtId="9" fontId="32" fillId="0" borderId="0" xfId="38" applyFont="1" applyFill="1"/>
    <xf numFmtId="7" fontId="0" fillId="0" borderId="0" xfId="0" applyNumberFormat="1"/>
    <xf numFmtId="165" fontId="15" fillId="0" borderId="0" xfId="38" applyNumberFormat="1" applyFont="1" applyAlignment="1">
      <alignment vertical="center"/>
    </xf>
    <xf numFmtId="173" fontId="11" fillId="7" borderId="0" xfId="3" applyNumberFormat="1" applyFont="1" applyFill="1"/>
    <xf numFmtId="41" fontId="23" fillId="0" borderId="0" xfId="38" applyNumberFormat="1" applyFont="1" applyFill="1"/>
    <xf numFmtId="0" fontId="36" fillId="0" borderId="32" xfId="0" applyFont="1" applyBorder="1"/>
    <xf numFmtId="0" fontId="36" fillId="0" borderId="10" xfId="0" applyFont="1" applyBorder="1"/>
    <xf numFmtId="9" fontId="11" fillId="0" borderId="0" xfId="38" applyFont="1" applyAlignment="1">
      <alignment horizontal="center"/>
    </xf>
    <xf numFmtId="9" fontId="16" fillId="0" borderId="0" xfId="38" applyFont="1" applyAlignment="1">
      <alignment horizontal="center"/>
    </xf>
    <xf numFmtId="10" fontId="32" fillId="0" borderId="0" xfId="38" applyNumberFormat="1" applyFont="1" applyFill="1"/>
    <xf numFmtId="43" fontId="16" fillId="0" borderId="0" xfId="36" applyFont="1"/>
    <xf numFmtId="43" fontId="16" fillId="0" borderId="0" xfId="38" applyNumberFormat="1" applyFont="1"/>
    <xf numFmtId="186" fontId="15" fillId="0" borderId="0" xfId="38" applyNumberFormat="1" applyFont="1" applyAlignment="1">
      <alignment vertical="center"/>
    </xf>
    <xf numFmtId="186" fontId="16" fillId="0" borderId="0" xfId="38" applyNumberFormat="1" applyFont="1"/>
    <xf numFmtId="1" fontId="15" fillId="0" borderId="0" xfId="0" applyNumberFormat="1" applyFont="1" applyAlignment="1">
      <alignment vertical="center"/>
    </xf>
    <xf numFmtId="43" fontId="14" fillId="0" borderId="0" xfId="0" applyNumberFormat="1" applyFont="1"/>
    <xf numFmtId="0" fontId="51" fillId="0" borderId="15" xfId="0" applyFont="1" applyBorder="1"/>
    <xf numFmtId="0" fontId="52" fillId="0" borderId="0" xfId="0" applyFont="1" applyAlignment="1">
      <alignment horizontal="left" indent="2"/>
    </xf>
    <xf numFmtId="0" fontId="49" fillId="0" borderId="0" xfId="0" applyFont="1" applyAlignment="1">
      <alignment horizontal="center"/>
    </xf>
    <xf numFmtId="176" fontId="27" fillId="7" borderId="4" xfId="0" applyNumberFormat="1" applyFont="1" applyFill="1" applyBorder="1" applyAlignment="1">
      <alignment wrapText="1"/>
    </xf>
    <xf numFmtId="44" fontId="17" fillId="0" borderId="0" xfId="6" applyFont="1"/>
    <xf numFmtId="10" fontId="26" fillId="9" borderId="0" xfId="38" applyNumberFormat="1" applyFont="1" applyFill="1"/>
    <xf numFmtId="185" fontId="26" fillId="9" borderId="0" xfId="0" applyNumberFormat="1" applyFont="1" applyFill="1"/>
    <xf numFmtId="9" fontId="26" fillId="9" borderId="0" xfId="38" applyFont="1" applyFill="1"/>
    <xf numFmtId="49" fontId="40" fillId="0" borderId="0" xfId="39" applyNumberFormat="1" applyFont="1" applyFill="1" applyBorder="1" applyAlignment="1">
      <alignment horizontal="center" vertical="center"/>
    </xf>
    <xf numFmtId="4" fontId="13" fillId="0" borderId="21" xfId="1" applyNumberFormat="1" applyFont="1" applyBorder="1" applyAlignment="1">
      <alignment horizontal="center"/>
    </xf>
    <xf numFmtId="0" fontId="0" fillId="0" borderId="6" xfId="0" applyBorder="1" applyAlignment="1">
      <alignment horizontal="center"/>
    </xf>
    <xf numFmtId="173" fontId="36" fillId="0" borderId="10" xfId="0" applyNumberFormat="1" applyFont="1" applyBorder="1"/>
    <xf numFmtId="41" fontId="36" fillId="0" borderId="0" xfId="0" applyNumberFormat="1" applyFont="1"/>
    <xf numFmtId="3" fontId="36" fillId="0" borderId="0" xfId="0" applyNumberFormat="1" applyFont="1"/>
    <xf numFmtId="41" fontId="23" fillId="0" borderId="0" xfId="0" applyNumberFormat="1" applyFont="1"/>
    <xf numFmtId="0" fontId="36" fillId="0" borderId="0" xfId="0" applyFont="1" applyAlignment="1">
      <alignment wrapText="1"/>
    </xf>
    <xf numFmtId="164" fontId="23" fillId="0" borderId="0" xfId="0" applyNumberFormat="1" applyFont="1"/>
    <xf numFmtId="37" fontId="23" fillId="0" borderId="0" xfId="0" applyNumberFormat="1" applyFont="1"/>
    <xf numFmtId="173" fontId="23" fillId="0" borderId="0" xfId="0" applyNumberFormat="1" applyFont="1"/>
    <xf numFmtId="0" fontId="37" fillId="0" borderId="0" xfId="0" applyFont="1"/>
    <xf numFmtId="3" fontId="37" fillId="0" borderId="0" xfId="0" applyNumberFormat="1" applyFont="1"/>
    <xf numFmtId="3" fontId="23" fillId="0" borderId="0" xfId="0" applyNumberFormat="1" applyFont="1"/>
    <xf numFmtId="3" fontId="37" fillId="0" borderId="0" xfId="0" quotePrefix="1" applyNumberFormat="1" applyFont="1" applyAlignment="1">
      <alignment horizontal="right"/>
    </xf>
    <xf numFmtId="0" fontId="37" fillId="0" borderId="1" xfId="0" applyFont="1" applyBorder="1" applyAlignment="1">
      <alignment vertical="center"/>
    </xf>
    <xf numFmtId="0" fontId="23" fillId="0" borderId="1" xfId="0" applyFont="1" applyBorder="1" applyAlignment="1">
      <alignment vertical="center"/>
    </xf>
    <xf numFmtId="0" fontId="23" fillId="0" borderId="1" xfId="0" applyFont="1" applyBorder="1" applyAlignment="1">
      <alignment horizontal="centerContinuous" vertical="center"/>
    </xf>
    <xf numFmtId="0" fontId="23" fillId="0" borderId="0" xfId="0" applyFont="1" applyAlignment="1">
      <alignment vertical="center"/>
    </xf>
    <xf numFmtId="0" fontId="23" fillId="0" borderId="1" xfId="0" applyFont="1" applyBorder="1"/>
    <xf numFmtId="0" fontId="23" fillId="0" borderId="1" xfId="0" applyFont="1" applyBorder="1" applyAlignment="1">
      <alignment wrapText="1"/>
    </xf>
    <xf numFmtId="0" fontId="37" fillId="0" borderId="1" xfId="0" applyFont="1" applyBorder="1" applyAlignment="1">
      <alignment horizontal="center" wrapText="1"/>
    </xf>
    <xf numFmtId="0" fontId="23" fillId="0" borderId="0" xfId="0" applyFont="1" applyAlignment="1">
      <alignment horizontal="center" wrapText="1"/>
    </xf>
    <xf numFmtId="0" fontId="37" fillId="0" borderId="0" xfId="0" applyFont="1" applyAlignment="1">
      <alignment horizontal="left"/>
    </xf>
    <xf numFmtId="0" fontId="37" fillId="0" borderId="6" xfId="0" applyFont="1" applyBorder="1" applyAlignment="1">
      <alignment horizontal="center"/>
    </xf>
    <xf numFmtId="0" fontId="23" fillId="0" borderId="0" xfId="0" applyFont="1" applyAlignment="1">
      <alignment horizontal="left"/>
    </xf>
    <xf numFmtId="0" fontId="23" fillId="0" borderId="0" xfId="0" applyFont="1" applyAlignment="1">
      <alignment horizontal="left" wrapText="1"/>
    </xf>
    <xf numFmtId="43" fontId="23" fillId="0" borderId="0" xfId="0" applyNumberFormat="1" applyFont="1"/>
    <xf numFmtId="0" fontId="1" fillId="0" borderId="0" xfId="0" applyFont="1"/>
    <xf numFmtId="0" fontId="23" fillId="0" borderId="0" xfId="37" applyFont="1"/>
    <xf numFmtId="0" fontId="23" fillId="0" borderId="0" xfId="0" applyFont="1" applyAlignment="1">
      <alignment wrapText="1"/>
    </xf>
    <xf numFmtId="41" fontId="23" fillId="0" borderId="0" xfId="0" applyNumberFormat="1" applyFont="1" applyAlignment="1">
      <alignment horizontal="right"/>
    </xf>
    <xf numFmtId="180" fontId="23" fillId="0" borderId="0" xfId="0" applyNumberFormat="1" applyFont="1"/>
    <xf numFmtId="37" fontId="37" fillId="0" borderId="0" xfId="0" applyNumberFormat="1" applyFont="1"/>
    <xf numFmtId="3" fontId="37" fillId="0" borderId="24" xfId="0" applyNumberFormat="1" applyFont="1" applyBorder="1"/>
    <xf numFmtId="41" fontId="37" fillId="0" borderId="24" xfId="0" applyNumberFormat="1" applyFont="1" applyBorder="1"/>
    <xf numFmtId="41" fontId="37" fillId="0" borderId="0" xfId="0" applyNumberFormat="1" applyFont="1"/>
    <xf numFmtId="166" fontId="23" fillId="0" borderId="0" xfId="0" applyNumberFormat="1" applyFont="1"/>
    <xf numFmtId="0" fontId="37" fillId="0" borderId="0" xfId="0" applyFont="1" applyAlignment="1">
      <alignment horizontal="right"/>
    </xf>
    <xf numFmtId="0" fontId="37" fillId="0" borderId="15" xfId="0" applyFont="1" applyBorder="1" applyAlignment="1">
      <alignment horizontal="center" vertical="center"/>
    </xf>
    <xf numFmtId="0" fontId="23" fillId="0" borderId="1" xfId="0" applyFont="1" applyBorder="1" applyAlignment="1">
      <alignment horizontal="center" vertical="center"/>
    </xf>
    <xf numFmtId="41" fontId="23" fillId="0" borderId="1" xfId="0" applyNumberFormat="1" applyFont="1" applyBorder="1" applyAlignment="1">
      <alignment horizontal="center" vertical="center"/>
    </xf>
    <xf numFmtId="173" fontId="23" fillId="0" borderId="1" xfId="0" applyNumberFormat="1" applyFont="1" applyBorder="1" applyAlignment="1">
      <alignment horizontal="center" vertical="center"/>
    </xf>
    <xf numFmtId="0" fontId="23" fillId="0" borderId="6" xfId="0" applyFont="1" applyBorder="1"/>
    <xf numFmtId="0" fontId="23" fillId="0" borderId="6" xfId="0" applyFont="1" applyBorder="1" applyAlignment="1">
      <alignment wrapText="1"/>
    </xf>
    <xf numFmtId="0" fontId="23" fillId="0" borderId="6" xfId="0" applyFont="1" applyBorder="1" applyAlignment="1">
      <alignment horizontal="center" vertical="center"/>
    </xf>
    <xf numFmtId="41" fontId="23" fillId="0" borderId="0" xfId="0" applyNumberFormat="1" applyFont="1" applyAlignment="1">
      <alignment wrapText="1"/>
    </xf>
    <xf numFmtId="37" fontId="37" fillId="0" borderId="24" xfId="0" applyNumberFormat="1" applyFont="1" applyBorder="1"/>
    <xf numFmtId="41" fontId="23" fillId="0" borderId="0" xfId="0" applyNumberFormat="1" applyFont="1" applyAlignment="1">
      <alignment horizontal="center" wrapText="1"/>
    </xf>
    <xf numFmtId="0" fontId="37" fillId="0" borderId="1" xfId="0" applyFont="1" applyBorder="1" applyAlignment="1">
      <alignment horizontal="center" vertical="center"/>
    </xf>
    <xf numFmtId="173" fontId="23" fillId="0" borderId="29" xfId="0" applyNumberFormat="1" applyFont="1" applyBorder="1"/>
    <xf numFmtId="173" fontId="23" fillId="0" borderId="29" xfId="0" applyNumberFormat="1" applyFont="1" applyBorder="1" applyAlignment="1">
      <alignment wrapText="1"/>
    </xf>
    <xf numFmtId="37" fontId="23" fillId="0" borderId="29" xfId="0" applyNumberFormat="1" applyFont="1" applyBorder="1"/>
    <xf numFmtId="0" fontId="23" fillId="0" borderId="29" xfId="0" applyFont="1" applyBorder="1"/>
    <xf numFmtId="0" fontId="46" fillId="0" borderId="0" xfId="0" applyFont="1"/>
    <xf numFmtId="17" fontId="46" fillId="0" borderId="0" xfId="0" quotePrefix="1" applyNumberFormat="1" applyFont="1"/>
    <xf numFmtId="0" fontId="46" fillId="0" borderId="0" xfId="0" applyFont="1" applyAlignment="1">
      <alignment wrapText="1"/>
    </xf>
    <xf numFmtId="41" fontId="46" fillId="0" borderId="0" xfId="0" applyNumberFormat="1" applyFont="1"/>
    <xf numFmtId="41" fontId="46" fillId="0" borderId="0" xfId="0" applyNumberFormat="1" applyFont="1" applyAlignment="1">
      <alignment horizontal="right"/>
    </xf>
    <xf numFmtId="17" fontId="23" fillId="0" borderId="0" xfId="0" quotePrefix="1" applyNumberFormat="1" applyFont="1"/>
    <xf numFmtId="17" fontId="23" fillId="0" borderId="0" xfId="0" quotePrefix="1" applyNumberFormat="1" applyFont="1" applyAlignment="1">
      <alignment horizontal="left"/>
    </xf>
    <xf numFmtId="41" fontId="23" fillId="0" borderId="6" xfId="0" applyNumberFormat="1" applyFont="1" applyBorder="1"/>
    <xf numFmtId="0" fontId="23" fillId="0" borderId="0" xfId="0" applyFont="1" applyAlignment="1">
      <alignment horizontal="right"/>
    </xf>
    <xf numFmtId="0" fontId="53" fillId="0" borderId="0" xfId="37" applyFont="1"/>
    <xf numFmtId="0" fontId="1" fillId="0" borderId="0" xfId="37"/>
    <xf numFmtId="0" fontId="54" fillId="0" borderId="0" xfId="0" applyFont="1" applyAlignment="1">
      <alignment horizontal="right"/>
    </xf>
    <xf numFmtId="173" fontId="54" fillId="0" borderId="0" xfId="36" applyNumberFormat="1" applyFont="1" applyFill="1"/>
    <xf numFmtId="0" fontId="13" fillId="0" borderId="11" xfId="1" applyFont="1" applyBorder="1" applyAlignment="1">
      <alignment horizontal="right"/>
    </xf>
    <xf numFmtId="0" fontId="13" fillId="0" borderId="12" xfId="1" applyFont="1" applyBorder="1" applyAlignment="1">
      <alignment horizontal="right"/>
    </xf>
    <xf numFmtId="0" fontId="13" fillId="0" borderId="25" xfId="1" applyFont="1" applyBorder="1" applyAlignment="1">
      <alignment horizontal="right"/>
    </xf>
    <xf numFmtId="0" fontId="13" fillId="0" borderId="26" xfId="1" applyFont="1" applyBorder="1" applyAlignment="1">
      <alignment horizontal="right"/>
    </xf>
    <xf numFmtId="0" fontId="13" fillId="0" borderId="13" xfId="1" applyFont="1" applyBorder="1" applyAlignment="1">
      <alignment horizontal="right"/>
    </xf>
    <xf numFmtId="0" fontId="13" fillId="0" borderId="9" xfId="1" applyFont="1" applyBorder="1" applyAlignment="1">
      <alignment horizontal="right"/>
    </xf>
    <xf numFmtId="0" fontId="13" fillId="0" borderId="0" xfId="1" applyFont="1" applyAlignment="1">
      <alignment horizontal="right"/>
    </xf>
    <xf numFmtId="0" fontId="13" fillId="0" borderId="10" xfId="1" applyFont="1" applyBorder="1" applyAlignment="1">
      <alignment horizontal="right"/>
    </xf>
    <xf numFmtId="0" fontId="12" fillId="0" borderId="17" xfId="1" applyFont="1" applyBorder="1" applyAlignment="1">
      <alignment horizontal="center"/>
    </xf>
    <xf numFmtId="0" fontId="12" fillId="0" borderId="18" xfId="1" applyFont="1" applyBorder="1" applyAlignment="1">
      <alignment horizontal="center"/>
    </xf>
    <xf numFmtId="0" fontId="12" fillId="0" borderId="19" xfId="1" applyFont="1" applyBorder="1" applyAlignment="1">
      <alignment horizontal="center"/>
    </xf>
    <xf numFmtId="0" fontId="13" fillId="0" borderId="14" xfId="1" applyFont="1" applyBorder="1" applyAlignment="1">
      <alignment horizontal="right"/>
    </xf>
    <xf numFmtId="0" fontId="13" fillId="0" borderId="4" xfId="1" applyFont="1" applyBorder="1" applyAlignment="1">
      <alignment horizontal="right"/>
    </xf>
    <xf numFmtId="0" fontId="13" fillId="0" borderId="28" xfId="1" applyFont="1" applyBorder="1" applyAlignment="1">
      <alignment horizontal="center"/>
    </xf>
    <xf numFmtId="0" fontId="13" fillId="0" borderId="16" xfId="1" applyFont="1" applyBorder="1" applyAlignment="1">
      <alignment horizontal="center"/>
    </xf>
    <xf numFmtId="0" fontId="0" fillId="0" borderId="0" xfId="0" applyAlignment="1">
      <alignment horizontal="left" wrapText="1"/>
    </xf>
    <xf numFmtId="0" fontId="36" fillId="0" borderId="0" xfId="0" applyFont="1" applyAlignment="1">
      <alignment horizontal="left" wrapText="1"/>
    </xf>
    <xf numFmtId="0" fontId="15" fillId="0" borderId="0" xfId="0" applyFont="1" applyAlignment="1">
      <alignment vertical="center"/>
    </xf>
    <xf numFmtId="0" fontId="11" fillId="0" borderId="15" xfId="0" applyFont="1" applyBorder="1" applyAlignment="1">
      <alignment horizontal="center"/>
    </xf>
    <xf numFmtId="0" fontId="11" fillId="0" borderId="1" xfId="0" applyFont="1" applyBorder="1" applyAlignment="1">
      <alignment horizontal="center"/>
    </xf>
    <xf numFmtId="0" fontId="11" fillId="0" borderId="16" xfId="0" applyFont="1" applyBorder="1" applyAlignment="1">
      <alignment horizontal="center"/>
    </xf>
    <xf numFmtId="0" fontId="11" fillId="0" borderId="4" xfId="0" applyFont="1" applyBorder="1" applyAlignment="1">
      <alignment horizontal="center"/>
    </xf>
    <xf numFmtId="0" fontId="24" fillId="0" borderId="0" xfId="0" applyFont="1" applyAlignment="1">
      <alignment horizontal="center" wrapText="1"/>
    </xf>
    <xf numFmtId="0" fontId="11" fillId="0" borderId="6" xfId="0" applyFont="1" applyBorder="1" applyAlignment="1">
      <alignment horizontal="center" wrapText="1"/>
    </xf>
    <xf numFmtId="0" fontId="12" fillId="0" borderId="0" xfId="1" applyFont="1" applyAlignment="1">
      <alignment horizontal="center"/>
    </xf>
    <xf numFmtId="0" fontId="11" fillId="0" borderId="6" xfId="0" applyFont="1" applyBorder="1" applyAlignment="1">
      <alignment horizontal="center"/>
    </xf>
    <xf numFmtId="0" fontId="11" fillId="0" borderId="31" xfId="0" applyFont="1" applyBorder="1" applyAlignment="1">
      <alignment horizontal="center"/>
    </xf>
    <xf numFmtId="0" fontId="16" fillId="0" borderId="0" xfId="0" applyFont="1" applyAlignment="1">
      <alignment horizontal="center"/>
    </xf>
    <xf numFmtId="17" fontId="16" fillId="0" borderId="0" xfId="6" applyNumberFormat="1" applyFont="1" applyFill="1" applyBorder="1" applyAlignment="1">
      <alignment horizontal="center"/>
    </xf>
    <xf numFmtId="17" fontId="16" fillId="0" borderId="0" xfId="6" quotePrefix="1" applyNumberFormat="1" applyFont="1" applyFill="1" applyBorder="1" applyAlignment="1">
      <alignment horizontal="center"/>
    </xf>
    <xf numFmtId="17" fontId="16" fillId="0" borderId="0" xfId="6" applyNumberFormat="1" applyFont="1" applyBorder="1" applyAlignment="1">
      <alignment horizontal="center"/>
    </xf>
    <xf numFmtId="0" fontId="16" fillId="0" borderId="31" xfId="0" applyFont="1" applyBorder="1" applyAlignment="1">
      <alignment horizontal="center"/>
    </xf>
    <xf numFmtId="0" fontId="16" fillId="0" borderId="6"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17" fontId="16" fillId="0" borderId="0" xfId="6" quotePrefix="1" applyNumberFormat="1" applyFont="1" applyBorder="1" applyAlignment="1">
      <alignment horizontal="center"/>
    </xf>
    <xf numFmtId="0" fontId="12" fillId="0" borderId="0" xfId="1" applyFont="1" applyAlignment="1">
      <alignment horizontal="right"/>
    </xf>
    <xf numFmtId="0" fontId="29" fillId="0" borderId="6" xfId="0" applyFont="1" applyBorder="1" applyAlignment="1">
      <alignment horizontal="center"/>
    </xf>
    <xf numFmtId="0" fontId="18" fillId="0" borderId="0" xfId="20" applyFont="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0" fontId="17" fillId="0" borderId="38" xfId="0" applyFont="1" applyBorder="1" applyAlignment="1">
      <alignment horizontal="center"/>
    </xf>
    <xf numFmtId="0" fontId="17" fillId="0" borderId="39" xfId="0" applyFont="1" applyBorder="1" applyAlignment="1">
      <alignment horizontal="center"/>
    </xf>
    <xf numFmtId="0" fontId="17" fillId="0" borderId="40" xfId="0" applyFont="1" applyBorder="1" applyAlignment="1">
      <alignment horizontal="center"/>
    </xf>
    <xf numFmtId="0" fontId="16" fillId="0" borderId="30" xfId="0" applyFont="1" applyBorder="1" applyAlignment="1">
      <alignment horizontal="center"/>
    </xf>
    <xf numFmtId="0" fontId="11" fillId="0" borderId="42" xfId="0" applyFont="1" applyBorder="1" applyAlignment="1">
      <alignment horizontal="center"/>
    </xf>
  </cellXfs>
  <cellStyles count="40">
    <cellStyle name="Actual Date" xfId="2" xr:uid="{00000000-0005-0000-0000-000000000000}"/>
    <cellStyle name="Comma" xfId="36" builtinId="3"/>
    <cellStyle name="Comma 2" xfId="3" xr:uid="{00000000-0005-0000-0000-000002000000}"/>
    <cellStyle name="Comma0" xfId="4" xr:uid="{00000000-0005-0000-0000-000003000000}"/>
    <cellStyle name="Currency 2" xfId="6" xr:uid="{00000000-0005-0000-0000-000004000000}"/>
    <cellStyle name="Currency 3" xfId="5" xr:uid="{00000000-0005-0000-0000-000005000000}"/>
    <cellStyle name="Currency0" xfId="7" xr:uid="{00000000-0005-0000-0000-000006000000}"/>
    <cellStyle name="Date" xfId="8" xr:uid="{00000000-0005-0000-0000-000007000000}"/>
    <cellStyle name="Fixed" xfId="9" xr:uid="{00000000-0005-0000-0000-000008000000}"/>
    <cellStyle name="Grey" xfId="10" xr:uid="{00000000-0005-0000-0000-000009000000}"/>
    <cellStyle name="HEADER" xfId="11" xr:uid="{00000000-0005-0000-0000-00000A000000}"/>
    <cellStyle name="Heading 1 2" xfId="12" xr:uid="{00000000-0005-0000-0000-00000B000000}"/>
    <cellStyle name="Heading 2 2" xfId="13" xr:uid="{00000000-0005-0000-0000-00000C000000}"/>
    <cellStyle name="Heading1" xfId="14" xr:uid="{00000000-0005-0000-0000-00000D000000}"/>
    <cellStyle name="Heading2" xfId="15" xr:uid="{00000000-0005-0000-0000-00000E000000}"/>
    <cellStyle name="HIGHLIGHT" xfId="16" xr:uid="{00000000-0005-0000-0000-00000F000000}"/>
    <cellStyle name="Hyperlink" xfId="39" builtinId="8"/>
    <cellStyle name="Input [yellow]" xfId="17" xr:uid="{00000000-0005-0000-0000-000010000000}"/>
    <cellStyle name="no dec" xfId="18" xr:uid="{00000000-0005-0000-0000-000011000000}"/>
    <cellStyle name="Normal" xfId="0" builtinId="0"/>
    <cellStyle name="Normal - Style1" xfId="19" xr:uid="{00000000-0005-0000-0000-000013000000}"/>
    <cellStyle name="Normal 10" xfId="37" xr:uid="{00000000-0005-0000-0000-000014000000}"/>
    <cellStyle name="Normal 2" xfId="1" xr:uid="{00000000-0005-0000-0000-000015000000}"/>
    <cellStyle name="Normal 2 2" xfId="20" xr:uid="{00000000-0005-0000-0000-000016000000}"/>
    <cellStyle name="Normal 3" xfId="21" xr:uid="{00000000-0005-0000-0000-000017000000}"/>
    <cellStyle name="Normal 3 2" xfId="31" xr:uid="{00000000-0005-0000-0000-000018000000}"/>
    <cellStyle name="Normal 9" xfId="32" xr:uid="{00000000-0005-0000-0000-000019000000}"/>
    <cellStyle name="Normal_Effective Rates (1-6-2003)" xfId="34" xr:uid="{00000000-0005-0000-0000-00001A000000}"/>
    <cellStyle name="Normal_SDGE Tiered ratesmud" xfId="35" xr:uid="{00000000-0005-0000-0000-00001B000000}"/>
    <cellStyle name="Percent" xfId="38" builtinId="5"/>
    <cellStyle name="Percent [2]" xfId="23" xr:uid="{00000000-0005-0000-0000-00001D000000}"/>
    <cellStyle name="Percent 2" xfId="24" xr:uid="{00000000-0005-0000-0000-00001E000000}"/>
    <cellStyle name="Percent 3" xfId="25" xr:uid="{00000000-0005-0000-0000-00001F000000}"/>
    <cellStyle name="Percent 4" xfId="33" xr:uid="{00000000-0005-0000-0000-000020000000}"/>
    <cellStyle name="Percent 5" xfId="22" xr:uid="{00000000-0005-0000-0000-000021000000}"/>
    <cellStyle name="Total 2" xfId="26" xr:uid="{00000000-0005-0000-0000-000022000000}"/>
    <cellStyle name="Unprot" xfId="27" xr:uid="{00000000-0005-0000-0000-000023000000}"/>
    <cellStyle name="Unprot$" xfId="28" xr:uid="{00000000-0005-0000-0000-000024000000}"/>
    <cellStyle name="Unprot_07-2008 CSI Update v1.5 - FINAL" xfId="29" xr:uid="{00000000-0005-0000-0000-000025000000}"/>
    <cellStyle name="Unprotect" xfId="30" xr:uid="{00000000-0005-0000-0000-000026000000}"/>
  </cellStyles>
  <dxfs count="0"/>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disonintl.sharepoint.com/:b:/r/teams/Public/TM2/Shared%20Documents/Public/Regulatory/Filings-Advice%20Letters/Pending/Electric/ELECTRIC_5307-E.pdf?csf=1&amp;web=1&amp;e=lWjIno" TargetMode="External"/><Relationship Id="rId2" Type="http://schemas.openxmlformats.org/officeDocument/2006/relationships/hyperlink" Target="https://edisonintl.sharepoint.com/:b:/r/teams/Public/TM2/Shared%20Documents/Public/Regulatory/Filings-Advice%20Letters/Pending/Electric/ELECTRIC_5235-E.pdf?csf=1&amp;web=1&amp;e=huycZN" TargetMode="External"/><Relationship Id="rId1" Type="http://schemas.openxmlformats.org/officeDocument/2006/relationships/hyperlink" Target="https://edisonintl.sharepoint.com/Public/TM2/Shared%20Documents/Forms/AllItems.aspx?ga=1&amp;sortField=LinkFilename&amp;isAscending=false&amp;id=%2Fteams%2FPublic%2FTM2%2FShared%20Documents%2FPublic%2FRegulatory%2FFilings%2DAdvice%20Letters%2FApproved%2FElectric%2FELECTRIC%5F5178%2DE%2Epdf&amp;viewid=c9868ae1%2Df1cd%2D43b6%2Da712%2Dd734ff79e266&amp;parent=%2Fteams%2FPublic%2FTM2%2FShared%20Documents%2FPublic%2FRegulatory%2FFilings%2DAdvice%20Letters%2FApproved%2FElectric"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29"/>
  <sheetViews>
    <sheetView view="pageBreakPreview" zoomScale="60" zoomScaleNormal="80" workbookViewId="0">
      <selection activeCell="D3" sqref="D3"/>
    </sheetView>
  </sheetViews>
  <sheetFormatPr defaultColWidth="8.7109375" defaultRowHeight="15" x14ac:dyDescent="0.25"/>
  <cols>
    <col min="1" max="1" width="5.5703125" style="38" customWidth="1"/>
    <col min="2" max="2" width="55.5703125" style="38" customWidth="1"/>
    <col min="3" max="3" width="28.5703125" style="38" customWidth="1"/>
    <col min="4" max="4" width="21" style="38" customWidth="1"/>
    <col min="5" max="5" width="23.5703125" style="38" customWidth="1"/>
    <col min="6" max="6" width="21.5703125" style="38" customWidth="1"/>
    <col min="7" max="7" width="13.42578125" style="38" customWidth="1"/>
    <col min="8" max="9" width="14" style="38" customWidth="1"/>
    <col min="10" max="10" width="14.7109375" style="38" customWidth="1"/>
    <col min="11" max="11" width="13" style="38" customWidth="1"/>
    <col min="12" max="12" width="16.7109375" style="38" customWidth="1"/>
    <col min="13" max="13" width="15" style="38" customWidth="1"/>
    <col min="14" max="14" width="18" style="38" customWidth="1"/>
    <col min="15" max="15" width="16.7109375" style="38" customWidth="1"/>
    <col min="16" max="16" width="27.5703125" style="38" customWidth="1"/>
    <col min="17" max="17" width="13.42578125" style="38" customWidth="1"/>
    <col min="18" max="18" width="15.7109375" style="38" customWidth="1"/>
    <col min="19" max="19" width="13.7109375" style="38" customWidth="1"/>
    <col min="20" max="24" width="15.5703125" style="38" customWidth="1"/>
    <col min="25" max="16384" width="8.7109375" style="38"/>
  </cols>
  <sheetData>
    <row r="1" spans="2:21" x14ac:dyDescent="0.25">
      <c r="B1" s="6"/>
    </row>
    <row r="2" spans="2:21" x14ac:dyDescent="0.25">
      <c r="B2" s="1" t="s">
        <v>0</v>
      </c>
      <c r="G2" s="207"/>
      <c r="L2" s="1" t="s">
        <v>1</v>
      </c>
      <c r="M2" s="2"/>
      <c r="N2" s="38" t="s">
        <v>2</v>
      </c>
    </row>
    <row r="3" spans="2:21" x14ac:dyDescent="0.25">
      <c r="B3" s="2"/>
      <c r="C3" s="4" t="s">
        <v>3</v>
      </c>
      <c r="D3" s="140">
        <v>2026</v>
      </c>
      <c r="E3" s="2"/>
      <c r="I3" s="43" t="s">
        <v>4</v>
      </c>
      <c r="J3" s="140" t="s">
        <v>22</v>
      </c>
      <c r="L3" s="2" t="s">
        <v>6</v>
      </c>
      <c r="M3" s="18"/>
      <c r="N3" s="347">
        <v>46174</v>
      </c>
    </row>
    <row r="4" spans="2:21" x14ac:dyDescent="0.25">
      <c r="B4" s="19"/>
      <c r="C4" s="95" t="s">
        <v>7</v>
      </c>
      <c r="D4" s="140" t="s">
        <v>8</v>
      </c>
      <c r="I4" s="43" t="s">
        <v>9</v>
      </c>
      <c r="J4" s="140">
        <v>500</v>
      </c>
      <c r="L4" s="2" t="s">
        <v>10</v>
      </c>
      <c r="M4" s="18"/>
      <c r="N4" s="140">
        <f>D3</f>
        <v>2026</v>
      </c>
    </row>
    <row r="5" spans="2:21" x14ac:dyDescent="0.25">
      <c r="C5" s="43"/>
      <c r="L5" s="19" t="s">
        <v>11</v>
      </c>
      <c r="N5" s="20" t="s">
        <v>12</v>
      </c>
      <c r="O5" s="97"/>
      <c r="P5" s="75"/>
      <c r="S5" s="38" t="s">
        <v>13</v>
      </c>
    </row>
    <row r="6" spans="2:21" x14ac:dyDescent="0.25">
      <c r="L6" s="19" t="s">
        <v>14</v>
      </c>
      <c r="P6" s="96">
        <f>IF($D$4="All",SUMPRODUCT('Res Bill Impact'!P$22:P$30,'Res Bill Impact'!$T$22:$T$30),VLOOKUP(D$4,'Res Bill Impact'!$O$22:$S$30,2,FALSE))</f>
        <v>662.71460214187891</v>
      </c>
      <c r="Q6" s="19" t="s">
        <v>15</v>
      </c>
      <c r="R6" s="43" t="s">
        <v>16</v>
      </c>
      <c r="S6" s="42">
        <f>(P6*4)+(P7*8)</f>
        <v>6180.96915616968</v>
      </c>
      <c r="U6" s="99"/>
    </row>
    <row r="7" spans="2:21" x14ac:dyDescent="0.25">
      <c r="B7" s="348" t="s">
        <v>17</v>
      </c>
      <c r="C7" s="348"/>
      <c r="D7" s="349" t="s">
        <v>18</v>
      </c>
      <c r="E7" s="349" t="s">
        <v>19</v>
      </c>
      <c r="L7" s="19" t="s">
        <v>20</v>
      </c>
      <c r="P7" s="42">
        <f>IF($D$4="All",SUMPRODUCT('Res Bill Impact'!Q$22:Q$30,'Res Bill Impact'!$T$22:$T$30),VLOOKUP(D$4,'Res Bill Impact'!$O$22:$S$30,3,FALSE))</f>
        <v>441.26384345027054</v>
      </c>
      <c r="Q7" s="19" t="s">
        <v>15</v>
      </c>
      <c r="R7" s="43"/>
      <c r="S7" s="166"/>
    </row>
    <row r="8" spans="2:21" x14ac:dyDescent="0.25">
      <c r="B8" s="38" t="s">
        <v>21</v>
      </c>
      <c r="D8" s="99" t="s">
        <v>22</v>
      </c>
      <c r="E8" s="99">
        <v>2027</v>
      </c>
      <c r="F8" s="351"/>
      <c r="G8" s="291"/>
      <c r="L8" s="19" t="s">
        <v>23</v>
      </c>
      <c r="P8" s="42">
        <f>IF($D$4="All",SUMPRODUCT('Res Bill Impact'!R$22:R$30,'Res Bill Impact'!$U$22:$U$30),VLOOKUP(D$4,'Res Bill Impact'!$O$22:$S$30,4,FALSE))</f>
        <v>642.80365726071057</v>
      </c>
      <c r="Q8" s="19" t="s">
        <v>15</v>
      </c>
      <c r="R8" s="43" t="s">
        <v>24</v>
      </c>
      <c r="S8" s="42">
        <f>(P8*4)+(P10*8)</f>
        <v>5959.8215436089495</v>
      </c>
      <c r="U8" s="352"/>
    </row>
    <row r="9" spans="2:21" x14ac:dyDescent="0.25">
      <c r="B9" s="350" t="s">
        <v>25</v>
      </c>
      <c r="C9" s="351"/>
      <c r="D9" s="99" t="s">
        <v>22</v>
      </c>
      <c r="E9" s="353">
        <v>2027</v>
      </c>
      <c r="F9" s="351"/>
      <c r="G9" s="291"/>
      <c r="L9" s="19"/>
      <c r="P9" s="42"/>
      <c r="Q9" s="19"/>
      <c r="R9" s="43"/>
      <c r="S9" s="166"/>
      <c r="U9" s="352"/>
    </row>
    <row r="10" spans="2:21" x14ac:dyDescent="0.25">
      <c r="B10" s="350" t="s">
        <v>26</v>
      </c>
      <c r="C10" s="19"/>
      <c r="D10" s="99" t="s">
        <v>22</v>
      </c>
      <c r="E10" s="353">
        <v>2028</v>
      </c>
      <c r="F10" s="354"/>
      <c r="G10" s="291"/>
      <c r="L10" s="19" t="s">
        <v>27</v>
      </c>
      <c r="P10" s="42">
        <f>IF($D$4="All",SUMPRODUCT('Res Bill Impact'!S$22:S$30,'Res Bill Impact'!$U$22:$U$30),VLOOKUP(D$4,'Res Bill Impact'!$O$22:$S$30,5,FALSE))</f>
        <v>423.5758643207634</v>
      </c>
      <c r="Q10" s="19" t="s">
        <v>15</v>
      </c>
      <c r="U10" s="352"/>
    </row>
    <row r="11" spans="2:21" x14ac:dyDescent="0.25">
      <c r="B11" s="19" t="s">
        <v>28</v>
      </c>
      <c r="C11" s="19"/>
      <c r="D11" s="99" t="s">
        <v>22</v>
      </c>
      <c r="E11" s="353">
        <v>2027</v>
      </c>
      <c r="G11" s="291"/>
      <c r="L11" s="19" t="s">
        <v>29</v>
      </c>
      <c r="P11" s="96">
        <f>IF($D$4="All",SUMPRODUCT('Res Bill Impact'!I$22:I$30,'Res Bill Impact'!$T$22:$T$30),VLOOKUP(D$4,'Res Bill Impact'!$H$22:$L$30,2,FALSE))</f>
        <v>514.04729999999995</v>
      </c>
      <c r="Q11" s="19" t="s">
        <v>15</v>
      </c>
      <c r="R11" s="43" t="s">
        <v>30</v>
      </c>
      <c r="S11" s="42">
        <f>(P11*4)+(P12*8)</f>
        <v>4976.2212</v>
      </c>
      <c r="U11" s="352"/>
    </row>
    <row r="12" spans="2:21" x14ac:dyDescent="0.25">
      <c r="B12" s="38" t="s">
        <v>31</v>
      </c>
      <c r="D12" s="99" t="s">
        <v>22</v>
      </c>
      <c r="E12" s="99" t="s">
        <v>32</v>
      </c>
      <c r="G12" s="291"/>
      <c r="L12" s="19" t="s">
        <v>33</v>
      </c>
      <c r="P12" s="42">
        <f>IF($D$4="All",SUMPRODUCT('Res Bill Impact'!J$22:J$30,'Res Bill Impact'!$T$22:$T$30),VLOOKUP(D$4,'Res Bill Impact'!$H$22:$L$30,3,FALSE))</f>
        <v>365.00400000000002</v>
      </c>
      <c r="Q12" s="19" t="s">
        <v>15</v>
      </c>
      <c r="R12" s="43"/>
      <c r="S12" s="166"/>
      <c r="U12" s="352"/>
    </row>
    <row r="13" spans="2:21" x14ac:dyDescent="0.25">
      <c r="B13" s="19" t="s">
        <v>34</v>
      </c>
      <c r="C13" s="19"/>
      <c r="D13" s="99" t="s">
        <v>22</v>
      </c>
      <c r="E13" s="353">
        <v>2027</v>
      </c>
      <c r="G13" s="291"/>
      <c r="L13" s="19" t="s">
        <v>35</v>
      </c>
      <c r="P13" s="42">
        <f>IF($D$4="All",SUMPRODUCT('Res Bill Impact'!K$22:K$30,'Res Bill Impact'!$T$22:$T$30),VLOOKUP(D$4,'Res Bill Impact'!$H$22:$L$30,4,FALSE))</f>
        <v>380.21250000000003</v>
      </c>
      <c r="Q13" s="19" t="s">
        <v>15</v>
      </c>
      <c r="R13" s="43" t="s">
        <v>36</v>
      </c>
      <c r="S13" s="42">
        <f>(P13*4)+(P15*8)</f>
        <v>4903.2204000000002</v>
      </c>
      <c r="U13" s="352"/>
    </row>
    <row r="14" spans="2:21" x14ac:dyDescent="0.25">
      <c r="B14" s="38" t="s">
        <v>37</v>
      </c>
      <c r="D14" s="99" t="s">
        <v>22</v>
      </c>
      <c r="E14" s="99">
        <v>2027</v>
      </c>
      <c r="G14" s="291"/>
      <c r="L14" s="19"/>
      <c r="P14" s="42"/>
      <c r="Q14" s="19"/>
      <c r="R14" s="43"/>
      <c r="S14" s="166"/>
      <c r="U14" s="352"/>
    </row>
    <row r="15" spans="2:21" x14ac:dyDescent="0.25">
      <c r="B15" s="38" t="s">
        <v>38</v>
      </c>
      <c r="D15" s="99" t="s">
        <v>22</v>
      </c>
      <c r="E15" s="99">
        <v>2027</v>
      </c>
      <c r="G15" s="291"/>
      <c r="L15" s="19" t="s">
        <v>39</v>
      </c>
      <c r="P15" s="42">
        <f>IF($D$4="All",SUMPRODUCT('Res Bill Impact'!L$22:L$30,'Res Bill Impact'!$T$22:$T$30),VLOOKUP(D$4,'Res Bill Impact'!$H$22:$L$30,5,FALSE))</f>
        <v>422.79630000000003</v>
      </c>
      <c r="Q15" s="19" t="s">
        <v>15</v>
      </c>
      <c r="U15" s="352"/>
    </row>
    <row r="16" spans="2:21" x14ac:dyDescent="0.25">
      <c r="B16" s="38" t="s">
        <v>40</v>
      </c>
      <c r="D16" s="99" t="s">
        <v>22</v>
      </c>
      <c r="E16" s="99">
        <v>2027</v>
      </c>
      <c r="G16" s="291"/>
      <c r="L16" s="19" t="s">
        <v>41</v>
      </c>
      <c r="P16" s="43"/>
      <c r="R16" s="39">
        <v>2025</v>
      </c>
      <c r="U16" s="352"/>
    </row>
    <row r="17" spans="1:21" x14ac:dyDescent="0.25">
      <c r="B17" s="38" t="s">
        <v>42</v>
      </c>
      <c r="D17" s="99" t="s">
        <v>22</v>
      </c>
      <c r="E17" s="99" t="s">
        <v>43</v>
      </c>
      <c r="G17" s="291"/>
      <c r="L17" s="19" t="s">
        <v>44</v>
      </c>
      <c r="N17" s="39">
        <v>4</v>
      </c>
      <c r="O17" s="19" t="s">
        <v>45</v>
      </c>
      <c r="P17" s="19"/>
      <c r="R17" s="19"/>
      <c r="U17" s="352"/>
    </row>
    <row r="18" spans="1:21" x14ac:dyDescent="0.25">
      <c r="B18" s="38" t="s">
        <v>46</v>
      </c>
      <c r="D18" s="99" t="s">
        <v>22</v>
      </c>
      <c r="E18" s="99" t="s">
        <v>43</v>
      </c>
      <c r="G18" s="291"/>
      <c r="L18" s="19" t="s">
        <v>47</v>
      </c>
      <c r="N18" s="39">
        <v>8</v>
      </c>
      <c r="O18" s="19" t="s">
        <v>45</v>
      </c>
      <c r="U18" s="352"/>
    </row>
    <row r="19" spans="1:21" x14ac:dyDescent="0.25">
      <c r="B19" s="38" t="s">
        <v>48</v>
      </c>
      <c r="D19" s="99" t="s">
        <v>22</v>
      </c>
      <c r="E19" s="99" t="s">
        <v>43</v>
      </c>
      <c r="G19" s="291"/>
      <c r="L19" s="38" t="s">
        <v>49</v>
      </c>
      <c r="M19" s="19"/>
      <c r="N19" s="250">
        <v>-36</v>
      </c>
      <c r="O19" s="156"/>
      <c r="S19" s="352"/>
      <c r="U19" s="271"/>
    </row>
    <row r="20" spans="1:21" x14ac:dyDescent="0.25">
      <c r="B20" s="38" t="s">
        <v>50</v>
      </c>
      <c r="D20" s="99" t="s">
        <v>22</v>
      </c>
      <c r="E20" s="99">
        <v>2027</v>
      </c>
      <c r="G20" s="291"/>
      <c r="M20" s="19"/>
      <c r="N20" s="156"/>
      <c r="O20" s="156"/>
      <c r="S20" s="352"/>
      <c r="U20" s="271"/>
    </row>
    <row r="21" spans="1:21" x14ac:dyDescent="0.25">
      <c r="B21" s="38" t="s">
        <v>51</v>
      </c>
      <c r="D21" s="99" t="s">
        <v>22</v>
      </c>
      <c r="E21" s="99">
        <v>2027</v>
      </c>
      <c r="G21" s="291"/>
      <c r="M21" s="19"/>
      <c r="N21" s="156"/>
      <c r="O21" s="156"/>
      <c r="S21" s="352"/>
      <c r="U21" s="271"/>
    </row>
    <row r="22" spans="1:21" x14ac:dyDescent="0.25">
      <c r="G22" s="291"/>
      <c r="M22" s="19"/>
      <c r="O22" s="156"/>
      <c r="S22" s="352"/>
      <c r="U22" s="271"/>
    </row>
    <row r="23" spans="1:21" x14ac:dyDescent="0.25">
      <c r="G23" s="291"/>
      <c r="M23" s="19"/>
      <c r="O23" s="156"/>
      <c r="S23" s="352"/>
      <c r="U23" s="271"/>
    </row>
    <row r="24" spans="1:21" x14ac:dyDescent="0.25">
      <c r="A24" s="43"/>
      <c r="B24" s="19"/>
      <c r="D24" s="99"/>
      <c r="E24" s="353"/>
      <c r="G24" s="291"/>
      <c r="M24" s="19"/>
      <c r="O24" s="156"/>
      <c r="S24" s="352"/>
      <c r="U24" s="271"/>
    </row>
    <row r="25" spans="1:21" x14ac:dyDescent="0.25">
      <c r="D25" s="99"/>
      <c r="E25" s="353"/>
      <c r="F25" s="117"/>
      <c r="G25" s="291"/>
      <c r="M25" s="19"/>
      <c r="S25" s="352"/>
      <c r="U25" s="271"/>
    </row>
    <row r="26" spans="1:21" x14ac:dyDescent="0.25">
      <c r="G26" s="291"/>
      <c r="M26" s="19"/>
      <c r="S26" s="352"/>
      <c r="U26" s="271"/>
    </row>
    <row r="27" spans="1:21" x14ac:dyDescent="0.25">
      <c r="G27" s="291"/>
    </row>
    <row r="28" spans="1:21" x14ac:dyDescent="0.25">
      <c r="G28" s="291"/>
      <c r="J28" s="19"/>
    </row>
    <row r="29" spans="1:21" x14ac:dyDescent="0.25">
      <c r="B29" s="1" t="s">
        <v>52</v>
      </c>
      <c r="E29" s="351"/>
      <c r="K29" s="154"/>
    </row>
    <row r="30" spans="1:21" ht="15.75" thickBot="1" x14ac:dyDescent="0.3">
      <c r="D30" s="119" t="s">
        <v>53</v>
      </c>
      <c r="E30" s="119" t="s">
        <v>54</v>
      </c>
      <c r="F30" s="119" t="s">
        <v>55</v>
      </c>
      <c r="G30" s="119" t="s">
        <v>56</v>
      </c>
      <c r="H30" s="119" t="s">
        <v>57</v>
      </c>
      <c r="I30" s="119" t="s">
        <v>58</v>
      </c>
      <c r="J30" s="119" t="s">
        <v>59</v>
      </c>
      <c r="K30" s="154"/>
      <c r="N30" s="119" t="s">
        <v>53</v>
      </c>
      <c r="O30" s="119" t="s">
        <v>54</v>
      </c>
      <c r="P30" s="119" t="s">
        <v>55</v>
      </c>
      <c r="Q30" s="119" t="s">
        <v>56</v>
      </c>
      <c r="R30" s="119" t="s">
        <v>57</v>
      </c>
      <c r="S30" s="119" t="s">
        <v>58</v>
      </c>
      <c r="T30" s="119" t="s">
        <v>59</v>
      </c>
    </row>
    <row r="31" spans="1:21" x14ac:dyDescent="0.25">
      <c r="B31" s="355" t="s">
        <v>60</v>
      </c>
      <c r="C31" s="287"/>
      <c r="D31" s="287"/>
      <c r="E31" s="287"/>
      <c r="F31" s="287"/>
      <c r="G31" s="287"/>
      <c r="H31" s="287"/>
      <c r="I31" s="287"/>
      <c r="J31" s="288"/>
      <c r="K31" s="154"/>
      <c r="L31" s="497" t="s">
        <v>61</v>
      </c>
      <c r="M31" s="498"/>
      <c r="N31" s="498"/>
      <c r="O31" s="498"/>
      <c r="P31" s="498"/>
      <c r="Q31" s="498"/>
      <c r="R31" s="498"/>
      <c r="S31" s="498"/>
      <c r="T31" s="499"/>
    </row>
    <row r="32" spans="1:21" ht="30" x14ac:dyDescent="0.25">
      <c r="B32" s="500" t="s">
        <v>62</v>
      </c>
      <c r="C32" s="501"/>
      <c r="D32" s="212">
        <v>46023</v>
      </c>
      <c r="E32" s="212">
        <v>46174</v>
      </c>
      <c r="F32" s="8" t="str">
        <f>$D$3&amp;" Authorized"</f>
        <v>2026 Authorized</v>
      </c>
      <c r="G32" s="8" t="str">
        <f>$D$3&amp;" w/Pending"</f>
        <v>2026 w/Pending</v>
      </c>
      <c r="H32" s="8" t="str">
        <f>"% Change over "&amp;MONTH(D32)&amp;"/"&amp;DAY(D32)&amp;"/"&amp;YEAR(D32)</f>
        <v>% Change over 1/1/2026</v>
      </c>
      <c r="I32" s="8" t="str">
        <f>"% Change over "&amp;MONTH(E32)&amp;"/"&amp;DAY(E32)&amp;"/"&amp;YEAR(E32)</f>
        <v>% Change over 6/1/2026</v>
      </c>
      <c r="J32" s="356" t="s">
        <v>63</v>
      </c>
      <c r="K32" s="154"/>
      <c r="L32" s="502" t="s">
        <v>62</v>
      </c>
      <c r="M32" s="503"/>
      <c r="N32" s="111">
        <f>$D$32</f>
        <v>46023</v>
      </c>
      <c r="O32" s="111">
        <f>$E$32</f>
        <v>46174</v>
      </c>
      <c r="P32" s="8" t="str">
        <f>$D$3&amp;" Authorized"</f>
        <v>2026 Authorized</v>
      </c>
      <c r="Q32" s="8" t="str">
        <f>$D$3&amp;" w/Pending"</f>
        <v>2026 w/Pending</v>
      </c>
      <c r="R32" s="8" t="str">
        <f>$H$32</f>
        <v>% Change over 1/1/2026</v>
      </c>
      <c r="S32" s="8" t="str">
        <f>$I$32</f>
        <v>% Change over 6/1/2026</v>
      </c>
      <c r="T32" s="356" t="s">
        <v>63</v>
      </c>
    </row>
    <row r="33" spans="2:20" x14ac:dyDescent="0.25">
      <c r="B33" s="493" t="s">
        <v>64</v>
      </c>
      <c r="C33" s="494"/>
      <c r="D33" s="76">
        <f>IF(J3="Y",'SAR and RAR'!W28,'SAR and RAR'!X28)</f>
        <v>33.190146727107717</v>
      </c>
      <c r="E33" s="76">
        <f>'SAR and RAR'!G28</f>
        <v>33.160020131115076</v>
      </c>
      <c r="F33" s="76">
        <f>'SAR and RAR'!H28</f>
        <v>32.257709951273078</v>
      </c>
      <c r="G33" s="76">
        <f>'SAR and RAR'!I28</f>
        <v>32.264644032053084</v>
      </c>
      <c r="H33" s="77">
        <f t="shared" ref="H33:H35" si="0">$G33/D33-1</f>
        <v>-2.7884863018660222E-2</v>
      </c>
      <c r="I33" s="77">
        <f>$G33/E33-1</f>
        <v>-2.7001675376603029E-2</v>
      </c>
      <c r="J33" s="357">
        <f t="shared" ref="J33" si="1">$G33/F33-1</f>
        <v>2.1495886690292565E-4</v>
      </c>
      <c r="K33" s="154"/>
      <c r="L33" s="493" t="s">
        <v>65</v>
      </c>
      <c r="M33" s="494"/>
      <c r="N33" s="76">
        <f>IF(J3="Y",'SAR and RAR'!Z28,'SAR and RAR'!AA28)</f>
        <v>30.775644761399516</v>
      </c>
      <c r="O33" s="76">
        <f>'SAR and RAR'!O28</f>
        <v>30.767019365343749</v>
      </c>
      <c r="P33" s="76">
        <f>'SAR and RAR'!P28</f>
        <v>30.027367488506911</v>
      </c>
      <c r="Q33" s="76">
        <f>'SAR and RAR'!Q28</f>
        <v>30.034461027075775</v>
      </c>
      <c r="R33" s="77">
        <f t="shared" ref="R33:T35" si="2">$Q33/N33-1</f>
        <v>-2.4083451055861294E-2</v>
      </c>
      <c r="S33" s="77">
        <f t="shared" si="2"/>
        <v>-2.3809857223060615E-2</v>
      </c>
      <c r="T33" s="357">
        <f t="shared" si="2"/>
        <v>2.3623577962927911E-4</v>
      </c>
    </row>
    <row r="34" spans="2:20" x14ac:dyDescent="0.25">
      <c r="B34" s="232"/>
      <c r="C34" s="233" t="s">
        <v>66</v>
      </c>
      <c r="D34" s="234">
        <f>IF(J3="Y",'SAR and AR (GS1)'!W28,'SAR and AR (GS1)'!X28)</f>
        <v>29.944566051443232</v>
      </c>
      <c r="E34" s="234">
        <f>'SAR and AR (GS1)'!G28</f>
        <v>29.876347407336496</v>
      </c>
      <c r="F34" s="234">
        <f>'SAR and AR (GS1)'!H28</f>
        <v>29.323540602572113</v>
      </c>
      <c r="G34" s="234">
        <f>'SAR and AR (GS1)'!I28</f>
        <v>29.328865240115171</v>
      </c>
      <c r="H34" s="77">
        <f t="shared" si="0"/>
        <v>-2.0561353611547317E-2</v>
      </c>
      <c r="I34" s="77">
        <f>$G34/E34-1</f>
        <v>-1.8324936437406847E-2</v>
      </c>
      <c r="J34" s="357">
        <f t="shared" ref="J34" si="3">$G34/F34-1</f>
        <v>1.8158235443754833E-4</v>
      </c>
      <c r="K34" s="154"/>
      <c r="L34" s="232"/>
      <c r="M34" s="233" t="s">
        <v>67</v>
      </c>
      <c r="N34" s="234">
        <f>IF(J3="Y",'SAR and AR (GS1)'!Z28,'SAR and AR (GS1)'!AA28)</f>
        <v>26.579949054382084</v>
      </c>
      <c r="O34" s="234">
        <f>'SAR and AR (GS1)'!O28</f>
        <v>26.511841227663655</v>
      </c>
      <c r="P34" s="234">
        <f>'SAR and AR (GS1)'!P28</f>
        <v>25.932737643160397</v>
      </c>
      <c r="Q34" s="234">
        <f>'SAR and AR (GS1)'!Q28</f>
        <v>25.938044331464479</v>
      </c>
      <c r="R34" s="77">
        <f t="shared" ref="R34" si="4">$Q34/N34-1</f>
        <v>-2.4149960618971789E-2</v>
      </c>
      <c r="S34" s="77">
        <f t="shared" ref="S34" si="5">$Q34/O34-1</f>
        <v>-2.1643042113591582E-2</v>
      </c>
      <c r="T34" s="357">
        <f t="shared" ref="T34" si="6">$Q34/P34-1</f>
        <v>2.0463278413185293E-4</v>
      </c>
    </row>
    <row r="35" spans="2:20" ht="15.75" thickBot="1" x14ac:dyDescent="0.3">
      <c r="B35" s="489" t="s">
        <v>68</v>
      </c>
      <c r="C35" s="490"/>
      <c r="D35" s="423">
        <f>IF(J3="Y",'SAR and RAR'!W29,'SAR and RAR'!X29)</f>
        <v>28.271050151011046</v>
      </c>
      <c r="E35" s="79">
        <f>'SAR and RAR'!G29</f>
        <v>28.240685784565855</v>
      </c>
      <c r="F35" s="79">
        <f>'SAR and RAR'!H29</f>
        <v>27.539809700558443</v>
      </c>
      <c r="G35" s="79">
        <f>'SAR and RAR'!I29</f>
        <v>27.545183728433049</v>
      </c>
      <c r="H35" s="80">
        <f t="shared" si="0"/>
        <v>-2.5675255029464772E-2</v>
      </c>
      <c r="I35" s="80">
        <f>$G35/E35-1</f>
        <v>-2.462766171609454E-2</v>
      </c>
      <c r="J35" s="358">
        <f>$G35/F35-1</f>
        <v>1.9513671056681225E-4</v>
      </c>
      <c r="K35" s="154"/>
      <c r="L35" s="489" t="s">
        <v>69</v>
      </c>
      <c r="M35" s="490"/>
      <c r="N35" s="79">
        <f>IF(J3="Y",'SAR and RAR'!Z29,'SAR and RAR'!AA29)</f>
        <v>24.643420454890382</v>
      </c>
      <c r="O35" s="79">
        <f>'SAR and RAR'!O29</f>
        <v>24.611669415409594</v>
      </c>
      <c r="P35" s="79">
        <f>'SAR and RAR'!P29</f>
        <v>24.158366194079381</v>
      </c>
      <c r="Q35" s="79">
        <f>'SAR and RAR'!Q29</f>
        <v>24.163633126226799</v>
      </c>
      <c r="R35" s="80">
        <f t="shared" si="2"/>
        <v>-1.946918568150191E-2</v>
      </c>
      <c r="S35" s="80">
        <f t="shared" si="2"/>
        <v>-1.8204221811230603E-2</v>
      </c>
      <c r="T35" s="358">
        <f t="shared" si="2"/>
        <v>2.1801690168543608E-4</v>
      </c>
    </row>
    <row r="36" spans="2:20" x14ac:dyDescent="0.25">
      <c r="G36" s="292"/>
      <c r="L36" s="156"/>
      <c r="M36" s="156"/>
      <c r="N36" s="156"/>
      <c r="O36" s="156"/>
      <c r="P36" s="156"/>
      <c r="Q36" s="156"/>
      <c r="R36" s="156"/>
    </row>
    <row r="37" spans="2:20" ht="15.75" thickBot="1" x14ac:dyDescent="0.3">
      <c r="G37" s="292"/>
      <c r="L37" s="156"/>
      <c r="M37" s="156"/>
      <c r="N37" s="156"/>
      <c r="O37" s="156"/>
      <c r="P37" s="156"/>
      <c r="Q37" s="156"/>
      <c r="R37" s="156"/>
    </row>
    <row r="38" spans="2:20" x14ac:dyDescent="0.25">
      <c r="B38" s="359" t="s">
        <v>70</v>
      </c>
      <c r="C38" s="289"/>
      <c r="D38" s="289"/>
      <c r="E38" s="289"/>
      <c r="F38" s="289"/>
      <c r="G38" s="293"/>
      <c r="H38" s="289"/>
      <c r="I38" s="289"/>
      <c r="J38" s="290"/>
      <c r="L38" s="156"/>
      <c r="M38" s="156"/>
      <c r="N38" s="156"/>
      <c r="O38" s="156"/>
      <c r="P38" s="156"/>
      <c r="Q38" s="156"/>
      <c r="R38" s="156"/>
    </row>
    <row r="39" spans="2:20" ht="30" x14ac:dyDescent="0.25">
      <c r="B39" s="196"/>
      <c r="C39" s="81"/>
      <c r="D39" s="111">
        <f>$D$32</f>
        <v>46023</v>
      </c>
      <c r="E39" s="111">
        <f>$E$32</f>
        <v>46174</v>
      </c>
      <c r="F39" s="8" t="str">
        <f>$D$3&amp;" Authorized"</f>
        <v>2026 Authorized</v>
      </c>
      <c r="G39" s="8" t="str">
        <f>$D$3&amp;" w/Pending"</f>
        <v>2026 w/Pending</v>
      </c>
      <c r="H39" s="8" t="str">
        <f>$H$32</f>
        <v>% Change over 1/1/2026</v>
      </c>
      <c r="I39" s="8" t="str">
        <f>$I$32</f>
        <v>% Change over 6/1/2026</v>
      </c>
      <c r="J39" s="356" t="s">
        <v>63</v>
      </c>
      <c r="M39" s="156"/>
      <c r="N39" s="156"/>
      <c r="O39" s="156"/>
      <c r="P39" s="156"/>
      <c r="Q39" s="156"/>
      <c r="R39" s="156"/>
    </row>
    <row r="40" spans="2:20" x14ac:dyDescent="0.25">
      <c r="B40" s="491" t="s">
        <v>16</v>
      </c>
      <c r="C40" s="492"/>
      <c r="D40" s="82">
        <f t="shared" ref="D40:G42" si="7">((D46*4)+(D52*8))/12</f>
        <v>187.26221869889318</v>
      </c>
      <c r="E40" s="82">
        <f>((E46*4)+(E52*8))/12</f>
        <v>187.10380966794779</v>
      </c>
      <c r="F40" s="83">
        <f t="shared" si="7"/>
        <v>181.42422815846066</v>
      </c>
      <c r="G40" s="83">
        <f t="shared" si="7"/>
        <v>181.46231036741995</v>
      </c>
      <c r="H40" s="84">
        <f t="shared" ref="H40:I42" si="8">$G40/D40-1</f>
        <v>-3.0972122256006984E-2</v>
      </c>
      <c r="I40" s="118">
        <f t="shared" si="8"/>
        <v>-3.0151707282389251E-2</v>
      </c>
      <c r="J40" s="235">
        <f t="shared" ref="J40:J41" si="9">$G40/F40-1</f>
        <v>2.0990696416811616E-4</v>
      </c>
      <c r="L40" s="156"/>
      <c r="M40" s="156"/>
      <c r="N40" s="156"/>
      <c r="O40" s="156"/>
      <c r="P40" s="156"/>
      <c r="Q40" s="156"/>
      <c r="R40" s="156"/>
    </row>
    <row r="41" spans="2:20" x14ac:dyDescent="0.25">
      <c r="B41" s="491" t="s">
        <v>24</v>
      </c>
      <c r="C41" s="492"/>
      <c r="D41" s="82">
        <f t="shared" si="7"/>
        <v>105.1805198753104</v>
      </c>
      <c r="E41" s="82">
        <f>((E47*4)+(E53*8))/12</f>
        <v>105.04709118148521</v>
      </c>
      <c r="F41" s="83">
        <f t="shared" si="7"/>
        <v>101.51547319851375</v>
      </c>
      <c r="G41" s="83">
        <f t="shared" si="7"/>
        <v>101.53915307946397</v>
      </c>
      <c r="H41" s="84">
        <f t="shared" si="8"/>
        <v>-3.4620163507113277E-2</v>
      </c>
      <c r="I41" s="84">
        <f t="shared" si="8"/>
        <v>-3.3393957534347485E-2</v>
      </c>
      <c r="J41" s="235">
        <f t="shared" si="9"/>
        <v>2.3326375974153102E-4</v>
      </c>
      <c r="L41" s="156"/>
      <c r="M41" s="156"/>
      <c r="N41" s="156"/>
      <c r="O41" s="156"/>
      <c r="P41" s="156"/>
      <c r="Q41" s="156"/>
      <c r="R41" s="156"/>
    </row>
    <row r="42" spans="2:20" ht="15.75" thickBot="1" x14ac:dyDescent="0.3">
      <c r="B42" s="489" t="s">
        <v>71</v>
      </c>
      <c r="C42" s="490"/>
      <c r="D42" s="85">
        <f t="shared" si="7"/>
        <v>158.53362411063918</v>
      </c>
      <c r="E42" s="85">
        <f>((E48*4)+(E54*8))/12</f>
        <v>158.38395819768587</v>
      </c>
      <c r="F42" s="86">
        <f t="shared" si="7"/>
        <v>153.45616392247928</v>
      </c>
      <c r="G42" s="86">
        <f t="shared" si="7"/>
        <v>153.48920531663535</v>
      </c>
      <c r="H42" s="87">
        <f t="shared" si="8"/>
        <v>-3.1819235965257264E-2</v>
      </c>
      <c r="I42" s="87">
        <f t="shared" si="8"/>
        <v>-3.0904347490426809E-2</v>
      </c>
      <c r="J42" s="236">
        <f>$G42/F42-1</f>
        <v>2.1531487111037251E-4</v>
      </c>
      <c r="L42" s="156"/>
      <c r="M42" s="156"/>
      <c r="N42" s="156"/>
      <c r="O42" s="156"/>
      <c r="P42" s="156"/>
      <c r="Q42" s="156"/>
      <c r="R42" s="156"/>
    </row>
    <row r="43" spans="2:20" ht="15.75" thickBot="1" x14ac:dyDescent="0.3">
      <c r="L43" s="156"/>
      <c r="M43" s="156"/>
      <c r="N43" s="156"/>
      <c r="O43" s="156"/>
      <c r="P43" s="156"/>
      <c r="Q43" s="156"/>
      <c r="R43" s="156"/>
    </row>
    <row r="44" spans="2:20" x14ac:dyDescent="0.25">
      <c r="B44" s="359" t="s">
        <v>72</v>
      </c>
      <c r="C44" s="289"/>
      <c r="D44" s="289"/>
      <c r="E44" s="289"/>
      <c r="F44" s="289"/>
      <c r="G44" s="289"/>
      <c r="H44" s="289"/>
      <c r="I44" s="289"/>
      <c r="J44" s="290"/>
      <c r="L44" s="156"/>
      <c r="M44" s="156"/>
      <c r="N44" s="156"/>
      <c r="O44" s="156"/>
      <c r="P44" s="156"/>
      <c r="Q44" s="156"/>
      <c r="R44" s="156"/>
    </row>
    <row r="45" spans="2:20" ht="30" x14ac:dyDescent="0.25">
      <c r="B45" s="196"/>
      <c r="C45" s="81"/>
      <c r="D45" s="111">
        <f>$D$32</f>
        <v>46023</v>
      </c>
      <c r="E45" s="111">
        <f>$E$32</f>
        <v>46174</v>
      </c>
      <c r="F45" s="8" t="str">
        <f>$D$3&amp;" Authorized"</f>
        <v>2026 Authorized</v>
      </c>
      <c r="G45" s="8" t="str">
        <f>$D$3&amp;" w/Pending"</f>
        <v>2026 w/Pending</v>
      </c>
      <c r="H45" s="8" t="str">
        <f>$H$32</f>
        <v>% Change over 1/1/2026</v>
      </c>
      <c r="I45" s="8" t="str">
        <f>$I$32</f>
        <v>% Change over 6/1/2026</v>
      </c>
      <c r="J45" s="356" t="s">
        <v>63</v>
      </c>
      <c r="L45" s="156"/>
      <c r="M45" s="156"/>
      <c r="N45" s="156"/>
      <c r="O45" s="156"/>
      <c r="P45" s="156"/>
      <c r="Q45" s="156"/>
      <c r="R45" s="156"/>
    </row>
    <row r="46" spans="2:20" x14ac:dyDescent="0.25">
      <c r="B46" s="491" t="s">
        <v>16</v>
      </c>
      <c r="C46" s="492"/>
      <c r="D46" s="82">
        <f>VLOOKUP($D$4,'Res Bill Impact'!$B$37:$J$46,2,FALSE)+O19</f>
        <v>237.70427141352781</v>
      </c>
      <c r="E46" s="82">
        <f>VLOOKUP($D$4,'Res Bill Impact'!$B$37:$J$46,4,FALSE)</f>
        <v>237.49870412171387</v>
      </c>
      <c r="F46" s="82">
        <f>VLOOKUP($D$4,'Res Bill Impact'!$B$37:$J$46,6,FALSE)</f>
        <v>230.12503881929729</v>
      </c>
      <c r="G46" s="82">
        <f>VLOOKUP($D$4,'Res Bill Impact'!$B$37:$J$46,8,FALSE)</f>
        <v>230.17448004350953</v>
      </c>
      <c r="H46" s="84">
        <f t="shared" ref="H46:I48" si="10">$G46/D46-1</f>
        <v>-3.1677139519798114E-2</v>
      </c>
      <c r="I46" s="84">
        <f t="shared" si="10"/>
        <v>-3.0839006491803045E-2</v>
      </c>
      <c r="J46" s="235">
        <f t="shared" ref="J46:J47" si="11">$G46/F46-1</f>
        <v>2.1484504452851105E-4</v>
      </c>
      <c r="L46" s="156"/>
      <c r="M46" s="156"/>
      <c r="N46" s="156"/>
      <c r="O46" s="156"/>
      <c r="P46" s="156"/>
      <c r="Q46" s="156"/>
      <c r="R46" s="156"/>
    </row>
    <row r="47" spans="2:20" x14ac:dyDescent="0.25">
      <c r="B47" s="491" t="s">
        <v>24</v>
      </c>
      <c r="C47" s="492"/>
      <c r="D47" s="82">
        <f>VLOOKUP($D$4,'Res Bill Impact'!$B$52:$J$61,2,FALSE)</f>
        <v>137.67303589995294</v>
      </c>
      <c r="E47" s="82">
        <f>VLOOKUP($D$4,'Res Bill Impact'!$B$52:$J$61,4,FALSE)</f>
        <v>137.50803735063778</v>
      </c>
      <c r="F47" s="82">
        <f>VLOOKUP($D$4,'Res Bill Impact'!$B$52:$J$61,6,FALSE)</f>
        <v>132.88520639055076</v>
      </c>
      <c r="G47" s="82">
        <f>VLOOKUP($D$4,'Res Bill Impact'!$B$52:$J$61,8,FALSE)</f>
        <v>132.91620297266007</v>
      </c>
      <c r="H47" s="84">
        <f t="shared" si="10"/>
        <v>-3.4551667261479291E-2</v>
      </c>
      <c r="I47" s="84">
        <f t="shared" si="10"/>
        <v>-3.3393207164093108E-2</v>
      </c>
      <c r="J47" s="235">
        <f t="shared" si="11"/>
        <v>2.3325833590703837E-4</v>
      </c>
      <c r="P47" s="156"/>
      <c r="Q47" s="156"/>
      <c r="R47" s="156"/>
    </row>
    <row r="48" spans="2:20" ht="15.75" thickBot="1" x14ac:dyDescent="0.3">
      <c r="B48" s="489" t="s">
        <v>71</v>
      </c>
      <c r="C48" s="490"/>
      <c r="D48" s="85">
        <f>D46*0.65+D47*0.35</f>
        <v>202.69333898377658</v>
      </c>
      <c r="E48" s="85">
        <f>E46*0.65+E47*0.35</f>
        <v>202.50197075183726</v>
      </c>
      <c r="F48" s="85">
        <f>F46*0.65+F47*0.35</f>
        <v>196.09109746923602</v>
      </c>
      <c r="G48" s="85">
        <f>G46*0.65+G47*0.35</f>
        <v>196.13408306871224</v>
      </c>
      <c r="H48" s="87">
        <f t="shared" si="10"/>
        <v>-3.2360490719378521E-2</v>
      </c>
      <c r="I48" s="87">
        <f t="shared" si="10"/>
        <v>-3.1446052892634579E-2</v>
      </c>
      <c r="J48" s="236">
        <f>$G48/F48-1</f>
        <v>2.19212396845192E-4</v>
      </c>
      <c r="L48" s="156"/>
      <c r="M48" s="156"/>
      <c r="N48" s="156"/>
      <c r="O48" s="156"/>
      <c r="P48" s="156"/>
      <c r="Q48" s="156"/>
      <c r="R48" s="156"/>
    </row>
    <row r="49" spans="2:18" ht="15.75" thickBot="1" x14ac:dyDescent="0.3">
      <c r="L49" s="156"/>
      <c r="M49" s="156"/>
      <c r="N49" s="156"/>
      <c r="O49" s="156"/>
      <c r="P49" s="156"/>
      <c r="Q49" s="156"/>
      <c r="R49" s="156"/>
    </row>
    <row r="50" spans="2:18" x14ac:dyDescent="0.25">
      <c r="B50" s="359" t="s">
        <v>73</v>
      </c>
      <c r="C50" s="289"/>
      <c r="D50" s="289"/>
      <c r="E50" s="289"/>
      <c r="F50" s="289"/>
      <c r="G50" s="289"/>
      <c r="H50" s="289"/>
      <c r="I50" s="289"/>
      <c r="J50" s="290"/>
      <c r="L50" s="156"/>
      <c r="M50" s="156"/>
      <c r="N50" s="156"/>
      <c r="O50" s="156"/>
      <c r="P50" s="156"/>
      <c r="Q50" s="156"/>
      <c r="R50" s="156"/>
    </row>
    <row r="51" spans="2:18" ht="30" x14ac:dyDescent="0.25">
      <c r="B51" s="196"/>
      <c r="C51" s="81"/>
      <c r="D51" s="111">
        <f>$D$32</f>
        <v>46023</v>
      </c>
      <c r="E51" s="111">
        <f>$E$32</f>
        <v>46174</v>
      </c>
      <c r="F51" s="8" t="str">
        <f>$D$3&amp;" Authorized"</f>
        <v>2026 Authorized</v>
      </c>
      <c r="G51" s="8" t="str">
        <f>$D$3&amp;" w/Pending"</f>
        <v>2026 w/Pending</v>
      </c>
      <c r="H51" s="8" t="str">
        <f>$H$32</f>
        <v>% Change over 1/1/2026</v>
      </c>
      <c r="I51" s="8" t="str">
        <f>$I$32</f>
        <v>% Change over 6/1/2026</v>
      </c>
      <c r="J51" s="356" t="s">
        <v>63</v>
      </c>
      <c r="L51" s="156"/>
      <c r="M51" s="156"/>
      <c r="N51" s="156"/>
      <c r="O51" s="156"/>
      <c r="P51" s="156"/>
      <c r="Q51" s="156"/>
      <c r="R51" s="156"/>
    </row>
    <row r="52" spans="2:18" x14ac:dyDescent="0.25">
      <c r="B52" s="491" t="s">
        <v>16</v>
      </c>
      <c r="C52" s="492"/>
      <c r="D52" s="82">
        <f>VLOOKUP($D$4,'Res Bill Impact'!$B$37:$J$46,3,FALSE)</f>
        <v>162.04119234157585</v>
      </c>
      <c r="E52" s="82">
        <f>VLOOKUP($D$4,'Res Bill Impact'!$B$37:$J$46,5,FALSE)</f>
        <v>161.90636244106474</v>
      </c>
      <c r="F52" s="82">
        <f>VLOOKUP($D$4,'Res Bill Impact'!$B$37:$J$46,7,FALSE)</f>
        <v>157.07382282804238</v>
      </c>
      <c r="G52" s="82">
        <f>VLOOKUP($D$4,'Res Bill Impact'!$B$37:$J$46,9,FALSE)</f>
        <v>157.10622552937514</v>
      </c>
      <c r="H52" s="84">
        <f t="shared" ref="H52:I54" si="12">$G52/D52-1</f>
        <v>-3.04550141904536E-2</v>
      </c>
      <c r="I52" s="84">
        <f t="shared" si="12"/>
        <v>-2.964761136818761E-2</v>
      </c>
      <c r="J52" s="235">
        <f t="shared" ref="J52:J54" si="13">$G52/F52-1</f>
        <v>2.0628963343072293E-4</v>
      </c>
      <c r="L52" s="156"/>
      <c r="M52" s="156"/>
      <c r="N52" s="156"/>
      <c r="O52" s="156"/>
      <c r="P52" s="156"/>
      <c r="Q52" s="156"/>
      <c r="R52" s="156"/>
    </row>
    <row r="53" spans="2:18" x14ac:dyDescent="0.25">
      <c r="B53" s="491" t="s">
        <v>24</v>
      </c>
      <c r="C53" s="492"/>
      <c r="D53" s="82">
        <f>VLOOKUP($D$4,'Res Bill Impact'!$B$52:$J$61,3,FALSE)</f>
        <v>88.934261862989118</v>
      </c>
      <c r="E53" s="82">
        <f>VLOOKUP($D$4,'Res Bill Impact'!$B$52:$J$61,5,FALSE)</f>
        <v>88.816618096908925</v>
      </c>
      <c r="F53" s="82">
        <f>VLOOKUP($D$4,'Res Bill Impact'!$B$52:$J$61,7,FALSE)</f>
        <v>85.830606602495251</v>
      </c>
      <c r="G53" s="82">
        <f>VLOOKUP($D$4,'Res Bill Impact'!$B$52:$J$61,9,FALSE)</f>
        <v>85.850628132865936</v>
      </c>
      <c r="H53" s="84">
        <f t="shared" si="12"/>
        <v>-3.4673180678935434E-2</v>
      </c>
      <c r="I53" s="84">
        <f t="shared" si="12"/>
        <v>-3.339453840503992E-2</v>
      </c>
      <c r="J53" s="235">
        <f t="shared" si="13"/>
        <v>2.3326795840339365E-4</v>
      </c>
      <c r="L53" s="156"/>
      <c r="M53" s="156"/>
      <c r="N53" s="156"/>
      <c r="O53" s="156"/>
      <c r="P53" s="156"/>
      <c r="Q53" s="156"/>
      <c r="R53" s="156"/>
    </row>
    <row r="54" spans="2:18" ht="15.75" thickBot="1" x14ac:dyDescent="0.3">
      <c r="B54" s="489" t="s">
        <v>71</v>
      </c>
      <c r="C54" s="490"/>
      <c r="D54" s="85">
        <f>D52*0.65+D53*0.35</f>
        <v>136.45376667407049</v>
      </c>
      <c r="E54" s="85">
        <f>E52*0.65+E53*0.35</f>
        <v>136.3249519206102</v>
      </c>
      <c r="F54" s="85">
        <f>F52*0.65+F53*0.35</f>
        <v>132.13869714910089</v>
      </c>
      <c r="G54" s="85">
        <f>G52*0.65+G53*0.35</f>
        <v>132.16676644059692</v>
      </c>
      <c r="H54" s="87">
        <f t="shared" si="12"/>
        <v>-3.1417236313552088E-2</v>
      </c>
      <c r="I54" s="87">
        <f t="shared" si="12"/>
        <v>-3.0502013178297926E-2</v>
      </c>
      <c r="J54" s="236">
        <f t="shared" si="13"/>
        <v>2.1242294726397937E-4</v>
      </c>
      <c r="L54" s="156"/>
      <c r="M54" s="156"/>
      <c r="N54" s="156"/>
      <c r="O54" s="156"/>
      <c r="P54" s="156"/>
      <c r="Q54" s="156"/>
      <c r="R54" s="156"/>
    </row>
    <row r="55" spans="2:18" x14ac:dyDescent="0.25">
      <c r="L55" s="156"/>
      <c r="M55" s="156"/>
      <c r="N55" s="156"/>
      <c r="O55" s="156"/>
      <c r="P55" s="156"/>
      <c r="Q55" s="156"/>
      <c r="R55" s="156"/>
    </row>
    <row r="56" spans="2:18" ht="15.75" thickBot="1" x14ac:dyDescent="0.3">
      <c r="L56" s="156"/>
      <c r="M56" s="156"/>
      <c r="N56" s="156"/>
      <c r="O56" s="156"/>
      <c r="P56" s="156"/>
      <c r="Q56" s="156"/>
      <c r="R56" s="156"/>
    </row>
    <row r="57" spans="2:18" x14ac:dyDescent="0.25">
      <c r="B57" s="359" t="s">
        <v>70</v>
      </c>
      <c r="C57" s="289"/>
      <c r="D57" s="289"/>
      <c r="E57" s="289"/>
      <c r="F57" s="289"/>
      <c r="G57" s="289"/>
      <c r="H57" s="289"/>
      <c r="I57" s="289"/>
      <c r="J57" s="290"/>
      <c r="L57" s="156"/>
      <c r="M57" s="156"/>
      <c r="N57" s="156"/>
      <c r="O57" s="156"/>
      <c r="P57" s="156"/>
      <c r="Q57" s="156"/>
      <c r="R57" s="156"/>
    </row>
    <row r="58" spans="2:18" ht="30" x14ac:dyDescent="0.25">
      <c r="B58" s="196"/>
      <c r="C58" s="197"/>
      <c r="D58" s="111">
        <f>$D$32</f>
        <v>46023</v>
      </c>
      <c r="E58" s="111">
        <f>$E$32</f>
        <v>46174</v>
      </c>
      <c r="F58" s="8" t="str">
        <f>$D$3&amp;" Authorized"</f>
        <v>2026 Authorized</v>
      </c>
      <c r="G58" s="8" t="str">
        <f>$D$3&amp;" w/Pending"</f>
        <v>2026 w/Pending</v>
      </c>
      <c r="H58" s="8" t="str">
        <f>$H$32</f>
        <v>% Change over 1/1/2026</v>
      </c>
      <c r="I58" s="8" t="str">
        <f>$I$32</f>
        <v>% Change over 6/1/2026</v>
      </c>
      <c r="J58" s="121" t="s">
        <v>63</v>
      </c>
      <c r="L58" s="156"/>
      <c r="M58" s="156"/>
      <c r="N58" s="156"/>
      <c r="O58" s="156"/>
      <c r="P58" s="156"/>
      <c r="Q58" s="156"/>
      <c r="R58" s="156"/>
    </row>
    <row r="59" spans="2:18" x14ac:dyDescent="0.25">
      <c r="B59" s="491" t="s">
        <v>74</v>
      </c>
      <c r="C59" s="495"/>
      <c r="D59" s="181">
        <f t="shared" ref="D59:G62" si="14">((D66*4)+(D73*8))/12</f>
        <v>146.13011556199999</v>
      </c>
      <c r="E59" s="181">
        <f t="shared" si="14"/>
        <v>146.009856883</v>
      </c>
      <c r="F59" s="181">
        <f t="shared" si="14"/>
        <v>141.71169704638211</v>
      </c>
      <c r="G59" s="181">
        <f t="shared" si="14"/>
        <v>141.74051667345589</v>
      </c>
      <c r="H59" s="118">
        <f t="shared" ref="H59:I62" si="15">$G59/D59-1</f>
        <v>-3.0038975002943058E-2</v>
      </c>
      <c r="I59" s="118">
        <f t="shared" si="15"/>
        <v>-2.9240082147092283E-2</v>
      </c>
      <c r="J59" s="235">
        <f t="shared" ref="J59" si="16">$G59/F59-1</f>
        <v>2.0336801883291677E-4</v>
      </c>
      <c r="L59" s="156"/>
      <c r="M59" s="156"/>
      <c r="N59" s="156"/>
      <c r="O59" s="156"/>
      <c r="P59" s="156"/>
      <c r="Q59" s="156"/>
      <c r="R59" s="156"/>
    </row>
    <row r="60" spans="2:18" x14ac:dyDescent="0.25">
      <c r="B60" s="491" t="s">
        <v>75</v>
      </c>
      <c r="C60" s="495"/>
      <c r="D60" s="82">
        <f t="shared" si="14"/>
        <v>83.156068848000004</v>
      </c>
      <c r="E60" s="82">
        <f t="shared" si="14"/>
        <v>83.043131828</v>
      </c>
      <c r="F60" s="82">
        <f t="shared" si="14"/>
        <v>80.251202881488709</v>
      </c>
      <c r="G60" s="82">
        <f t="shared" si="14"/>
        <v>80.269923067362058</v>
      </c>
      <c r="H60" s="84">
        <f t="shared" si="15"/>
        <v>-3.4707578419964746E-2</v>
      </c>
      <c r="I60" s="84">
        <f t="shared" si="15"/>
        <v>-3.3394799781658602E-2</v>
      </c>
      <c r="J60" s="235">
        <f t="shared" ref="J60:J62" si="17">$G60/F60-1</f>
        <v>2.3326984769300729E-4</v>
      </c>
      <c r="L60" s="156"/>
      <c r="M60" s="156"/>
      <c r="N60" s="156"/>
      <c r="O60" s="156"/>
      <c r="P60" s="156"/>
      <c r="Q60" s="156"/>
      <c r="R60" s="156"/>
    </row>
    <row r="61" spans="2:18" x14ac:dyDescent="0.25">
      <c r="B61" s="491" t="s">
        <v>76</v>
      </c>
      <c r="C61" s="495"/>
      <c r="D61" s="82">
        <f t="shared" si="14"/>
        <v>144.25265665400002</v>
      </c>
      <c r="E61" s="82">
        <f t="shared" si="14"/>
        <v>144.13416216100003</v>
      </c>
      <c r="F61" s="82">
        <f t="shared" si="14"/>
        <v>139.89905601391686</v>
      </c>
      <c r="G61" s="82">
        <f t="shared" si="14"/>
        <v>139.92745285917536</v>
      </c>
      <c r="H61" s="84">
        <f t="shared" si="15"/>
        <v>-2.9983529559521105E-2</v>
      </c>
      <c r="I61" s="84">
        <f t="shared" si="15"/>
        <v>-2.9186066916777942E-2</v>
      </c>
      <c r="J61" s="235">
        <f t="shared" si="17"/>
        <v>2.0298096404358645E-4</v>
      </c>
      <c r="L61" s="156"/>
      <c r="M61" s="156"/>
      <c r="N61" s="156"/>
      <c r="O61" s="156"/>
      <c r="P61" s="156"/>
      <c r="Q61" s="156"/>
      <c r="R61" s="156"/>
    </row>
    <row r="62" spans="2:18" ht="15.75" thickBot="1" x14ac:dyDescent="0.3">
      <c r="B62" s="489" t="s">
        <v>77</v>
      </c>
      <c r="C62" s="496"/>
      <c r="D62" s="85">
        <f t="shared" si="14"/>
        <v>81.936468816000001</v>
      </c>
      <c r="E62" s="85">
        <f t="shared" si="14"/>
        <v>81.824748476000011</v>
      </c>
      <c r="F62" s="85">
        <f t="shared" si="14"/>
        <v>79.073776922347065</v>
      </c>
      <c r="G62" s="85">
        <f t="shared" si="14"/>
        <v>79.092222484466774</v>
      </c>
      <c r="H62" s="87">
        <f t="shared" si="15"/>
        <v>-3.4712825346676635E-2</v>
      </c>
      <c r="I62" s="87">
        <f t="shared" si="15"/>
        <v>-3.3394859653430031E-2</v>
      </c>
      <c r="J62" s="236">
        <f t="shared" si="17"/>
        <v>2.3327028045994069E-4</v>
      </c>
      <c r="L62" s="156"/>
      <c r="M62" s="156"/>
      <c r="N62" s="156"/>
      <c r="O62" s="156"/>
      <c r="P62" s="156"/>
      <c r="Q62" s="156"/>
      <c r="R62" s="156"/>
    </row>
    <row r="63" spans="2:18" ht="15.75" thickBot="1" x14ac:dyDescent="0.3">
      <c r="L63" s="156"/>
      <c r="M63" s="156"/>
      <c r="N63" s="156"/>
      <c r="O63" s="156"/>
      <c r="P63" s="156"/>
      <c r="Q63" s="156"/>
      <c r="R63" s="156"/>
    </row>
    <row r="64" spans="2:18" x14ac:dyDescent="0.25">
      <c r="B64" s="359" t="s">
        <v>72</v>
      </c>
      <c r="C64" s="289"/>
      <c r="D64" s="289"/>
      <c r="E64" s="289"/>
      <c r="F64" s="289"/>
      <c r="G64" s="289"/>
      <c r="H64" s="289"/>
      <c r="I64" s="289"/>
      <c r="J64" s="290"/>
      <c r="L64" s="156"/>
      <c r="M64" s="156"/>
      <c r="N64" s="156"/>
      <c r="O64" s="156"/>
      <c r="P64" s="156"/>
      <c r="Q64" s="156"/>
      <c r="R64" s="156"/>
    </row>
    <row r="65" spans="2:18" ht="30" x14ac:dyDescent="0.25">
      <c r="B65" s="196"/>
      <c r="C65" s="197"/>
      <c r="D65" s="111">
        <f>$D$32</f>
        <v>46023</v>
      </c>
      <c r="E65" s="111">
        <f>$E$32</f>
        <v>46174</v>
      </c>
      <c r="F65" s="8" t="str">
        <f>$D$3&amp;" Authorized"</f>
        <v>2026 Authorized</v>
      </c>
      <c r="G65" s="8" t="str">
        <f>$D$3&amp;" w/Pending"</f>
        <v>2026 w/Pending</v>
      </c>
      <c r="H65" s="8" t="str">
        <f>$H$32</f>
        <v>% Change over 1/1/2026</v>
      </c>
      <c r="I65" s="8" t="str">
        <f>$I$32</f>
        <v>% Change over 6/1/2026</v>
      </c>
      <c r="J65" s="121" t="s">
        <v>63</v>
      </c>
      <c r="L65" s="156"/>
      <c r="M65" s="156"/>
      <c r="N65" s="156"/>
      <c r="O65" s="156"/>
      <c r="P65" s="156"/>
      <c r="Q65" s="156"/>
      <c r="R65" s="156"/>
    </row>
    <row r="66" spans="2:18" x14ac:dyDescent="0.25">
      <c r="B66" s="493" t="s">
        <v>74</v>
      </c>
      <c r="C66" s="494"/>
      <c r="D66" s="181">
        <f>VLOOKUP($D$4,'Res Bill Impact'!$L$37:$T$46,2,FALSE)</f>
        <v>176.79527772599999</v>
      </c>
      <c r="E66" s="181">
        <f>VLOOKUP($D$4,'Res Bill Impact'!$L$37:$T$46,4,FALSE)</f>
        <v>176.64620400899997</v>
      </c>
      <c r="F66" s="181">
        <f>VLOOKUP($D$4,'Res Bill Impact'!$L$37:$T$46,6,FALSE)</f>
        <v>171.31816724331475</v>
      </c>
      <c r="G66" s="181">
        <f>VLOOKUP($D$4,'Res Bill Impact'!$L$37:$T$46,8,FALSE)</f>
        <v>171.35389230670447</v>
      </c>
      <c r="H66" s="118">
        <f t="shared" ref="H66:I69" si="18">$G66/D66-1</f>
        <v>-3.0777888919231611E-2</v>
      </c>
      <c r="I66" s="118">
        <f t="shared" si="18"/>
        <v>-2.9959951485998948E-2</v>
      </c>
      <c r="J66" s="235">
        <f t="shared" ref="J66:J69" si="19">$G66/F66-1</f>
        <v>2.0853050184088673E-4</v>
      </c>
      <c r="L66" s="156"/>
      <c r="M66" s="156"/>
      <c r="N66" s="156"/>
      <c r="O66" s="156"/>
      <c r="P66" s="156"/>
      <c r="Q66" s="156"/>
      <c r="R66" s="156"/>
    </row>
    <row r="67" spans="2:18" x14ac:dyDescent="0.25">
      <c r="B67" s="491" t="s">
        <v>75</v>
      </c>
      <c r="C67" s="492"/>
      <c r="D67" s="82">
        <f>VLOOKUP($D$4,'Res Bill Impact'!$V$37:$AD$46,2,FALSE)</f>
        <v>103.07620270399998</v>
      </c>
      <c r="E67" s="82">
        <f>VLOOKUP($D$4,'Res Bill Impact'!$V$37:$AD$46,4,FALSE)</f>
        <v>102.94339324399999</v>
      </c>
      <c r="F67" s="82">
        <f>VLOOKUP($D$4,'Res Bill Impact'!$V$37:$AD$46,6,FALSE)</f>
        <v>99.482493547468877</v>
      </c>
      <c r="G67" s="82">
        <f>VLOOKUP($D$4,'Res Bill Impact'!$V$37:$AD$46,8,FALSE)</f>
        <v>99.505699254651745</v>
      </c>
      <c r="H67" s="84">
        <f t="shared" si="18"/>
        <v>-3.4639454652802049E-2</v>
      </c>
      <c r="I67" s="84">
        <f t="shared" si="18"/>
        <v>-3.3394022491565867E-2</v>
      </c>
      <c r="J67" s="235">
        <f t="shared" ref="J67" si="20">$G67/F67-1</f>
        <v>2.332642292666165E-4</v>
      </c>
      <c r="L67" s="156"/>
      <c r="M67" s="156"/>
      <c r="N67" s="156"/>
      <c r="O67" s="156"/>
      <c r="P67" s="156"/>
      <c r="Q67" s="156"/>
      <c r="R67" s="156"/>
    </row>
    <row r="68" spans="2:18" x14ac:dyDescent="0.25">
      <c r="B68" s="491" t="s">
        <v>76</v>
      </c>
      <c r="C68" s="492"/>
      <c r="D68" s="82">
        <f>VLOOKUP($D$4,'Res Bill Impact'!$L$52:$T$61,2,FALSE)</f>
        <v>135.49118175000001</v>
      </c>
      <c r="E68" s="82">
        <f>VLOOKUP($D$4,'Res Bill Impact'!$L$52:$T$61,4,FALSE)</f>
        <v>135.38092012500002</v>
      </c>
      <c r="F68" s="82">
        <f>VLOOKUP($D$4,'Res Bill Impact'!$L$52:$T$61,6,FALSE)</f>
        <v>131.44006452907897</v>
      </c>
      <c r="G68" s="82">
        <f>VLOOKUP($D$4,'Res Bill Impact'!$L$52:$T$61,8,FALSE)</f>
        <v>131.46648839253291</v>
      </c>
      <c r="H68" s="84">
        <f t="shared" si="18"/>
        <v>-2.9704467150439506E-2</v>
      </c>
      <c r="I68" s="84">
        <f t="shared" si="18"/>
        <v>-2.8914205405406013E-2</v>
      </c>
      <c r="J68" s="235">
        <f t="shared" si="19"/>
        <v>2.0103355509304421E-4</v>
      </c>
      <c r="L68" s="156"/>
      <c r="M68" s="156"/>
      <c r="N68" s="156"/>
      <c r="O68" s="156"/>
      <c r="P68" s="156"/>
      <c r="Q68" s="156"/>
      <c r="R68" s="156"/>
    </row>
    <row r="69" spans="2:18" ht="15.75" thickBot="1" x14ac:dyDescent="0.3">
      <c r="B69" s="489" t="s">
        <v>77</v>
      </c>
      <c r="C69" s="490"/>
      <c r="D69" s="85">
        <f>VLOOKUP($D$4,'Res Bill Impact'!$V$52:$AD$61,2,FALSE)</f>
        <v>76.245001999999999</v>
      </c>
      <c r="E69" s="85">
        <f>VLOOKUP($D$4,'Res Bill Impact'!$V$52:$AD$61,4,FALSE)</f>
        <v>76.138959500000013</v>
      </c>
      <c r="F69" s="85">
        <f>VLOOKUP($D$4,'Res Bill Impact'!$V$46:$AD$61,6,FALSE)</f>
        <v>73.579122446352741</v>
      </c>
      <c r="G69" s="85">
        <f>VLOOKUP($D$4,'Res Bill Impact'!$V$52:$AD$61,8,FALSE)</f>
        <v>73.596286430955445</v>
      </c>
      <c r="H69" s="87">
        <f t="shared" si="18"/>
        <v>-3.4739530455314971E-2</v>
      </c>
      <c r="I69" s="87">
        <f t="shared" si="18"/>
        <v>-3.3395164390768506E-2</v>
      </c>
      <c r="J69" s="236">
        <f t="shared" si="19"/>
        <v>2.3327248317239757E-4</v>
      </c>
      <c r="L69" s="156"/>
      <c r="M69" s="156"/>
      <c r="N69" s="156"/>
      <c r="O69" s="156"/>
      <c r="P69" s="156"/>
      <c r="Q69" s="156"/>
      <c r="R69" s="156"/>
    </row>
    <row r="70" spans="2:18" ht="15.75" thickBot="1" x14ac:dyDescent="0.3">
      <c r="L70" s="156"/>
      <c r="M70" s="156"/>
      <c r="N70" s="156"/>
      <c r="O70" s="156"/>
      <c r="P70" s="156"/>
      <c r="Q70" s="156"/>
      <c r="R70" s="156"/>
    </row>
    <row r="71" spans="2:18" x14ac:dyDescent="0.25">
      <c r="B71" s="359" t="s">
        <v>73</v>
      </c>
      <c r="C71" s="289"/>
      <c r="D71" s="289"/>
      <c r="E71" s="289"/>
      <c r="F71" s="289"/>
      <c r="G71" s="289"/>
      <c r="H71" s="289"/>
      <c r="I71" s="289"/>
      <c r="J71" s="290"/>
    </row>
    <row r="72" spans="2:18" ht="30" x14ac:dyDescent="0.25">
      <c r="B72" s="196"/>
      <c r="C72" s="197"/>
      <c r="D72" s="111">
        <f>$D$32</f>
        <v>46023</v>
      </c>
      <c r="E72" s="111">
        <f>$E$32</f>
        <v>46174</v>
      </c>
      <c r="F72" s="8" t="str">
        <f>$D$3&amp;" Authorized"</f>
        <v>2026 Authorized</v>
      </c>
      <c r="G72" s="8" t="str">
        <f>$D$3&amp;" w/Pending"</f>
        <v>2026 w/Pending</v>
      </c>
      <c r="H72" s="8" t="str">
        <f>$H$32</f>
        <v>% Change over 1/1/2026</v>
      </c>
      <c r="I72" s="8" t="str">
        <f>$I$32</f>
        <v>% Change over 6/1/2026</v>
      </c>
      <c r="J72" s="121" t="s">
        <v>63</v>
      </c>
    </row>
    <row r="73" spans="2:18" x14ac:dyDescent="0.25">
      <c r="B73" s="493" t="s">
        <v>74</v>
      </c>
      <c r="C73" s="494"/>
      <c r="D73" s="181">
        <f>VLOOKUP($D$4,'Res Bill Impact'!$L$37:$T$46,3,FALSE)</f>
        <v>130.79753448</v>
      </c>
      <c r="E73" s="181">
        <f>VLOOKUP($D$4,'Res Bill Impact'!$L$37:$T$46,5,FALSE)</f>
        <v>130.69168332000001</v>
      </c>
      <c r="F73" s="181">
        <f>VLOOKUP($D$4,'Res Bill Impact'!$L$37:$T$46,7,FALSE)</f>
        <v>126.90846194791581</v>
      </c>
      <c r="G73" s="181">
        <f>VLOOKUP($D$4,'Res Bill Impact'!$L$37:$T$46,9,FALSE)</f>
        <v>126.93382885683158</v>
      </c>
      <c r="H73" s="118">
        <f t="shared" ref="H73:I76" si="21">$G73/D73-1</f>
        <v>-2.9539590624005241E-2</v>
      </c>
      <c r="I73" s="118">
        <f t="shared" si="21"/>
        <v>-2.875358529101868E-2</v>
      </c>
      <c r="J73" s="235">
        <f t="shared" ref="J73:J76" si="22">$G73/F73-1</f>
        <v>1.9988351073219057E-4</v>
      </c>
      <c r="L73" s="156"/>
      <c r="M73" s="156"/>
      <c r="N73" s="156"/>
      <c r="O73" s="156"/>
      <c r="P73" s="156"/>
      <c r="Q73" s="156"/>
      <c r="R73" s="156"/>
    </row>
    <row r="74" spans="2:18" x14ac:dyDescent="0.25">
      <c r="B74" s="491" t="s">
        <v>75</v>
      </c>
      <c r="C74" s="492"/>
      <c r="D74" s="82">
        <f>VLOOKUP($D$4,'Res Bill Impact'!$V$37:$AD$46,3,FALSE)</f>
        <v>73.19600192</v>
      </c>
      <c r="E74" s="82">
        <f>VLOOKUP($D$4,'Res Bill Impact'!$V$37:$AD$46,5,FALSE)</f>
        <v>73.093001119999997</v>
      </c>
      <c r="F74" s="82">
        <f>VLOOKUP($D$4,'Res Bill Impact'!$V$37:$AD$46,7,FALSE)</f>
        <v>70.635557548498625</v>
      </c>
      <c r="G74" s="82">
        <f>VLOOKUP($D$4,'Res Bill Impact'!$V$37:$AD$46,9,FALSE)</f>
        <v>70.652034973717221</v>
      </c>
      <c r="H74" s="84">
        <f t="shared" si="21"/>
        <v>-3.4755545105636054E-2</v>
      </c>
      <c r="I74" s="84">
        <f t="shared" si="21"/>
        <v>-3.3395347145143695E-2</v>
      </c>
      <c r="J74" s="235">
        <f t="shared" si="22"/>
        <v>2.3327380416415799E-4</v>
      </c>
      <c r="L74" s="156"/>
      <c r="M74" s="156"/>
      <c r="N74" s="156"/>
      <c r="O74" s="156"/>
      <c r="P74" s="156"/>
      <c r="Q74" s="156"/>
      <c r="R74" s="156"/>
    </row>
    <row r="75" spans="2:18" x14ac:dyDescent="0.25">
      <c r="B75" s="491" t="s">
        <v>76</v>
      </c>
      <c r="C75" s="492"/>
      <c r="D75" s="82">
        <f>VLOOKUP($D$4,'Res Bill Impact'!$L$52:$T$61,3,FALSE)</f>
        <v>148.63339410600003</v>
      </c>
      <c r="E75" s="82">
        <f>VLOOKUP($D$4,'Res Bill Impact'!$L$52:$T$61,5,FALSE)</f>
        <v>148.51078317900001</v>
      </c>
      <c r="F75" s="82">
        <f>VLOOKUP($D$4,'Res Bill Impact'!$L$52:$T$61,7,FALSE)</f>
        <v>144.12855175633581</v>
      </c>
      <c r="G75" s="82">
        <f>VLOOKUP($D$4,'Res Bill Impact'!$L$52:$T$61,9,FALSE)</f>
        <v>144.15793509249659</v>
      </c>
      <c r="H75" s="84">
        <f t="shared" si="21"/>
        <v>-3.0110723370225245E-2</v>
      </c>
      <c r="I75" s="84">
        <f t="shared" si="21"/>
        <v>-2.9309980011733794E-2</v>
      </c>
      <c r="J75" s="235">
        <f t="shared" si="22"/>
        <v>2.038689475660771E-4</v>
      </c>
      <c r="L75" s="156"/>
      <c r="M75" s="156"/>
      <c r="N75" s="156"/>
      <c r="O75" s="156"/>
      <c r="P75" s="156"/>
      <c r="Q75" s="156"/>
      <c r="R75" s="156"/>
    </row>
    <row r="76" spans="2:18" ht="15.75" thickBot="1" x14ac:dyDescent="0.3">
      <c r="B76" s="489" t="s">
        <v>77</v>
      </c>
      <c r="C76" s="490"/>
      <c r="D76" s="85">
        <f>VLOOKUP($D$4,'Res Bill Impact'!$V$52:$AD$61,3,FALSE)</f>
        <v>84.782202224000002</v>
      </c>
      <c r="E76" s="85">
        <f>VLOOKUP($D$4,'Res Bill Impact'!$V$52:$AD$61,5,FALSE)</f>
        <v>84.667642964000009</v>
      </c>
      <c r="F76" s="85">
        <f>VLOOKUP($D$4,'Res Bill Impact'!$V$46:$AD$61,7,FALSE)</f>
        <v>81.821104160344234</v>
      </c>
      <c r="G76" s="85">
        <f>VLOOKUP($D$4,'Res Bill Impact'!$V$52:$AD$61,9,FALSE)</f>
        <v>81.840190511222445</v>
      </c>
      <c r="H76" s="87">
        <f t="shared" si="21"/>
        <v>-3.4700817336692613E-2</v>
      </c>
      <c r="I76" s="87">
        <f t="shared" si="21"/>
        <v>-3.3394722633057983E-2</v>
      </c>
      <c r="J76" s="236">
        <f t="shared" si="22"/>
        <v>2.332692900453015E-4</v>
      </c>
      <c r="L76" s="156"/>
      <c r="M76" s="156"/>
      <c r="N76" s="156"/>
      <c r="O76" s="156"/>
      <c r="P76" s="156"/>
      <c r="Q76" s="156"/>
      <c r="R76" s="156"/>
    </row>
    <row r="77" spans="2:18" x14ac:dyDescent="0.25">
      <c r="L77" s="156"/>
      <c r="M77" s="156"/>
      <c r="N77" s="156"/>
      <c r="O77" s="156"/>
      <c r="P77" s="156"/>
      <c r="Q77" s="156"/>
      <c r="R77" s="156"/>
    </row>
    <row r="78" spans="2:18" ht="15.75" thickBot="1" x14ac:dyDescent="0.3">
      <c r="L78" s="156"/>
      <c r="M78" s="156"/>
      <c r="N78" s="156"/>
      <c r="O78" s="156"/>
      <c r="P78" s="156"/>
      <c r="Q78" s="156"/>
      <c r="R78" s="156"/>
    </row>
    <row r="79" spans="2:18" x14ac:dyDescent="0.25">
      <c r="B79" s="359" t="s">
        <v>70</v>
      </c>
      <c r="C79" s="289"/>
      <c r="D79" s="289"/>
      <c r="E79" s="289"/>
      <c r="F79" s="289"/>
      <c r="G79" s="289"/>
      <c r="H79" s="289"/>
      <c r="I79" s="289"/>
      <c r="J79" s="290"/>
      <c r="L79" s="156"/>
      <c r="M79" s="156"/>
      <c r="N79" s="156"/>
      <c r="O79" s="156"/>
      <c r="P79" s="156"/>
      <c r="Q79" s="156"/>
      <c r="R79" s="156"/>
    </row>
    <row r="80" spans="2:18" ht="30" x14ac:dyDescent="0.25">
      <c r="B80" s="196"/>
      <c r="C80" s="197"/>
      <c r="D80" s="111">
        <f>$D$32</f>
        <v>46023</v>
      </c>
      <c r="E80" s="111">
        <f>$E$32</f>
        <v>46174</v>
      </c>
      <c r="F80" s="8" t="str">
        <f>$D$3&amp;" Authorized"</f>
        <v>2026 Authorized</v>
      </c>
      <c r="G80" s="8" t="str">
        <f>$D$3&amp;" w/Pending"</f>
        <v>2026 w/Pending</v>
      </c>
      <c r="H80" s="8" t="str">
        <f>$H$32</f>
        <v>% Change over 1/1/2026</v>
      </c>
      <c r="I80" s="8" t="str">
        <f>$I$32</f>
        <v>% Change over 6/1/2026</v>
      </c>
      <c r="J80" s="121" t="s">
        <v>63</v>
      </c>
      <c r="L80" s="156"/>
      <c r="M80" s="156"/>
      <c r="N80" s="156"/>
      <c r="O80" s="156"/>
      <c r="P80" s="156"/>
      <c r="Q80" s="156"/>
      <c r="R80" s="156"/>
    </row>
    <row r="81" spans="2:18" x14ac:dyDescent="0.25">
      <c r="B81" s="491" t="str">
        <f>J4&amp;"kWh Monthly Usage - Non-CARE"</f>
        <v>500kWh Monthly Usage - Non-CARE</v>
      </c>
      <c r="C81" s="495"/>
      <c r="D81" s="181">
        <f t="shared" ref="D81:G82" si="23">((D86*4)+(D91*8))/12</f>
        <v>181.55693045333331</v>
      </c>
      <c r="E81" s="181">
        <f t="shared" si="23"/>
        <v>181.40383069333333</v>
      </c>
      <c r="F81" s="181">
        <f t="shared" si="23"/>
        <v>175.9158606973854</v>
      </c>
      <c r="G81" s="181">
        <f t="shared" si="23"/>
        <v>175.95265813040029</v>
      </c>
      <c r="H81" s="118">
        <f>$G81/D81-1</f>
        <v>-3.0867851251613398E-2</v>
      </c>
      <c r="I81" s="118">
        <f>$G81/E81-1</f>
        <v>-3.0049930820636006E-2</v>
      </c>
      <c r="J81" s="235">
        <f t="shared" ref="J81:J82" si="24">$G81/F81-1</f>
        <v>2.0917632366423966E-4</v>
      </c>
      <c r="L81" s="156"/>
      <c r="M81" s="156"/>
      <c r="N81" s="156"/>
      <c r="O81" s="156"/>
      <c r="P81" s="156"/>
      <c r="Q81" s="156"/>
      <c r="R81" s="156"/>
    </row>
    <row r="82" spans="2:18" ht="15.75" thickBot="1" x14ac:dyDescent="0.3">
      <c r="B82" s="489" t="str">
        <f>J4&amp;"kWh Monthly Usage - CARE"</f>
        <v>500kWh Monthly Usage - CARE</v>
      </c>
      <c r="C82" s="496"/>
      <c r="D82" s="85">
        <f t="shared" si="23"/>
        <v>106.39961807999998</v>
      </c>
      <c r="E82" s="85">
        <f t="shared" si="23"/>
        <v>106.26511821333334</v>
      </c>
      <c r="F82" s="85">
        <f t="shared" si="23"/>
        <v>102.69255481562554</v>
      </c>
      <c r="G82" s="85">
        <f t="shared" si="23"/>
        <v>102.71650924001479</v>
      </c>
      <c r="H82" s="87">
        <f>$G82/D82-1</f>
        <v>-3.461580883886195E-2</v>
      </c>
      <c r="I82" s="87">
        <f>$G82/E82-1</f>
        <v>-3.3393921100191237E-2</v>
      </c>
      <c r="J82" s="236">
        <f t="shared" si="24"/>
        <v>2.332634963873037E-4</v>
      </c>
      <c r="L82" s="156"/>
      <c r="M82" s="156"/>
      <c r="N82" s="156"/>
      <c r="O82" s="156"/>
      <c r="P82" s="156"/>
      <c r="Q82" s="156"/>
      <c r="R82" s="156"/>
    </row>
    <row r="83" spans="2:18" ht="15.75" thickBot="1" x14ac:dyDescent="0.3">
      <c r="L83" s="156"/>
      <c r="M83" s="156"/>
      <c r="N83" s="156"/>
      <c r="O83" s="156"/>
      <c r="P83" s="156"/>
      <c r="Q83" s="156"/>
      <c r="R83" s="156"/>
    </row>
    <row r="84" spans="2:18" x14ac:dyDescent="0.25">
      <c r="B84" s="359" t="s">
        <v>72</v>
      </c>
      <c r="C84" s="289"/>
      <c r="D84" s="289"/>
      <c r="E84" s="289"/>
      <c r="F84" s="289"/>
      <c r="G84" s="289"/>
      <c r="H84" s="289"/>
      <c r="I84" s="289"/>
      <c r="J84" s="290"/>
      <c r="L84" s="156"/>
      <c r="M84" s="156"/>
      <c r="N84" s="156"/>
      <c r="O84" s="156"/>
      <c r="P84" s="156"/>
      <c r="Q84" s="156"/>
      <c r="R84" s="156"/>
    </row>
    <row r="85" spans="2:18" ht="30" x14ac:dyDescent="0.25">
      <c r="B85" s="196"/>
      <c r="C85" s="197"/>
      <c r="D85" s="111">
        <f>$D$32</f>
        <v>46023</v>
      </c>
      <c r="E85" s="111">
        <f>$E$32</f>
        <v>46174</v>
      </c>
      <c r="F85" s="8" t="str">
        <f>$D$3&amp;" Authorized"</f>
        <v>2026 Authorized</v>
      </c>
      <c r="G85" s="8" t="str">
        <f>$D$3&amp;" w/Pending"</f>
        <v>2026 w/Pending</v>
      </c>
      <c r="H85" s="8" t="str">
        <f>$H$32</f>
        <v>% Change over 1/1/2026</v>
      </c>
      <c r="I85" s="8" t="str">
        <f>$I$32</f>
        <v>% Change over 6/1/2026</v>
      </c>
      <c r="J85" s="121" t="s">
        <v>63</v>
      </c>
      <c r="L85" s="156"/>
      <c r="M85" s="156"/>
      <c r="N85" s="156"/>
      <c r="O85" s="156"/>
      <c r="P85" s="156"/>
      <c r="Q85" s="156"/>
      <c r="R85" s="156"/>
    </row>
    <row r="86" spans="2:18" x14ac:dyDescent="0.25">
      <c r="B86" s="493" t="str">
        <f>J4&amp;"kWh Monthly Usage - Non-CARE"</f>
        <v>500kWh Monthly Usage - Non-CARE</v>
      </c>
      <c r="C86" s="494"/>
      <c r="D86" s="82">
        <f>VLOOKUP($D$4,'Res Bill Impact'!$L$67:$T$76,2,FALSE)</f>
        <v>172.46</v>
      </c>
      <c r="E86" s="82">
        <f>VLOOKUP($D$4,'Res Bill Impact'!$L$67:$T$76,4,FALSE)</f>
        <v>172.315</v>
      </c>
      <c r="F86" s="82">
        <f>VLOOKUP($D$4,'Res Bill Impact'!$L$67:$T$76,6,FALSE)</f>
        <v>167.13256176359138</v>
      </c>
      <c r="G86" s="82">
        <f>VLOOKUP($D$4,'Res Bill Impact'!$L$67:$T$76,8,FALSE)</f>
        <v>167.16731057307808</v>
      </c>
      <c r="H86" s="118">
        <f>$G86/D86-1</f>
        <v>-3.0689373923935559E-2</v>
      </c>
      <c r="I86" s="118">
        <f>$G86/E86-1</f>
        <v>-2.9873716315595988E-2</v>
      </c>
      <c r="J86" s="235">
        <f t="shared" ref="J86:J87" si="25">$G86/F86-1</f>
        <v>2.0791166676326078E-4</v>
      </c>
      <c r="L86" s="156"/>
      <c r="M86" s="156"/>
      <c r="N86" s="156"/>
      <c r="O86" s="156"/>
      <c r="P86" s="156"/>
      <c r="Q86" s="156"/>
      <c r="R86" s="156"/>
    </row>
    <row r="87" spans="2:18" ht="15.75" thickBot="1" x14ac:dyDescent="0.3">
      <c r="B87" s="489" t="str">
        <f>J4&amp;"kWh Monthly Usage - CARE"</f>
        <v>500kWh Monthly Usage - CARE</v>
      </c>
      <c r="C87" s="490"/>
      <c r="D87" s="85">
        <f>VLOOKUP($D$4,'Res Bill Impact'!$V$67:$AD$76,2,FALSE)</f>
        <v>100.25999999999999</v>
      </c>
      <c r="E87" s="85">
        <f>VLOOKUP($D$4,'Res Bill Impact'!$V$67:$AD$76,4,FALSE)</f>
        <v>100.13</v>
      </c>
      <c r="F87" s="85">
        <f>VLOOKUP($D$4,'Res Bill Impact'!$V$67:$AD$76,6,FALSE)</f>
        <v>96.763675834372535</v>
      </c>
      <c r="G87" s="85">
        <f>VLOOKUP($D$4,'Res Bill Impact'!$V$67:$AD$76,8,FALSE)</f>
        <v>96.786247402380823</v>
      </c>
      <c r="H87" s="87">
        <f>$G87/D87-1</f>
        <v>-3.4647442625365676E-2</v>
      </c>
      <c r="I87" s="87">
        <f>$G87/E87-1</f>
        <v>-3.3394113628474664E-2</v>
      </c>
      <c r="J87" s="236">
        <f t="shared" si="25"/>
        <v>2.3326488802388745E-4</v>
      </c>
    </row>
    <row r="88" spans="2:18" ht="15.75" thickBot="1" x14ac:dyDescent="0.3"/>
    <row r="89" spans="2:18" x14ac:dyDescent="0.25">
      <c r="B89" s="359" t="s">
        <v>73</v>
      </c>
      <c r="C89" s="289"/>
      <c r="D89" s="289"/>
      <c r="E89" s="289"/>
      <c r="F89" s="289"/>
      <c r="G89" s="289"/>
      <c r="H89" s="289"/>
      <c r="I89" s="289"/>
      <c r="J89" s="290"/>
    </row>
    <row r="90" spans="2:18" ht="30" x14ac:dyDescent="0.25">
      <c r="B90" s="196"/>
      <c r="C90" s="197"/>
      <c r="D90" s="111">
        <f>$D$32</f>
        <v>46023</v>
      </c>
      <c r="E90" s="111">
        <f>$E$32</f>
        <v>46174</v>
      </c>
      <c r="F90" s="8" t="str">
        <f>$D$3&amp;" Authorized"</f>
        <v>2026 Authorized</v>
      </c>
      <c r="G90" s="8" t="str">
        <f>$D$3&amp;" w/Pending"</f>
        <v>2026 w/Pending</v>
      </c>
      <c r="H90" s="8" t="str">
        <f>$H$32</f>
        <v>% Change over 1/1/2026</v>
      </c>
      <c r="I90" s="8" t="str">
        <f>$I$32</f>
        <v>% Change over 6/1/2026</v>
      </c>
      <c r="J90" s="121" t="s">
        <v>63</v>
      </c>
    </row>
    <row r="91" spans="2:18" x14ac:dyDescent="0.25">
      <c r="B91" s="493" t="str">
        <f>J4&amp;"kWh Monthly Usage - Non-CARE"</f>
        <v>500kWh Monthly Usage - Non-CARE</v>
      </c>
      <c r="C91" s="494"/>
      <c r="D91" s="82">
        <f>VLOOKUP($D$4,'Res Bill Impact'!$L$67:$T$76,3,FALSE)</f>
        <v>186.10539567999999</v>
      </c>
      <c r="E91" s="82">
        <f>VLOOKUP($D$4,'Res Bill Impact'!$L$67:$T$76,5,FALSE)</f>
        <v>185.94824604000002</v>
      </c>
      <c r="F91" s="82">
        <f>VLOOKUP($D$4,'Res Bill Impact'!$L$67:$T$76,7,FALSE)</f>
        <v>180.30751016428243</v>
      </c>
      <c r="G91" s="82">
        <f>VLOOKUP($D$4,'Res Bill Impact'!$L$67:$T$76,9,FALSE)</f>
        <v>180.34533190906137</v>
      </c>
      <c r="H91" s="118">
        <f>$G91/D91-1</f>
        <v>-3.0950546865620154E-2</v>
      </c>
      <c r="I91" s="118">
        <f>$G91/E91-1</f>
        <v>-3.0131578276535009E-2</v>
      </c>
      <c r="J91" s="235">
        <f t="shared" ref="J91:J92" si="26">$G91/F91-1</f>
        <v>2.0976244829995494E-4</v>
      </c>
    </row>
    <row r="92" spans="2:18" ht="15.75" thickBot="1" x14ac:dyDescent="0.3">
      <c r="B92" s="489" t="str">
        <f>J4&amp;"kWh Monthly Usage - CARE"</f>
        <v>500kWh Monthly Usage - CARE</v>
      </c>
      <c r="C92" s="490"/>
      <c r="D92" s="85">
        <f>VLOOKUP($D$4,'Res Bill Impact'!$V$67:$AD$76,3,FALSE)</f>
        <v>109.46942711999999</v>
      </c>
      <c r="E92" s="85">
        <f>VLOOKUP($D$4,'Res Bill Impact'!$V$67:$AD$76,5,FALSE)</f>
        <v>109.33267732</v>
      </c>
      <c r="F92" s="85">
        <f>VLOOKUP($D$4,'Res Bill Impact'!$V$67:$AD$76,7,FALSE)</f>
        <v>105.65699430625203</v>
      </c>
      <c r="G92" s="85">
        <f>VLOOKUP($D$4,'Res Bill Impact'!$V$67:$AD$76,9,FALSE)</f>
        <v>105.68164015883178</v>
      </c>
      <c r="H92" s="87">
        <f>$G92/D92-1</f>
        <v>-3.4601322586771621E-2</v>
      </c>
      <c r="I92" s="87">
        <f>$G92/E92-1</f>
        <v>-3.339383293873055E-2</v>
      </c>
      <c r="J92" s="236">
        <f t="shared" si="26"/>
        <v>2.3326285913749523E-4</v>
      </c>
    </row>
    <row r="94" spans="2:18" ht="15.75" thickBot="1" x14ac:dyDescent="0.3"/>
    <row r="95" spans="2:18" x14ac:dyDescent="0.25">
      <c r="B95" s="359" t="s">
        <v>70</v>
      </c>
      <c r="C95" s="289"/>
      <c r="D95" s="289"/>
      <c r="E95" s="289"/>
      <c r="F95" s="289"/>
      <c r="G95" s="289"/>
      <c r="H95" s="289"/>
      <c r="I95" s="289"/>
      <c r="J95" s="290"/>
    </row>
    <row r="96" spans="2:18" ht="30" x14ac:dyDescent="0.25">
      <c r="B96" s="196"/>
      <c r="C96" s="81"/>
      <c r="D96" s="111">
        <f>$D$32</f>
        <v>46023</v>
      </c>
      <c r="E96" s="111">
        <f>$E$32</f>
        <v>46174</v>
      </c>
      <c r="F96" s="8" t="str">
        <f>$D$3&amp;" Authorized"</f>
        <v>2026 Authorized</v>
      </c>
      <c r="G96" s="8" t="str">
        <f>$D$3&amp;" w/Pending"</f>
        <v>2026 w/Pending</v>
      </c>
      <c r="H96" s="8" t="str">
        <f>$H$32</f>
        <v>% Change over 1/1/2026</v>
      </c>
      <c r="I96" s="8" t="str">
        <f>$I$32</f>
        <v>% Change over 6/1/2026</v>
      </c>
      <c r="J96" s="356" t="s">
        <v>63</v>
      </c>
    </row>
    <row r="97" spans="2:12" x14ac:dyDescent="0.25">
      <c r="B97" s="491" t="s">
        <v>78</v>
      </c>
      <c r="C97" s="492"/>
      <c r="D97" s="82">
        <f>((D103*4)+(D109*8))/12</f>
        <v>145.95923298240524</v>
      </c>
      <c r="E97" s="82">
        <f t="shared" ref="E97:G97" si="27">((E103*4)+(E109*8))/12</f>
        <v>145.83930535371985</v>
      </c>
      <c r="F97" s="83">
        <f t="shared" si="27"/>
        <v>141.54687880783993</v>
      </c>
      <c r="G97" s="83">
        <f t="shared" si="27"/>
        <v>141.57565999257852</v>
      </c>
      <c r="H97" s="84">
        <f t="shared" ref="H97:I99" si="28">$G97/D97-1</f>
        <v>-3.0032858492447301E-2</v>
      </c>
      <c r="I97" s="118">
        <f t="shared" si="28"/>
        <v>-2.9235228121803347E-2</v>
      </c>
      <c r="J97" s="235">
        <f t="shared" ref="J97:J98" si="29">$G97/F97-1</f>
        <v>2.0333323476284804E-4</v>
      </c>
    </row>
    <row r="98" spans="2:12" x14ac:dyDescent="0.25">
      <c r="B98" s="491" t="s">
        <v>79</v>
      </c>
      <c r="C98" s="492"/>
      <c r="D98" s="82">
        <f t="shared" ref="D98:G99" si="30">((D104*4)+(D110*8))/12</f>
        <v>84.532369159343105</v>
      </c>
      <c r="E98" s="82">
        <f t="shared" si="30"/>
        <v>84.418695605761826</v>
      </c>
      <c r="F98" s="83">
        <f t="shared" si="30"/>
        <v>81.580525461063587</v>
      </c>
      <c r="G98" s="83">
        <f t="shared" si="30"/>
        <v>81.599555699177401</v>
      </c>
      <c r="H98" s="84">
        <f t="shared" si="28"/>
        <v>-3.469456125898196E-2</v>
      </c>
      <c r="I98" s="84">
        <f t="shared" si="28"/>
        <v>-3.3394734263010983E-2</v>
      </c>
      <c r="J98" s="235">
        <f t="shared" si="29"/>
        <v>2.3326937410939053E-4</v>
      </c>
    </row>
    <row r="99" spans="2:12" ht="15.75" thickBot="1" x14ac:dyDescent="0.3">
      <c r="B99" s="489" t="s">
        <v>80</v>
      </c>
      <c r="C99" s="490"/>
      <c r="D99" s="85">
        <f>((D105*4)+(D111*8))/12</f>
        <v>124.45983064433351</v>
      </c>
      <c r="E99" s="85">
        <f t="shared" si="30"/>
        <v>124.34209194193454</v>
      </c>
      <c r="F99" s="86">
        <f t="shared" si="30"/>
        <v>120.5586551364682</v>
      </c>
      <c r="G99" s="86">
        <f t="shared" si="30"/>
        <v>120.58402348988814</v>
      </c>
      <c r="H99" s="87">
        <f t="shared" si="28"/>
        <v>-3.1141028670697679E-2</v>
      </c>
      <c r="I99" s="87">
        <f t="shared" si="28"/>
        <v>-3.0223622534848005E-2</v>
      </c>
      <c r="J99" s="236">
        <f>$G99/F99-1</f>
        <v>2.1042332789145135E-4</v>
      </c>
    </row>
    <row r="100" spans="2:12" ht="15.75" thickBot="1" x14ac:dyDescent="0.3"/>
    <row r="101" spans="2:12" x14ac:dyDescent="0.25">
      <c r="B101" s="359" t="s">
        <v>72</v>
      </c>
      <c r="C101" s="289"/>
      <c r="D101" s="289"/>
      <c r="E101" s="289"/>
      <c r="F101" s="289"/>
      <c r="G101" s="289"/>
      <c r="H101" s="289"/>
      <c r="I101" s="289"/>
      <c r="J101" s="290"/>
    </row>
    <row r="102" spans="2:12" ht="30" x14ac:dyDescent="0.25">
      <c r="B102" s="196"/>
      <c r="C102" s="81"/>
      <c r="D102" s="111">
        <f>$D$32</f>
        <v>46023</v>
      </c>
      <c r="E102" s="111">
        <f>$E$32</f>
        <v>46174</v>
      </c>
      <c r="F102" s="8" t="str">
        <f>$D$3&amp;" Authorized"</f>
        <v>2026 Authorized</v>
      </c>
      <c r="G102" s="8" t="str">
        <f>$D$3&amp;" w/Pending"</f>
        <v>2026 w/Pending</v>
      </c>
      <c r="H102" s="8" t="str">
        <f>$H$32</f>
        <v>% Change over 1/1/2026</v>
      </c>
      <c r="I102" s="8" t="str">
        <f>$I$32</f>
        <v>% Change over 6/1/2026</v>
      </c>
      <c r="J102" s="356" t="s">
        <v>63</v>
      </c>
    </row>
    <row r="103" spans="2:12" x14ac:dyDescent="0.25">
      <c r="B103" s="491" t="s">
        <v>78</v>
      </c>
      <c r="C103" s="492"/>
      <c r="D103" s="82">
        <f>VLOOKUP($D$4,'Res Bill Impact'!$B$67:$J$76,2,FALSE)</f>
        <v>177.55335977651725</v>
      </c>
      <c r="E103" s="82">
        <f>VLOOKUP($D$4,'Res Bill Impact'!$B$67:$J$76,4,FALSE)</f>
        <v>177.40408514773381</v>
      </c>
      <c r="F103" s="82">
        <f>VLOOKUP($D$4,'Res Bill Impact'!$B$67:$J$76,6,FALSE)</f>
        <v>172.05057131402387</v>
      </c>
      <c r="G103" s="82">
        <f>VLOOKUP($D$4,'Res Bill Impact'!$B$67:$J$76,8,FALSE)</f>
        <v>172.08646720391314</v>
      </c>
      <c r="H103" s="84">
        <f>$G103/D103-1</f>
        <v>-3.0790138691180968E-2</v>
      </c>
      <c r="I103" s="84">
        <f>$G103/E103-1</f>
        <v>-2.9974608191194685E-2</v>
      </c>
      <c r="J103" s="235">
        <f>$G103/F103-1</f>
        <v>2.0863569132689719E-4</v>
      </c>
    </row>
    <row r="104" spans="2:12" x14ac:dyDescent="0.25">
      <c r="B104" s="491" t="s">
        <v>79</v>
      </c>
      <c r="C104" s="492"/>
      <c r="D104" s="82">
        <f>VLOOKUP($D$4,'Res Bill Impact'!$B$82:$J$91,2,FALSE)</f>
        <v>104.65887126928337</v>
      </c>
      <c r="E104" s="82">
        <f>VLOOKUP($D$4,'Res Bill Impact'!$B$82:$J$91,4,FALSE)</f>
        <v>104.52639234458178</v>
      </c>
      <c r="F104" s="82">
        <f>VLOOKUP($D$4,'Res Bill Impact'!$B$82:$J$91,6,FALSE)</f>
        <v>101.01227826691969</v>
      </c>
      <c r="G104" s="82">
        <f>VLOOKUP($D$4,'Res Bill Impact'!$B$82:$J$91,8,FALSE)</f>
        <v>101.03584078228965</v>
      </c>
      <c r="H104" s="84">
        <f>$G104/D104-1</f>
        <v>-3.4617519213175796E-2</v>
      </c>
      <c r="I104" s="84">
        <f>$G104/E104-1</f>
        <v>-3.3393973368804009E-2</v>
      </c>
      <c r="J104" s="235">
        <f t="shared" ref="J104" si="31">$G104/F104-1</f>
        <v>2.3326387419664307E-4</v>
      </c>
    </row>
    <row r="105" spans="2:12" ht="15.75" thickBot="1" x14ac:dyDescent="0.3">
      <c r="B105" s="489" t="s">
        <v>80</v>
      </c>
      <c r="C105" s="490"/>
      <c r="D105" s="85">
        <f>D103*0.65+D104*0.35</f>
        <v>152.04028879898539</v>
      </c>
      <c r="E105" s="85">
        <f>E103*0.65+E104*0.35</f>
        <v>151.89689266663061</v>
      </c>
      <c r="F105" s="85">
        <f>F103*0.65+F104*0.35</f>
        <v>147.18716874753741</v>
      </c>
      <c r="G105" s="85">
        <f>G103*0.65+G104*0.35</f>
        <v>147.21874795634494</v>
      </c>
      <c r="H105" s="87">
        <f>$G105/D105-1</f>
        <v>-3.1712257854331405E-2</v>
      </c>
      <c r="I105" s="87">
        <f>$G105/E105-1</f>
        <v>-3.0798159384029189E-2</v>
      </c>
      <c r="J105" s="236">
        <f>$G105/F105-1</f>
        <v>2.1455137072234898E-4</v>
      </c>
    </row>
    <row r="106" spans="2:12" ht="15.75" thickBot="1" x14ac:dyDescent="0.3"/>
    <row r="107" spans="2:12" x14ac:dyDescent="0.25">
      <c r="B107" s="359" t="s">
        <v>73</v>
      </c>
      <c r="C107" s="289"/>
      <c r="D107" s="289"/>
      <c r="E107" s="289"/>
      <c r="F107" s="289"/>
      <c r="G107" s="289"/>
      <c r="H107" s="289"/>
      <c r="I107" s="289"/>
      <c r="J107" s="290"/>
    </row>
    <row r="108" spans="2:12" ht="30" x14ac:dyDescent="0.25">
      <c r="B108" s="196"/>
      <c r="C108" s="81"/>
      <c r="D108" s="111">
        <f>$D$32</f>
        <v>46023</v>
      </c>
      <c r="E108" s="111">
        <f>$E$32</f>
        <v>46174</v>
      </c>
      <c r="F108" s="8" t="str">
        <f>$D$3&amp;" Authorized"</f>
        <v>2026 Authorized</v>
      </c>
      <c r="G108" s="8" t="str">
        <f>$D$3&amp;" w/Pending"</f>
        <v>2026 w/Pending</v>
      </c>
      <c r="H108" s="8" t="str">
        <f>$H$32</f>
        <v>% Change over 1/1/2026</v>
      </c>
      <c r="I108" s="8" t="str">
        <f>$I$32</f>
        <v>% Change over 6/1/2026</v>
      </c>
      <c r="J108" s="356" t="s">
        <v>63</v>
      </c>
    </row>
    <row r="109" spans="2:12" x14ac:dyDescent="0.25">
      <c r="B109" s="491" t="s">
        <v>78</v>
      </c>
      <c r="C109" s="492"/>
      <c r="D109" s="82">
        <f>VLOOKUP($D$4,'Res Bill Impact'!$B$67:$J$76,3,FALSE)</f>
        <v>130.16216958534923</v>
      </c>
      <c r="E109" s="82">
        <f>VLOOKUP($D$4,'Res Bill Impact'!$B$67:$J$76,5,FALSE)</f>
        <v>130.05691545671286</v>
      </c>
      <c r="F109" s="82">
        <f>VLOOKUP($D$4,'Res Bill Impact'!$B$67:$J$76,7,FALSE)</f>
        <v>126.29503255474799</v>
      </c>
      <c r="G109" s="82">
        <f>VLOOKUP($D$4,'Res Bill Impact'!$B$67:$J$76,9,FALSE)</f>
        <v>126.32025638691124</v>
      </c>
      <c r="H109" s="84">
        <f t="shared" ref="H109:I111" si="32">$G109/D109-1</f>
        <v>-2.9516358022280809E-2</v>
      </c>
      <c r="I109" s="84">
        <f t="shared" si="32"/>
        <v>-2.8730952573185586E-2</v>
      </c>
      <c r="J109" s="235">
        <f t="shared" ref="J109:J111" si="33">$G109/F109-1</f>
        <v>1.997214906477307E-4</v>
      </c>
    </row>
    <row r="110" spans="2:12" x14ac:dyDescent="0.25">
      <c r="B110" s="491" t="s">
        <v>79</v>
      </c>
      <c r="C110" s="492"/>
      <c r="D110" s="82">
        <f>VLOOKUP($D$4,'Res Bill Impact'!$B$82:$J$91,3,FALSE)</f>
        <v>74.469118104372967</v>
      </c>
      <c r="E110" s="82">
        <f>VLOOKUP($D$4,'Res Bill Impact'!$B$82:$J$91,5,FALSE)</f>
        <v>74.364847236351849</v>
      </c>
      <c r="F110" s="82">
        <f>VLOOKUP($D$4,'Res Bill Impact'!$B$82:$J$91,7,FALSE)</f>
        <v>71.864649058135527</v>
      </c>
      <c r="G110" s="82">
        <f>VLOOKUP($D$4,'Res Bill Impact'!$B$82:$J$91,9,FALSE)</f>
        <v>71.881413157621267</v>
      </c>
      <c r="H110" s="84">
        <f t="shared" si="32"/>
        <v>-3.4748698690440727E-2</v>
      </c>
      <c r="I110" s="84">
        <f t="shared" si="32"/>
        <v>-3.3395269015177975E-2</v>
      </c>
      <c r="J110" s="235">
        <f t="shared" si="33"/>
        <v>2.3327323942234912E-4</v>
      </c>
      <c r="L110" s="360"/>
    </row>
    <row r="111" spans="2:12" ht="15.75" thickBot="1" x14ac:dyDescent="0.3">
      <c r="B111" s="489" t="s">
        <v>80</v>
      </c>
      <c r="C111" s="490"/>
      <c r="D111" s="85">
        <f>D109*0.65+D110*0.35</f>
        <v>110.66960156700755</v>
      </c>
      <c r="E111" s="85">
        <f>E109*0.65+E110*0.35</f>
        <v>110.56469157958651</v>
      </c>
      <c r="F111" s="85">
        <f>F109*0.65+F110*0.35</f>
        <v>107.24439833093362</v>
      </c>
      <c r="G111" s="85">
        <f>G109*0.65+G110*0.35</f>
        <v>107.26666125665975</v>
      </c>
      <c r="H111" s="87">
        <f t="shared" si="32"/>
        <v>-3.0748645175951106E-2</v>
      </c>
      <c r="I111" s="87">
        <f t="shared" si="32"/>
        <v>-2.9828965068407709E-2</v>
      </c>
      <c r="J111" s="236">
        <f t="shared" si="33"/>
        <v>2.075905695086977E-4</v>
      </c>
      <c r="L111" s="360"/>
    </row>
    <row r="112" spans="2:12" ht="15.75" thickBot="1" x14ac:dyDescent="0.3">
      <c r="B112" s="67"/>
      <c r="C112" s="67"/>
      <c r="D112" s="203"/>
      <c r="E112" s="203"/>
      <c r="F112" s="203"/>
      <c r="G112" s="294"/>
      <c r="H112" s="294"/>
      <c r="I112" s="294"/>
      <c r="J112" s="294"/>
      <c r="L112" s="154"/>
    </row>
    <row r="113" spans="2:14" x14ac:dyDescent="0.25">
      <c r="B113" s="359" t="s">
        <v>81</v>
      </c>
      <c r="C113" s="289"/>
      <c r="D113" s="289"/>
      <c r="E113" s="289"/>
      <c r="F113" s="289"/>
      <c r="G113" s="289"/>
      <c r="H113" s="289"/>
      <c r="I113" s="289"/>
      <c r="J113" s="290"/>
      <c r="K113" s="99"/>
      <c r="L113" s="99"/>
    </row>
    <row r="114" spans="2:14" ht="30" x14ac:dyDescent="0.25">
      <c r="B114" s="196"/>
      <c r="C114" s="81"/>
      <c r="D114" s="111">
        <f>$D$32</f>
        <v>46023</v>
      </c>
      <c r="E114" s="111">
        <f>$E$32</f>
        <v>46174</v>
      </c>
      <c r="F114" s="8" t="str">
        <f>$D$3&amp;" Authorized"</f>
        <v>2026 Authorized</v>
      </c>
      <c r="G114" s="8" t="str">
        <f>$D$3&amp;" w/Pending"</f>
        <v>2026 w/Pending</v>
      </c>
      <c r="H114" s="8" t="str">
        <f>$H$32</f>
        <v>% Change over 1/1/2026</v>
      </c>
      <c r="I114" s="8" t="str">
        <f>$I$32</f>
        <v>% Change over 6/1/2026</v>
      </c>
      <c r="J114" s="356" t="s">
        <v>63</v>
      </c>
      <c r="K114" s="99"/>
      <c r="L114" s="99"/>
      <c r="M114" s="99"/>
    </row>
    <row r="115" spans="2:14" x14ac:dyDescent="0.25">
      <c r="B115" s="491" t="s">
        <v>82</v>
      </c>
      <c r="C115" s="492"/>
      <c r="D115" s="82">
        <f>((D121*4)+(D127*8))/12</f>
        <v>218.27933927959836</v>
      </c>
      <c r="E115" s="82">
        <f t="shared" ref="E115:G115" si="34">((E121*4)+(E127*8))/12</f>
        <v>217.82689643783917</v>
      </c>
      <c r="F115" s="83">
        <f t="shared" si="34"/>
        <v>214.14200543962343</v>
      </c>
      <c r="G115" s="83">
        <f t="shared" si="34"/>
        <v>214.1795188185406</v>
      </c>
      <c r="H115" s="84">
        <f t="shared" ref="H115:I117" si="35">$G115/D115-1</f>
        <v>-1.8782448556921016E-2</v>
      </c>
      <c r="I115" s="118">
        <f t="shared" si="35"/>
        <v>-1.6744385927287997E-2</v>
      </c>
      <c r="J115" s="235">
        <f t="shared" ref="J115:J116" si="36">$G115/F115-1</f>
        <v>1.7517991783133624E-4</v>
      </c>
      <c r="K115" s="361"/>
      <c r="L115" s="361"/>
      <c r="M115" s="361"/>
      <c r="N115" s="361"/>
    </row>
    <row r="116" spans="2:14" x14ac:dyDescent="0.25">
      <c r="B116" s="491" t="s">
        <v>83</v>
      </c>
      <c r="C116" s="492"/>
      <c r="D116" s="82">
        <f t="shared" ref="D116:G117" si="37">((D122*4)+(D128*8))/12</f>
        <v>289.9466580571015</v>
      </c>
      <c r="E116" s="82">
        <f t="shared" si="37"/>
        <v>289.21773311929616</v>
      </c>
      <c r="F116" s="83">
        <f t="shared" si="37"/>
        <v>284.24071087202111</v>
      </c>
      <c r="G116" s="83">
        <f t="shared" si="37"/>
        <v>284.29137856382846</v>
      </c>
      <c r="H116" s="84">
        <f t="shared" si="35"/>
        <v>-1.9504551392895531E-2</v>
      </c>
      <c r="I116" s="84">
        <f t="shared" si="35"/>
        <v>-1.7033376557984758E-2</v>
      </c>
      <c r="J116" s="235">
        <f t="shared" si="36"/>
        <v>1.7825628022083428E-4</v>
      </c>
      <c r="K116" s="362"/>
      <c r="M116" s="361"/>
      <c r="N116" s="361"/>
    </row>
    <row r="117" spans="2:14" ht="15.75" thickBot="1" x14ac:dyDescent="0.3">
      <c r="B117" s="489" t="s">
        <v>84</v>
      </c>
      <c r="C117" s="490"/>
      <c r="D117" s="85">
        <f>((D123*4)+(D129*8))/12</f>
        <v>835.66764675801062</v>
      </c>
      <c r="E117" s="85">
        <f t="shared" si="37"/>
        <v>833.87420064704509</v>
      </c>
      <c r="F117" s="86">
        <f t="shared" si="37"/>
        <v>819.03922359199714</v>
      </c>
      <c r="G117" s="86">
        <f t="shared" si="37"/>
        <v>819.19024844341413</v>
      </c>
      <c r="H117" s="87">
        <f t="shared" si="35"/>
        <v>-1.97176453803386E-2</v>
      </c>
      <c r="I117" s="87">
        <f t="shared" si="35"/>
        <v>-1.760931348186201E-2</v>
      </c>
      <c r="J117" s="236">
        <f>$G117/F117-1</f>
        <v>1.8439269703662831E-4</v>
      </c>
      <c r="K117" s="362"/>
      <c r="M117" s="361"/>
      <c r="N117" s="361"/>
    </row>
    <row r="118" spans="2:14" ht="15.75" thickBot="1" x14ac:dyDescent="0.3"/>
    <row r="119" spans="2:14" x14ac:dyDescent="0.25">
      <c r="B119" s="359" t="s">
        <v>85</v>
      </c>
      <c r="C119" s="289"/>
      <c r="D119" s="289"/>
      <c r="E119" s="289"/>
      <c r="F119" s="289"/>
      <c r="G119" s="289"/>
      <c r="H119" s="289"/>
      <c r="I119" s="289"/>
      <c r="J119" s="290"/>
    </row>
    <row r="120" spans="2:14" ht="30" x14ac:dyDescent="0.25">
      <c r="B120" s="196"/>
      <c r="C120" s="81"/>
      <c r="D120" s="111">
        <f>D114</f>
        <v>46023</v>
      </c>
      <c r="E120" s="111">
        <f>$E$32</f>
        <v>46174</v>
      </c>
      <c r="F120" s="8" t="str">
        <f>$D$3&amp;" Authorized"</f>
        <v>2026 Authorized</v>
      </c>
      <c r="G120" s="8" t="str">
        <f>$D$3&amp;" w/Pending"</f>
        <v>2026 w/Pending</v>
      </c>
      <c r="H120" s="8" t="str">
        <f>$H$32</f>
        <v>% Change over 1/1/2026</v>
      </c>
      <c r="I120" s="8" t="str">
        <f>$I$32</f>
        <v>% Change over 6/1/2026</v>
      </c>
      <c r="J120" s="356" t="s">
        <v>63</v>
      </c>
    </row>
    <row r="121" spans="2:14" x14ac:dyDescent="0.25">
      <c r="B121" s="491" t="s">
        <v>82</v>
      </c>
      <c r="C121" s="492"/>
      <c r="D121" s="82">
        <f>'Bill Impact (GS1)'!C37</f>
        <v>247.89437114853254</v>
      </c>
      <c r="E121" s="82">
        <f>'Bill Impact (GS1)'!E37</f>
        <v>247.49995346773042</v>
      </c>
      <c r="F121" s="82">
        <f>'Bill Impact (GS1)'!G37</f>
        <v>243.27799796620144</v>
      </c>
      <c r="G121" s="82">
        <f>'Bill Impact (GS1)'!I37</f>
        <v>243.32097883499159</v>
      </c>
      <c r="H121" s="84">
        <f>$G121/D121-1</f>
        <v>-1.8448955869194261E-2</v>
      </c>
      <c r="I121" s="84">
        <f>$G121/E121-1</f>
        <v>-1.6884749165351653E-2</v>
      </c>
      <c r="J121" s="235">
        <f>$G121/F121-1</f>
        <v>1.766738839905635E-4</v>
      </c>
    </row>
    <row r="122" spans="2:14" x14ac:dyDescent="0.25">
      <c r="B122" s="491" t="s">
        <v>83</v>
      </c>
      <c r="C122" s="492"/>
      <c r="D122" s="82">
        <f>'Bill Impact (GS1)'!C38</f>
        <v>395.54589091643379</v>
      </c>
      <c r="E122" s="82">
        <f>'Bill Impact (GS1)'!E38</f>
        <v>394.90481373883347</v>
      </c>
      <c r="F122" s="82">
        <f>'Bill Impact (GS1)'!G38</f>
        <v>388.01491883396943</v>
      </c>
      <c r="G122" s="82">
        <f>'Bill Impact (GS1)'!I38</f>
        <v>388.08506018642481</v>
      </c>
      <c r="H122" s="84">
        <f>$G122/D122-1</f>
        <v>-1.8862111581346763E-2</v>
      </c>
      <c r="I122" s="84">
        <f>$G122/E122-1</f>
        <v>-1.7269360400652967E-2</v>
      </c>
      <c r="J122" s="235">
        <f t="shared" ref="J122" si="38">$G122/F122-1</f>
        <v>1.8076973088088089E-4</v>
      </c>
      <c r="K122" s="363"/>
      <c r="L122" s="363"/>
      <c r="M122" s="363"/>
      <c r="N122" s="363"/>
    </row>
    <row r="123" spans="2:14" ht="15.75" thickBot="1" x14ac:dyDescent="0.3">
      <c r="B123" s="489" t="s">
        <v>84</v>
      </c>
      <c r="C123" s="490"/>
      <c r="D123" s="85">
        <f>'Bill Impact (GS1)'!C39</f>
        <v>1102.6340879676486</v>
      </c>
      <c r="E123" s="85">
        <f>'Bill Impact (GS1)'!E39</f>
        <v>1101.0671385159653</v>
      </c>
      <c r="F123" s="85">
        <f>'Bill Impact (GS1)'!G39</f>
        <v>1081.3961298272093</v>
      </c>
      <c r="G123" s="85">
        <f>'Bill Impact (GS1)'!I39</f>
        <v>1081.5963870405114</v>
      </c>
      <c r="H123" s="87">
        <f>$G123/D123-1</f>
        <v>-1.907949441860024E-2</v>
      </c>
      <c r="I123" s="87">
        <f>$G123/E123-1</f>
        <v>-1.7683527910656638E-2</v>
      </c>
      <c r="J123" s="236">
        <f>$G123/F123-1</f>
        <v>1.8518395597943993E-4</v>
      </c>
      <c r="K123" s="363"/>
      <c r="L123" s="363"/>
      <c r="M123" s="363"/>
      <c r="N123" s="363"/>
    </row>
    <row r="124" spans="2:14" ht="15.75" thickBot="1" x14ac:dyDescent="0.3">
      <c r="K124" s="363"/>
      <c r="L124" s="363"/>
      <c r="M124" s="363"/>
      <c r="N124" s="363"/>
    </row>
    <row r="125" spans="2:14" x14ac:dyDescent="0.25">
      <c r="B125" s="359" t="s">
        <v>86</v>
      </c>
      <c r="C125" s="289"/>
      <c r="D125" s="289"/>
      <c r="E125" s="289"/>
      <c r="F125" s="289"/>
      <c r="G125" s="289"/>
      <c r="H125" s="289"/>
      <c r="I125" s="289"/>
      <c r="J125" s="290"/>
    </row>
    <row r="126" spans="2:14" ht="30" x14ac:dyDescent="0.25">
      <c r="B126" s="196"/>
      <c r="C126" s="81"/>
      <c r="D126" s="111">
        <f>D114</f>
        <v>46023</v>
      </c>
      <c r="E126" s="111">
        <f>$E$32</f>
        <v>46174</v>
      </c>
      <c r="F126" s="8" t="str">
        <f>$D$3&amp;" Authorized"</f>
        <v>2026 Authorized</v>
      </c>
      <c r="G126" s="8" t="str">
        <f>$D$3&amp;" w/Pending"</f>
        <v>2026 w/Pending</v>
      </c>
      <c r="H126" s="8" t="str">
        <f>$H$32</f>
        <v>% Change over 1/1/2026</v>
      </c>
      <c r="I126" s="8" t="str">
        <f>$I$32</f>
        <v>% Change over 6/1/2026</v>
      </c>
      <c r="J126" s="356" t="s">
        <v>63</v>
      </c>
      <c r="K126" s="243"/>
    </row>
    <row r="127" spans="2:14" x14ac:dyDescent="0.25">
      <c r="B127" s="491" t="s">
        <v>82</v>
      </c>
      <c r="C127" s="492"/>
      <c r="D127" s="82">
        <f>'Bill Impact (GS1)'!D37</f>
        <v>203.47182334513127</v>
      </c>
      <c r="E127" s="82">
        <f>'Bill Impact (GS1)'!F37</f>
        <v>202.99036792289351</v>
      </c>
      <c r="F127" s="82">
        <f>'Bill Impact (GS1)'!H37</f>
        <v>199.57400917633441</v>
      </c>
      <c r="G127" s="82">
        <f>'Bill Impact (GS1)'!J37</f>
        <v>199.6087888103151</v>
      </c>
      <c r="H127" s="84">
        <f t="shared" ref="H127:I129" si="39">$G127/D127-1</f>
        <v>-1.898559943734146E-2</v>
      </c>
      <c r="I127" s="84">
        <f t="shared" si="39"/>
        <v>-1.6658815623522116E-2</v>
      </c>
      <c r="J127" s="235">
        <f t="shared" ref="J127:J129" si="40">$G127/F127-1</f>
        <v>1.7426935563524815E-4</v>
      </c>
    </row>
    <row r="128" spans="2:14" x14ac:dyDescent="0.25">
      <c r="B128" s="491" t="s">
        <v>83</v>
      </c>
      <c r="C128" s="492"/>
      <c r="D128" s="82">
        <f>'Bill Impact (GS1)'!D38</f>
        <v>237.14704162743536</v>
      </c>
      <c r="E128" s="82">
        <f>'Bill Impact (GS1)'!F38</f>
        <v>236.37419280952753</v>
      </c>
      <c r="F128" s="82">
        <f>'Bill Impact (GS1)'!H38</f>
        <v>232.35360689104692</v>
      </c>
      <c r="G128" s="82">
        <f>'Bill Impact (GS1)'!J38</f>
        <v>232.39453775253025</v>
      </c>
      <c r="H128" s="84">
        <f t="shared" si="39"/>
        <v>-2.00403253706678E-2</v>
      </c>
      <c r="I128" s="84">
        <f t="shared" si="39"/>
        <v>-1.6836250225523153E-2</v>
      </c>
      <c r="J128" s="235">
        <f t="shared" si="40"/>
        <v>1.7615763332012868E-4</v>
      </c>
    </row>
    <row r="129" spans="2:10" ht="15.75" thickBot="1" x14ac:dyDescent="0.3">
      <c r="B129" s="489" t="s">
        <v>84</v>
      </c>
      <c r="C129" s="490"/>
      <c r="D129" s="85">
        <f>'Bill Impact (GS1)'!D39</f>
        <v>702.18442615319179</v>
      </c>
      <c r="E129" s="85">
        <f>'Bill Impact (GS1)'!F39</f>
        <v>700.27773171258491</v>
      </c>
      <c r="F129" s="85">
        <f>'Bill Impact (GS1)'!H39</f>
        <v>687.86077047439096</v>
      </c>
      <c r="G129" s="85">
        <f>'Bill Impact (GS1)'!J39</f>
        <v>687.98717914486554</v>
      </c>
      <c r="H129" s="87">
        <f t="shared" si="39"/>
        <v>-2.0218686828620935E-2</v>
      </c>
      <c r="I129" s="87">
        <f t="shared" si="39"/>
        <v>-1.7550968724454274E-2</v>
      </c>
      <c r="J129" s="236">
        <f t="shared" si="40"/>
        <v>1.8377072207131917E-4</v>
      </c>
    </row>
  </sheetData>
  <mergeCells count="52">
    <mergeCell ref="B47:C47"/>
    <mergeCell ref="B42:C42"/>
    <mergeCell ref="B67:C67"/>
    <mergeCell ref="B69:C69"/>
    <mergeCell ref="L31:T31"/>
    <mergeCell ref="B35:C35"/>
    <mergeCell ref="B32:C32"/>
    <mergeCell ref="B33:C33"/>
    <mergeCell ref="L32:M32"/>
    <mergeCell ref="L33:M33"/>
    <mergeCell ref="L35:M35"/>
    <mergeCell ref="B54:C54"/>
    <mergeCell ref="B52:C52"/>
    <mergeCell ref="B53:C53"/>
    <mergeCell ref="B48:C48"/>
    <mergeCell ref="B40:C40"/>
    <mergeCell ref="B41:C41"/>
    <mergeCell ref="B46:C46"/>
    <mergeCell ref="B59:C59"/>
    <mergeCell ref="B91:C91"/>
    <mergeCell ref="B92:C92"/>
    <mergeCell ref="B86:C86"/>
    <mergeCell ref="B87:C87"/>
    <mergeCell ref="B60:C60"/>
    <mergeCell ref="B81:C81"/>
    <mergeCell ref="B82:C82"/>
    <mergeCell ref="B61:C61"/>
    <mergeCell ref="B62:C62"/>
    <mergeCell ref="B76:C76"/>
    <mergeCell ref="B74:C74"/>
    <mergeCell ref="B75:C75"/>
    <mergeCell ref="B66:C66"/>
    <mergeCell ref="B68:C68"/>
    <mergeCell ref="B73:C73"/>
    <mergeCell ref="B97:C97"/>
    <mergeCell ref="B98:C98"/>
    <mergeCell ref="B99:C99"/>
    <mergeCell ref="B110:C110"/>
    <mergeCell ref="B111:C111"/>
    <mergeCell ref="B103:C103"/>
    <mergeCell ref="B104:C104"/>
    <mergeCell ref="B105:C105"/>
    <mergeCell ref="B109:C109"/>
    <mergeCell ref="B123:C123"/>
    <mergeCell ref="B127:C127"/>
    <mergeCell ref="B128:C128"/>
    <mergeCell ref="B129:C129"/>
    <mergeCell ref="B115:C115"/>
    <mergeCell ref="B116:C116"/>
    <mergeCell ref="B117:C117"/>
    <mergeCell ref="B121:C121"/>
    <mergeCell ref="B122:C122"/>
  </mergeCells>
  <phoneticPr fontId="31" type="noConversion"/>
  <dataValidations count="2">
    <dataValidation type="list" allowBlank="1" showInputMessage="1" showErrorMessage="1" sqref="D4" xr:uid="{00000000-0002-0000-0000-000000000000}">
      <formula1>"5 warm,6 cool,8 cool,9 warm, 10 hot (Sec 745),13 hot,14 hot,15 hot,16 cool,ALL"</formula1>
    </dataValidation>
    <dataValidation type="list" allowBlank="1" showInputMessage="1" showErrorMessage="1" sqref="J3" xr:uid="{089C344A-81BB-4FD6-8D5F-1D05DF1DAAC9}">
      <formula1>"Y, 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'Incremental Rev Req'!$F$8:$J$8</xm:f>
          </x14:formula1>
          <xm:sqref>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FF11-4C03-4F60-8E92-C013CB5CB163}">
  <sheetPr codeName="Sheet10">
    <tabColor theme="8" tint="0.59999389629810485"/>
  </sheetPr>
  <dimension ref="B1:Z57"/>
  <sheetViews>
    <sheetView workbookViewId="0">
      <selection activeCell="B52" sqref="B52:C52"/>
    </sheetView>
  </sheetViews>
  <sheetFormatPr defaultColWidth="8.7109375" defaultRowHeight="15" x14ac:dyDescent="0.25"/>
  <cols>
    <col min="1" max="1" width="3.5703125" style="38" customWidth="1"/>
    <col min="2" max="3" width="19.42578125" style="38" customWidth="1"/>
    <col min="4" max="4" width="10.5703125" style="38" customWidth="1"/>
    <col min="5" max="5" width="20.7109375" style="38" customWidth="1"/>
    <col min="6" max="14" width="15" style="38" customWidth="1"/>
    <col min="15" max="16" width="17" style="38" customWidth="1"/>
    <col min="17" max="17" width="20.5703125" style="38" customWidth="1"/>
    <col min="18" max="18" width="14" style="38" customWidth="1"/>
    <col min="19" max="19" width="16.42578125" style="38" customWidth="1"/>
    <col min="20" max="20" width="15.7109375" style="38" bestFit="1" customWidth="1"/>
    <col min="21" max="21" width="16.5703125" style="38" bestFit="1" customWidth="1"/>
    <col min="22" max="22" width="15.42578125" style="38" customWidth="1"/>
    <col min="23" max="23" width="15" style="38" bestFit="1" customWidth="1"/>
    <col min="24" max="24" width="12" style="38" bestFit="1" customWidth="1"/>
    <col min="25" max="16384" width="8.7109375" style="38"/>
  </cols>
  <sheetData>
    <row r="1" spans="2:23"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2:23" ht="15.75" x14ac:dyDescent="0.25">
      <c r="B2" s="112"/>
      <c r="C2" s="198" t="s">
        <v>510</v>
      </c>
      <c r="D2" s="112"/>
      <c r="E2" s="112"/>
      <c r="F2" s="112"/>
      <c r="G2" s="112"/>
      <c r="H2" s="112"/>
      <c r="I2" s="112"/>
      <c r="J2" s="112"/>
      <c r="K2" s="112"/>
      <c r="L2" s="112"/>
      <c r="M2" s="112"/>
      <c r="N2" s="112"/>
      <c r="O2" s="112"/>
      <c r="P2" s="112"/>
      <c r="Q2" s="112"/>
      <c r="R2" s="112"/>
      <c r="S2" s="112"/>
      <c r="T2" s="112"/>
      <c r="U2" s="112"/>
    </row>
    <row r="3" spans="2:23" x14ac:dyDescent="0.25">
      <c r="B3" s="4"/>
      <c r="C3" s="198"/>
      <c r="I3" s="132"/>
      <c r="O3" s="89"/>
      <c r="P3" s="89"/>
      <c r="Q3" s="89"/>
      <c r="R3" s="89"/>
      <c r="S3" s="89"/>
      <c r="T3" s="89"/>
      <c r="U3" s="89"/>
    </row>
    <row r="4" spans="2:23" ht="15.75" x14ac:dyDescent="0.25">
      <c r="B4" s="67" t="s">
        <v>142</v>
      </c>
      <c r="C4" s="120">
        <f>'Simple Bill Insert Calc (2)'!D8</f>
        <v>0</v>
      </c>
      <c r="F4" s="512" t="s">
        <v>380</v>
      </c>
      <c r="G4" s="512"/>
      <c r="H4" s="512"/>
      <c r="I4" s="512"/>
      <c r="J4" s="512"/>
      <c r="K4" s="512"/>
      <c r="L4" s="512"/>
      <c r="M4" s="512"/>
      <c r="N4" s="512"/>
      <c r="O4" s="512"/>
      <c r="P4" s="10"/>
      <c r="Q4" s="2"/>
      <c r="R4" s="2"/>
      <c r="S4" s="2"/>
      <c r="T4" s="2"/>
      <c r="U4" s="2"/>
      <c r="V4" s="2"/>
    </row>
    <row r="5" spans="2:23" ht="15.75" x14ac:dyDescent="0.25">
      <c r="B5" s="67" t="s">
        <v>147</v>
      </c>
      <c r="C5" s="5">
        <f>'Simple Bill Insert Calc (2)'!D9</f>
        <v>0</v>
      </c>
      <c r="E5" s="9"/>
      <c r="F5" s="10" t="s">
        <v>142</v>
      </c>
      <c r="G5" s="10" t="s">
        <v>147</v>
      </c>
      <c r="H5" s="10" t="s">
        <v>381</v>
      </c>
      <c r="I5" s="10" t="s">
        <v>382</v>
      </c>
      <c r="J5" s="10" t="s">
        <v>228</v>
      </c>
      <c r="K5" s="10" t="s">
        <v>383</v>
      </c>
      <c r="L5" s="10" t="s">
        <v>384</v>
      </c>
      <c r="M5" s="10" t="s">
        <v>287</v>
      </c>
      <c r="N5" s="94" t="s">
        <v>385</v>
      </c>
      <c r="O5" s="94" t="s">
        <v>386</v>
      </c>
      <c r="P5" s="94" t="s">
        <v>296</v>
      </c>
      <c r="Q5" s="94" t="s">
        <v>387</v>
      </c>
    </row>
    <row r="6" spans="2:23" ht="15.75" x14ac:dyDescent="0.25">
      <c r="B6" s="67" t="s">
        <v>158</v>
      </c>
      <c r="C6" s="5">
        <f>'Simple Bill Insert Calc (2)'!D10</f>
        <v>0</v>
      </c>
      <c r="E6" s="9" t="s">
        <v>64</v>
      </c>
      <c r="F6" s="149">
        <f>'SAR and RAR'!G37</f>
        <v>0.4392179092111192</v>
      </c>
      <c r="G6" s="194">
        <v>0.49706278841590912</v>
      </c>
      <c r="H6" s="149">
        <f>'SAR and RAR'!I37</f>
        <v>0.33985821314569858</v>
      </c>
      <c r="I6" s="174">
        <v>0.44820413690916505</v>
      </c>
      <c r="J6" s="149">
        <f>'SAR and RAR'!K37</f>
        <v>0.46036755275429397</v>
      </c>
      <c r="K6" s="149">
        <f>'SAR and RAR'!L37</f>
        <v>0.44059506075429322</v>
      </c>
      <c r="L6" s="149">
        <f>'SAR and RAR'!M37</f>
        <v>0.47013057583015611</v>
      </c>
      <c r="M6" s="149">
        <f>'SAR and RAR'!N37</f>
        <v>0.31182347091966511</v>
      </c>
      <c r="N6" s="149">
        <f>'SAR and RAR'!O37</f>
        <v>0.78974502168115579</v>
      </c>
      <c r="O6" s="149">
        <f>'SAR and RAR'!P37</f>
        <v>0.26390379068008285</v>
      </c>
      <c r="P6" s="149">
        <f>'SAR and RAR'!Q37</f>
        <v>0.3398582131456987</v>
      </c>
      <c r="Q6" s="149">
        <f>'SAR and RAR'!R37</f>
        <v>0.36779708140033684</v>
      </c>
    </row>
    <row r="7" spans="2:23" ht="15.75" x14ac:dyDescent="0.25">
      <c r="B7" s="67" t="s">
        <v>157</v>
      </c>
      <c r="C7" s="5">
        <f>'Simple Bill Insert Calc (2)'!D11</f>
        <v>0</v>
      </c>
      <c r="E7" s="9"/>
      <c r="F7" s="12"/>
      <c r="G7" s="12"/>
      <c r="H7" s="12"/>
      <c r="I7" s="12"/>
      <c r="K7" s="12"/>
      <c r="L7" s="12"/>
      <c r="M7" s="12"/>
      <c r="N7" s="12"/>
      <c r="O7" s="12"/>
      <c r="P7" s="12"/>
      <c r="Q7" s="12"/>
    </row>
    <row r="8" spans="2:23" ht="16.350000000000001" customHeight="1" x14ac:dyDescent="0.25">
      <c r="B8" s="67" t="s">
        <v>228</v>
      </c>
      <c r="C8" s="5">
        <f>'Simple Bill Insert Calc (2)'!D12</f>
        <v>0</v>
      </c>
      <c r="E8" s="37"/>
      <c r="F8" s="512" t="s">
        <v>511</v>
      </c>
      <c r="G8" s="512"/>
      <c r="H8" s="512"/>
      <c r="I8" s="512"/>
      <c r="J8" s="512"/>
      <c r="K8" s="512"/>
      <c r="L8" s="512"/>
      <c r="M8" s="512"/>
      <c r="N8" s="512"/>
      <c r="O8" s="512"/>
      <c r="P8" s="185"/>
      <c r="Q8" s="185"/>
      <c r="R8" s="158"/>
      <c r="V8" s="9"/>
      <c r="W8" s="116"/>
    </row>
    <row r="9" spans="2:23" ht="15.75" customHeight="1" x14ac:dyDescent="0.25">
      <c r="B9" s="67" t="s">
        <v>145</v>
      </c>
      <c r="C9" s="5">
        <f>'Simple Bill Insert Calc (2)'!D13</f>
        <v>0</v>
      </c>
      <c r="E9" s="115"/>
      <c r="F9" s="10" t="s">
        <v>142</v>
      </c>
      <c r="G9" s="10" t="s">
        <v>147</v>
      </c>
      <c r="H9" s="10" t="s">
        <v>381</v>
      </c>
      <c r="I9" s="10" t="s">
        <v>382</v>
      </c>
      <c r="J9" s="10" t="s">
        <v>228</v>
      </c>
      <c r="K9" s="10" t="s">
        <v>383</v>
      </c>
      <c r="L9" s="10" t="s">
        <v>384</v>
      </c>
      <c r="M9" s="10" t="s">
        <v>287</v>
      </c>
      <c r="N9" s="10" t="s">
        <v>385</v>
      </c>
      <c r="O9" s="10" t="s">
        <v>386</v>
      </c>
      <c r="P9" s="94" t="s">
        <v>296</v>
      </c>
      <c r="Q9" s="94" t="s">
        <v>387</v>
      </c>
      <c r="R9" s="10" t="s">
        <v>71</v>
      </c>
      <c r="S9" s="94" t="s">
        <v>390</v>
      </c>
      <c r="V9" s="105" t="s">
        <v>512</v>
      </c>
      <c r="W9" s="213">
        <f>'SAR and RAR'!Q58</f>
        <v>0.30361324593050965</v>
      </c>
    </row>
    <row r="10" spans="2:23" ht="15.75" x14ac:dyDescent="0.25">
      <c r="B10" s="67" t="s">
        <v>283</v>
      </c>
      <c r="C10" s="5">
        <f>'Simple Bill Insert Calc (2)'!D14</f>
        <v>0</v>
      </c>
      <c r="E10" s="9" t="s">
        <v>64</v>
      </c>
      <c r="F10" s="72">
        <f t="shared" ref="F10:P10" si="0">F6*F11</f>
        <v>0</v>
      </c>
      <c r="G10" s="72">
        <f t="shared" si="0"/>
        <v>0</v>
      </c>
      <c r="H10" s="72">
        <f t="shared" si="0"/>
        <v>0</v>
      </c>
      <c r="I10" s="72">
        <f t="shared" si="0"/>
        <v>0</v>
      </c>
      <c r="J10" s="72">
        <f t="shared" si="0"/>
        <v>0</v>
      </c>
      <c r="K10" s="72">
        <f t="shared" si="0"/>
        <v>0</v>
      </c>
      <c r="L10" s="72">
        <f t="shared" si="0"/>
        <v>0</v>
      </c>
      <c r="M10" s="72">
        <f t="shared" si="0"/>
        <v>0</v>
      </c>
      <c r="N10" s="72">
        <f t="shared" si="0"/>
        <v>0</v>
      </c>
      <c r="O10" s="72">
        <f t="shared" si="0"/>
        <v>0</v>
      </c>
      <c r="P10" s="72">
        <f t="shared" si="0"/>
        <v>0</v>
      </c>
      <c r="Q10" s="72">
        <f>Q6*Q11</f>
        <v>0</v>
      </c>
      <c r="R10" s="72">
        <f>SUM(F10:Q10)</f>
        <v>0</v>
      </c>
      <c r="S10" s="72">
        <f>(-W11+W14)</f>
        <v>0</v>
      </c>
      <c r="V10" s="105" t="s">
        <v>476</v>
      </c>
      <c r="W10" s="213">
        <f>'SAR and RAR'!X10</f>
        <v>0.32500000000000001</v>
      </c>
    </row>
    <row r="11" spans="2:23" ht="15.75" x14ac:dyDescent="0.25">
      <c r="B11" s="67" t="s">
        <v>287</v>
      </c>
      <c r="C11" s="5">
        <f>'Simple Bill Insert Calc (2)'!D15</f>
        <v>0</v>
      </c>
      <c r="E11" s="9" t="s">
        <v>393</v>
      </c>
      <c r="F11" s="73">
        <f>C4</f>
        <v>0</v>
      </c>
      <c r="G11" s="73">
        <f>C5</f>
        <v>0</v>
      </c>
      <c r="H11" s="73">
        <f>C6</f>
        <v>0</v>
      </c>
      <c r="I11" s="73">
        <f>C7</f>
        <v>0</v>
      </c>
      <c r="J11" s="73">
        <f>C8</f>
        <v>0</v>
      </c>
      <c r="K11" s="73">
        <f>C9</f>
        <v>0</v>
      </c>
      <c r="L11" s="73">
        <f>C10</f>
        <v>0</v>
      </c>
      <c r="M11" s="73">
        <f>C11</f>
        <v>0</v>
      </c>
      <c r="N11" s="73">
        <f>C12</f>
        <v>0</v>
      </c>
      <c r="O11" s="73">
        <f>C13</f>
        <v>0</v>
      </c>
      <c r="P11" s="73">
        <f>C14</f>
        <v>0</v>
      </c>
      <c r="Q11" s="73">
        <f>C15</f>
        <v>0</v>
      </c>
      <c r="R11" s="72">
        <f>SUM(F11:Q11)</f>
        <v>0</v>
      </c>
      <c r="S11" s="72">
        <v>0</v>
      </c>
      <c r="V11" s="105" t="s">
        <v>394</v>
      </c>
      <c r="W11" s="73">
        <f>SUM(F10*F16/'SAR and RAR'!K58*'SAR and RAR'!O58,G10:M10,P10)*W9*W10</f>
        <v>0</v>
      </c>
    </row>
    <row r="12" spans="2:23" ht="15.75" x14ac:dyDescent="0.25">
      <c r="B12" s="67" t="s">
        <v>173</v>
      </c>
      <c r="C12" s="5">
        <f>'Simple Bill Insert Calc (2)'!D16</f>
        <v>0</v>
      </c>
      <c r="E12" s="115"/>
      <c r="V12" s="105" t="s">
        <v>513</v>
      </c>
      <c r="W12" s="73">
        <f>'SAR and RAR'!G58</f>
        <v>19039213.856099002</v>
      </c>
    </row>
    <row r="13" spans="2:23" ht="15.75" customHeight="1" x14ac:dyDescent="0.25">
      <c r="B13" s="67" t="s">
        <v>277</v>
      </c>
      <c r="C13" s="5">
        <f>'Simple Bill Insert Calc (2)'!D17</f>
        <v>0</v>
      </c>
      <c r="R13" s="143"/>
      <c r="S13" s="116"/>
      <c r="V13" s="105" t="s">
        <v>396</v>
      </c>
      <c r="W13" s="73">
        <f>'SAR and RAR'!G64</f>
        <v>71720228.921294004</v>
      </c>
    </row>
    <row r="14" spans="2:23" ht="15.75" customHeight="1" x14ac:dyDescent="0.25">
      <c r="B14" s="43" t="s">
        <v>296</v>
      </c>
      <c r="C14" s="5">
        <f>'Simple Bill Insert Calc (2)'!D18</f>
        <v>0</v>
      </c>
      <c r="E14" s="37"/>
      <c r="F14" s="514" t="s">
        <v>400</v>
      </c>
      <c r="G14" s="514"/>
      <c r="H14" s="514"/>
      <c r="I14" s="514"/>
      <c r="J14" s="514"/>
      <c r="K14" s="514"/>
      <c r="L14" s="514"/>
      <c r="M14" s="514"/>
      <c r="N14" s="514"/>
      <c r="O14" s="514"/>
      <c r="P14" s="514"/>
      <c r="Q14" s="186"/>
      <c r="R14" s="157" t="s">
        <v>514</v>
      </c>
      <c r="S14" s="9"/>
      <c r="V14" s="105" t="s">
        <v>397</v>
      </c>
      <c r="W14" s="73">
        <f>W11*W12/W13</f>
        <v>0</v>
      </c>
    </row>
    <row r="15" spans="2:23" ht="15.75" x14ac:dyDescent="0.25">
      <c r="B15" s="67" t="s">
        <v>387</v>
      </c>
      <c r="C15" s="65">
        <f>'Simple Bill Insert Calc (2)'!D19</f>
        <v>0</v>
      </c>
      <c r="F15" s="10" t="s">
        <v>142</v>
      </c>
      <c r="G15" s="10" t="s">
        <v>147</v>
      </c>
      <c r="H15" s="10" t="s">
        <v>381</v>
      </c>
      <c r="I15" s="10" t="s">
        <v>382</v>
      </c>
      <c r="J15" s="10" t="s">
        <v>228</v>
      </c>
      <c r="K15" s="10" t="s">
        <v>383</v>
      </c>
      <c r="L15" s="10" t="s">
        <v>384</v>
      </c>
      <c r="M15" s="10" t="s">
        <v>287</v>
      </c>
      <c r="N15" s="10" t="s">
        <v>385</v>
      </c>
      <c r="O15" s="10" t="s">
        <v>386</v>
      </c>
      <c r="P15" s="10" t="s">
        <v>296</v>
      </c>
      <c r="Q15" s="94" t="s">
        <v>387</v>
      </c>
      <c r="R15" s="106" t="s">
        <v>71</v>
      </c>
      <c r="S15" s="33"/>
    </row>
    <row r="16" spans="2:23" ht="15.75" x14ac:dyDescent="0.25">
      <c r="B16" s="67" t="s">
        <v>71</v>
      </c>
      <c r="C16" s="66">
        <f>SUM(C4:C15)</f>
        <v>0</v>
      </c>
      <c r="E16" s="9" t="s">
        <v>64</v>
      </c>
      <c r="F16" s="159">
        <f>'SAR and RAR'!G44</f>
        <v>0.92931330893271435</v>
      </c>
      <c r="G16" s="159">
        <f>'SAR and RAR'!H44</f>
        <v>0.70339959493398363</v>
      </c>
      <c r="H16" s="159">
        <f>'SAR and RAR'!I44</f>
        <v>0.71543158412674246</v>
      </c>
      <c r="I16" s="159">
        <f>'SAR and RAR'!J44</f>
        <v>0.70415704076223773</v>
      </c>
      <c r="J16" s="159">
        <f>'SAR and RAR'!K44</f>
        <v>0.71543158412674235</v>
      </c>
      <c r="K16" s="159">
        <f>'SAR and RAR'!L44</f>
        <v>0.71543158412674235</v>
      </c>
      <c r="L16" s="159">
        <f>'SAR and RAR'!M44</f>
        <v>0.71543158412674246</v>
      </c>
      <c r="M16" s="159">
        <f>'SAR and RAR'!N44</f>
        <v>0.71543158412674235</v>
      </c>
      <c r="N16" s="159">
        <f>'SAR and RAR'!O44</f>
        <v>0.7043649741929412</v>
      </c>
      <c r="O16" s="159">
        <f>'SAR and RAR'!P44</f>
        <v>0.69700272675953612</v>
      </c>
      <c r="P16" s="159">
        <f>'SAR and RAR'!Q44</f>
        <v>0.71543158412674246</v>
      </c>
      <c r="Q16" s="159">
        <f>'SAR and RAR'!R44</f>
        <v>0.69700272675953623</v>
      </c>
      <c r="R16" s="107">
        <f>SUMPRODUCT(F10:Q10,F16:Q16)+S10*'SAR and RAR'!X15</f>
        <v>0</v>
      </c>
      <c r="S16" s="108"/>
      <c r="T16" s="115"/>
    </row>
    <row r="17" spans="2:26" ht="15.75" x14ac:dyDescent="0.25">
      <c r="B17" s="9"/>
      <c r="C17" s="5"/>
      <c r="E17" s="9" t="s">
        <v>393</v>
      </c>
      <c r="F17" s="159">
        <f>'SAR and RAR'!G50</f>
        <v>0.92577705930122733</v>
      </c>
      <c r="G17" s="159">
        <f>'SAR and RAR'!H50</f>
        <v>0.6582513662307431</v>
      </c>
      <c r="H17" s="159">
        <f>'SAR and RAR'!I50</f>
        <v>0.63884781761044163</v>
      </c>
      <c r="I17" s="159">
        <f>'SAR and RAR'!J50</f>
        <v>0.64896038306051473</v>
      </c>
      <c r="J17" s="159">
        <f>'SAR and RAR'!K50</f>
        <v>0.65202373338515018</v>
      </c>
      <c r="K17" s="159">
        <f>'SAR and RAR'!L50</f>
        <v>0.64852684011010642</v>
      </c>
      <c r="L17" s="159">
        <f>'SAR and RAR'!M50</f>
        <v>0.6706488897125521</v>
      </c>
      <c r="M17" s="159">
        <f>'SAR and RAR'!N50</f>
        <v>0.63598061936817685</v>
      </c>
      <c r="N17" s="159">
        <f>'SAR and RAR'!O50</f>
        <v>0.68066315360358887</v>
      </c>
      <c r="O17" s="159">
        <f>'SAR and RAR'!P50</f>
        <v>0.62517281715196638</v>
      </c>
      <c r="P17" s="159">
        <f>'SAR and RAR'!Q50</f>
        <v>0.63884781761044174</v>
      </c>
      <c r="Q17" s="159">
        <f>'SAR and RAR'!R50</f>
        <v>0.63537665490889106</v>
      </c>
      <c r="R17" s="107">
        <f>SUMPRODUCT(F11:Q11,F17:Q17)</f>
        <v>0</v>
      </c>
      <c r="S17" s="108"/>
      <c r="T17" s="9"/>
      <c r="W17" s="9"/>
      <c r="X17" s="116"/>
    </row>
    <row r="18" spans="2:26" ht="15.75" x14ac:dyDescent="0.25">
      <c r="B18" s="11"/>
      <c r="C18" s="5"/>
      <c r="D18" s="37"/>
      <c r="F18" s="103"/>
      <c r="G18" s="103"/>
      <c r="H18" s="103"/>
      <c r="I18" s="103"/>
      <c r="J18" s="103"/>
      <c r="K18" s="103"/>
      <c r="L18" s="103"/>
      <c r="M18" s="103"/>
      <c r="N18" s="103"/>
      <c r="O18" s="103"/>
      <c r="P18" s="103"/>
      <c r="Q18" s="103"/>
      <c r="S18" s="9"/>
      <c r="T18" s="33"/>
      <c r="W18" s="145"/>
      <c r="X18" s="134"/>
    </row>
    <row r="19" spans="2:26" ht="15.75" x14ac:dyDescent="0.25">
      <c r="B19" s="11"/>
      <c r="C19" s="5"/>
      <c r="E19" s="2"/>
      <c r="F19" s="103"/>
      <c r="G19" s="103"/>
      <c r="H19" s="103"/>
      <c r="I19" s="103"/>
      <c r="J19" s="103"/>
      <c r="K19" s="103"/>
      <c r="L19" s="103"/>
      <c r="M19" s="103"/>
      <c r="N19" s="103"/>
      <c r="P19" s="103"/>
      <c r="Q19" s="103"/>
      <c r="R19" s="108">
        <f>N10*N16</f>
        <v>0</v>
      </c>
      <c r="S19" s="108"/>
      <c r="T19" s="108"/>
      <c r="W19" s="145"/>
      <c r="X19" s="134"/>
      <c r="Y19" s="103"/>
    </row>
    <row r="20" spans="2:26" ht="15.75" x14ac:dyDescent="0.25">
      <c r="B20" s="11"/>
      <c r="C20" s="11"/>
      <c r="F20" s="103"/>
      <c r="G20" s="103"/>
      <c r="H20" s="103"/>
      <c r="I20" s="103"/>
      <c r="J20" s="103"/>
      <c r="K20" s="103"/>
      <c r="L20" s="103"/>
      <c r="M20" s="103"/>
      <c r="N20" s="103"/>
      <c r="P20" s="103"/>
      <c r="Q20" s="103"/>
      <c r="S20" s="108"/>
      <c r="V20" s="145"/>
      <c r="W20" s="73"/>
      <c r="X20" s="103"/>
    </row>
    <row r="21" spans="2:26" ht="15.75" x14ac:dyDescent="0.25">
      <c r="B21" s="11"/>
      <c r="C21" s="11"/>
      <c r="D21" s="33"/>
      <c r="E21" s="33"/>
      <c r="F21" s="33"/>
      <c r="G21" s="33"/>
      <c r="H21" s="33"/>
      <c r="I21" s="33"/>
      <c r="J21" s="33"/>
      <c r="K21" s="33"/>
      <c r="L21" s="33"/>
      <c r="O21" s="33"/>
      <c r="P21" s="33"/>
      <c r="Q21" s="113"/>
      <c r="R21" s="91"/>
      <c r="S21" s="91"/>
      <c r="T21" s="91"/>
      <c r="V21" s="9"/>
    </row>
    <row r="22" spans="2:26" ht="15.75" x14ac:dyDescent="0.25">
      <c r="B22" s="11"/>
      <c r="C22" s="11"/>
      <c r="D22" s="9"/>
      <c r="E22" s="507" t="s">
        <v>405</v>
      </c>
      <c r="F22" s="508"/>
      <c r="G22" s="508"/>
      <c r="H22" s="509"/>
      <c r="I22" s="9"/>
      <c r="J22" s="9"/>
      <c r="M22" s="507" t="s">
        <v>406</v>
      </c>
      <c r="N22" s="508"/>
      <c r="O22" s="508"/>
      <c r="P22" s="509"/>
      <c r="S22" s="9"/>
      <c r="T22" s="92"/>
      <c r="W22" s="9"/>
      <c r="X22" s="9"/>
    </row>
    <row r="23" spans="2:26" ht="31.5" x14ac:dyDescent="0.25">
      <c r="B23" s="11"/>
      <c r="C23" s="11"/>
      <c r="D23" s="9"/>
      <c r="E23" s="10" t="str">
        <f>'Simple Bill Insert Calc (2)'!M4&amp;" Sales"</f>
        <v>2026 Sales</v>
      </c>
      <c r="F23" s="10" t="str">
        <f>'SAR and RAR'!G27</f>
        <v>6/1/2026 Avg Rates</v>
      </c>
      <c r="G23" s="10" t="s">
        <v>515</v>
      </c>
      <c r="H23" s="10" t="s">
        <v>516</v>
      </c>
      <c r="L23" s="9"/>
      <c r="M23" s="10" t="str">
        <f>'Simple Bill Insert Calc (2)'!M4&amp;" Sales"</f>
        <v>2026 Sales</v>
      </c>
      <c r="N23" s="10" t="str">
        <f>'SAR and RAR'!O27</f>
        <v>6/1/2026 Avg Rates</v>
      </c>
      <c r="O23" s="10" t="s">
        <v>515</v>
      </c>
      <c r="P23" s="10" t="s">
        <v>516</v>
      </c>
      <c r="T23" s="11"/>
      <c r="V23" s="279"/>
      <c r="W23" s="279"/>
      <c r="Y23" s="279"/>
      <c r="Z23" s="279"/>
    </row>
    <row r="24" spans="2:26" ht="15.75" x14ac:dyDescent="0.25">
      <c r="B24" s="11"/>
      <c r="C24" s="11"/>
      <c r="D24" s="13" t="s">
        <v>64</v>
      </c>
      <c r="E24" s="72">
        <f>'SAR and RAR'!K58</f>
        <v>19559899.509799</v>
      </c>
      <c r="F24" s="146">
        <f>IF('Simple Bill Insert Calc (2)'!$D$6="Y",'SAR and RAR'!W32,'SAR and RAR'!X32)</f>
        <v>34.420671791313382</v>
      </c>
      <c r="G24" s="137">
        <f>R16/E24*100+F24</f>
        <v>34.420671791313382</v>
      </c>
      <c r="H24" s="15">
        <f>G24/F24-1</f>
        <v>0</v>
      </c>
      <c r="L24" s="13" t="s">
        <v>64</v>
      </c>
      <c r="M24" s="72">
        <f>'SAR and RAR'!O58</f>
        <v>27339999.999769002</v>
      </c>
      <c r="N24" s="146">
        <f>IF('Simple Bill Insert Calc (2)'!$D$6="Y",'SAR and RAR'!Z32,'SAR and RAR'!AA32)</f>
        <v>32.047477717664698</v>
      </c>
      <c r="O24" s="137">
        <f>SUM(R10:S10)/M24*100+N24</f>
        <v>32.047477717664698</v>
      </c>
      <c r="P24" s="15">
        <f>O24/N24-1</f>
        <v>0</v>
      </c>
      <c r="S24" s="3"/>
      <c r="U24" s="207"/>
      <c r="V24" s="92"/>
      <c r="W24" s="92"/>
      <c r="X24" s="13"/>
      <c r="Y24" s="219"/>
      <c r="Z24" s="219"/>
    </row>
    <row r="25" spans="2:26" ht="15.75" x14ac:dyDescent="0.25">
      <c r="B25" s="11"/>
      <c r="C25" s="11"/>
      <c r="D25" s="13" t="s">
        <v>393</v>
      </c>
      <c r="E25" s="72">
        <f>'SAR and RAR'!K64</f>
        <v>51392312.0224078</v>
      </c>
      <c r="F25" s="146">
        <f>IF('Simple Bill Insert Calc (2)'!$D$6="Y",'SAR and RAR'!W33,'SAR and RAR'!X33)</f>
        <v>28.827784535157313</v>
      </c>
      <c r="G25" s="137">
        <f>R17/E25*100+F25</f>
        <v>28.827784535157313</v>
      </c>
      <c r="H25" s="15">
        <f>G25/F25-1</f>
        <v>0</v>
      </c>
      <c r="L25" s="13" t="s">
        <v>393</v>
      </c>
      <c r="M25" s="72">
        <f>'SAR and RAR'!O64</f>
        <v>80445312.022437811</v>
      </c>
      <c r="N25" s="146">
        <f>IF('Simple Bill Insert Calc (2)'!$D$6="Y",'SAR and RAR'!Z33,'SAR and RAR'!AA33)</f>
        <v>25.162700793487694</v>
      </c>
      <c r="O25" s="137">
        <f>SUM(R11:S11)/M25*100+N25</f>
        <v>25.162700793487694</v>
      </c>
      <c r="P25" s="15">
        <f>O25/N25-1</f>
        <v>0</v>
      </c>
      <c r="S25" s="103"/>
      <c r="U25" s="207"/>
      <c r="V25" s="92"/>
      <c r="W25" s="92"/>
      <c r="X25" s="13"/>
      <c r="Y25" s="219"/>
      <c r="Z25" s="219"/>
    </row>
    <row r="26" spans="2:26" ht="15.75" x14ac:dyDescent="0.25">
      <c r="B26" s="11"/>
      <c r="C26" s="11"/>
      <c r="O26" s="9"/>
      <c r="P26" s="9"/>
      <c r="Q26" s="113"/>
      <c r="R26" s="91"/>
      <c r="S26" s="113"/>
      <c r="T26" s="92"/>
      <c r="V26" s="103"/>
    </row>
    <row r="27" spans="2:26" ht="15.75" x14ac:dyDescent="0.25">
      <c r="E27" s="146"/>
      <c r="F27" s="146"/>
      <c r="G27" s="152"/>
      <c r="H27" s="152"/>
      <c r="I27" s="147"/>
      <c r="J27" s="147"/>
      <c r="L27" s="13"/>
      <c r="M27" s="72"/>
      <c r="N27" s="146"/>
      <c r="O27" s="152"/>
      <c r="P27" s="152"/>
      <c r="Q27" s="113"/>
      <c r="R27" s="147"/>
      <c r="S27" s="147"/>
      <c r="T27" s="93"/>
    </row>
    <row r="28" spans="2:26" ht="15.75" x14ac:dyDescent="0.25">
      <c r="D28" s="9"/>
      <c r="E28" s="146"/>
      <c r="F28" s="146"/>
      <c r="G28" s="152"/>
      <c r="H28" s="152"/>
      <c r="I28" s="147"/>
      <c r="J28" s="147"/>
      <c r="L28" s="13"/>
      <c r="M28" s="72"/>
      <c r="N28" s="72"/>
      <c r="O28" s="152"/>
      <c r="P28" s="152"/>
      <c r="Q28" s="113"/>
      <c r="R28" s="147"/>
      <c r="S28" s="147"/>
      <c r="T28" s="93"/>
      <c r="U28" s="93"/>
      <c r="V28" s="92"/>
    </row>
    <row r="29" spans="2:26" ht="15.75" x14ac:dyDescent="0.25">
      <c r="B29" s="11"/>
      <c r="C29" s="11"/>
      <c r="D29" s="33"/>
      <c r="E29" s="10"/>
      <c r="F29" s="10"/>
      <c r="G29" s="10"/>
      <c r="H29" s="10"/>
      <c r="I29" s="10"/>
      <c r="J29" s="10"/>
      <c r="K29" s="10"/>
      <c r="L29" s="10"/>
      <c r="M29" s="72"/>
      <c r="N29" s="72"/>
      <c r="O29" s="10"/>
      <c r="P29" s="10"/>
      <c r="Q29" s="10"/>
      <c r="R29" s="10"/>
      <c r="S29" s="113"/>
      <c r="T29" s="92"/>
      <c r="U29" s="93"/>
      <c r="V29" s="92"/>
    </row>
    <row r="30" spans="2:26" ht="15.75" x14ac:dyDescent="0.25">
      <c r="B30" s="11"/>
      <c r="C30" s="11"/>
      <c r="D30" s="9"/>
      <c r="E30" s="14"/>
      <c r="F30" s="10"/>
      <c r="G30" s="10"/>
      <c r="H30" s="10"/>
      <c r="I30" s="10"/>
      <c r="J30" s="10"/>
      <c r="K30" s="10"/>
      <c r="L30" s="10"/>
      <c r="M30" s="10"/>
      <c r="N30" s="10"/>
      <c r="O30" s="10"/>
      <c r="P30" s="10"/>
      <c r="Q30" s="10"/>
      <c r="R30" s="10"/>
      <c r="S30" s="91"/>
      <c r="T30" s="90"/>
      <c r="U30" s="93"/>
      <c r="V30" s="92"/>
    </row>
    <row r="31" spans="2:26" ht="15.75" x14ac:dyDescent="0.25">
      <c r="B31" s="11"/>
      <c r="C31" s="11"/>
      <c r="F31" s="10"/>
      <c r="G31" s="10"/>
      <c r="H31" s="10"/>
      <c r="I31" s="10"/>
      <c r="J31" s="10"/>
      <c r="K31" s="10"/>
      <c r="L31" s="10"/>
      <c r="M31" s="10"/>
      <c r="N31" s="10"/>
      <c r="O31" s="10"/>
      <c r="P31" s="10"/>
      <c r="Q31" s="10"/>
      <c r="R31" s="10"/>
      <c r="S31" s="113"/>
      <c r="T31" s="93"/>
      <c r="U31" s="93"/>
      <c r="V31" s="92"/>
    </row>
    <row r="32" spans="2:26" ht="15.75" x14ac:dyDescent="0.25">
      <c r="B32" s="9"/>
      <c r="C32" s="9"/>
      <c r="F32" s="10"/>
      <c r="G32" s="10"/>
      <c r="H32" s="10"/>
      <c r="I32" s="10"/>
      <c r="J32" s="10"/>
      <c r="K32" s="10"/>
      <c r="L32" s="10"/>
      <c r="M32" s="10"/>
      <c r="N32" s="10"/>
      <c r="O32" s="10"/>
      <c r="P32" s="10"/>
      <c r="Q32" s="10"/>
      <c r="R32" s="10"/>
      <c r="S32" s="113"/>
      <c r="T32" s="93"/>
      <c r="U32" s="93"/>
      <c r="V32" s="92"/>
    </row>
    <row r="33" spans="2:22" ht="15.75" x14ac:dyDescent="0.25">
      <c r="B33" s="9"/>
      <c r="C33" s="9"/>
      <c r="F33" s="10"/>
      <c r="G33" s="10"/>
      <c r="H33" s="10"/>
      <c r="I33" s="10"/>
      <c r="J33" s="10"/>
      <c r="K33" s="10"/>
      <c r="L33" s="10"/>
      <c r="M33" s="10"/>
      <c r="N33" s="10"/>
      <c r="O33" s="10"/>
      <c r="P33" s="10"/>
      <c r="Q33" s="10"/>
      <c r="R33" s="10"/>
      <c r="S33" s="91"/>
      <c r="T33" s="90"/>
      <c r="U33" s="90"/>
      <c r="V33" s="90"/>
    </row>
    <row r="34" spans="2:22" ht="15.75" x14ac:dyDescent="0.25">
      <c r="B34" s="9"/>
      <c r="C34" s="9"/>
      <c r="F34" s="10"/>
      <c r="G34" s="10"/>
      <c r="H34" s="10"/>
      <c r="I34" s="10"/>
      <c r="J34" s="10"/>
      <c r="K34" s="10"/>
      <c r="L34" s="10"/>
      <c r="M34" s="10"/>
      <c r="N34" s="10"/>
      <c r="O34" s="10"/>
      <c r="P34" s="10"/>
      <c r="Q34" s="10"/>
      <c r="R34" s="10"/>
      <c r="S34" s="113"/>
      <c r="T34" s="92"/>
      <c r="U34" s="93"/>
      <c r="V34" s="92"/>
    </row>
    <row r="35" spans="2:22" ht="15.75" x14ac:dyDescent="0.25">
      <c r="B35" s="9"/>
      <c r="C35" s="9"/>
      <c r="D35" s="9"/>
      <c r="E35" s="33"/>
      <c r="F35" s="10"/>
      <c r="G35" s="10"/>
      <c r="H35" s="10"/>
      <c r="I35" s="10"/>
      <c r="J35" s="10"/>
      <c r="K35" s="10"/>
      <c r="L35" s="10"/>
      <c r="M35" s="10"/>
      <c r="N35" s="10"/>
      <c r="O35" s="10"/>
      <c r="P35" s="10"/>
      <c r="Q35" s="10"/>
      <c r="R35" s="10"/>
      <c r="S35" s="91"/>
      <c r="T35" s="91"/>
      <c r="U35" s="91"/>
      <c r="V35" s="91"/>
    </row>
    <row r="36" spans="2:22" ht="15.75" x14ac:dyDescent="0.25">
      <c r="B36" s="9"/>
      <c r="C36" s="9"/>
      <c r="F36" s="10"/>
      <c r="G36" s="10"/>
      <c r="H36" s="10"/>
      <c r="I36" s="10"/>
      <c r="J36" s="10"/>
      <c r="K36" s="10"/>
      <c r="L36" s="10"/>
      <c r="M36" s="10"/>
      <c r="N36" s="10"/>
      <c r="O36" s="10"/>
      <c r="P36" s="10"/>
      <c r="Q36" s="10"/>
      <c r="R36" s="10"/>
      <c r="S36" s="91"/>
      <c r="T36" s="91"/>
      <c r="U36" s="91"/>
      <c r="V36" s="91"/>
    </row>
    <row r="37" spans="2:22" ht="15.75" x14ac:dyDescent="0.25">
      <c r="B37" s="9"/>
      <c r="C37" s="9"/>
      <c r="F37" s="10"/>
      <c r="G37" s="10"/>
      <c r="H37" s="10"/>
      <c r="I37" s="10"/>
      <c r="J37" s="10"/>
      <c r="K37" s="10"/>
      <c r="L37" s="10"/>
      <c r="M37" s="10"/>
      <c r="N37" s="10"/>
      <c r="O37" s="10"/>
      <c r="P37" s="10"/>
      <c r="Q37" s="10"/>
      <c r="R37" s="10"/>
      <c r="S37" s="113"/>
      <c r="T37" s="92"/>
      <c r="U37" s="93"/>
      <c r="V37" s="92"/>
    </row>
    <row r="38" spans="2:22" ht="15.75" x14ac:dyDescent="0.25">
      <c r="B38" s="9"/>
      <c r="C38" s="9"/>
      <c r="F38" s="10"/>
      <c r="G38" s="10"/>
      <c r="H38" s="10"/>
      <c r="I38" s="10"/>
      <c r="J38" s="10"/>
      <c r="K38" s="10"/>
      <c r="L38" s="10"/>
      <c r="M38" s="10"/>
      <c r="N38" s="10"/>
      <c r="O38" s="10"/>
      <c r="P38" s="10"/>
      <c r="Q38" s="10"/>
      <c r="R38" s="10"/>
      <c r="S38" s="91"/>
      <c r="T38" s="90"/>
      <c r="U38" s="93"/>
      <c r="V38" s="92"/>
    </row>
    <row r="39" spans="2:22" ht="15.75" x14ac:dyDescent="0.25">
      <c r="B39" s="9"/>
      <c r="C39" s="9"/>
      <c r="F39" s="10"/>
      <c r="G39" s="10"/>
      <c r="H39" s="10"/>
      <c r="I39" s="10"/>
      <c r="J39" s="10"/>
      <c r="K39" s="10"/>
      <c r="L39" s="10"/>
      <c r="M39" s="10"/>
      <c r="N39" s="10"/>
      <c r="O39" s="10"/>
      <c r="P39" s="10"/>
      <c r="Q39" s="10"/>
      <c r="R39" s="10"/>
      <c r="S39" s="113"/>
      <c r="T39" s="91"/>
      <c r="U39" s="93"/>
      <c r="V39" s="92"/>
    </row>
    <row r="40" spans="2:22" ht="15.75" x14ac:dyDescent="0.25">
      <c r="B40" s="9"/>
      <c r="C40" s="9"/>
      <c r="F40" s="10"/>
      <c r="G40" s="10"/>
      <c r="H40" s="10"/>
      <c r="I40" s="10"/>
      <c r="J40" s="10"/>
      <c r="K40" s="10"/>
      <c r="L40" s="10"/>
      <c r="M40" s="10"/>
      <c r="N40" s="10"/>
      <c r="O40" s="10"/>
      <c r="P40" s="10"/>
      <c r="Q40" s="10"/>
      <c r="R40" s="10"/>
      <c r="S40" s="91"/>
      <c r="T40" s="91"/>
      <c r="U40" s="93"/>
      <c r="V40" s="93"/>
    </row>
    <row r="41" spans="2:22" ht="15.75" x14ac:dyDescent="0.25">
      <c r="B41" s="9"/>
      <c r="C41" s="9"/>
      <c r="F41" s="10"/>
      <c r="G41" s="10"/>
      <c r="H41" s="10"/>
      <c r="I41" s="10"/>
      <c r="J41" s="10"/>
      <c r="K41" s="10"/>
      <c r="L41" s="10"/>
      <c r="M41" s="10"/>
      <c r="N41" s="10"/>
      <c r="O41" s="10"/>
      <c r="P41" s="10"/>
      <c r="Q41" s="10"/>
      <c r="R41" s="10"/>
      <c r="S41" s="113"/>
      <c r="T41" s="91"/>
      <c r="U41" s="93"/>
      <c r="V41" s="93"/>
    </row>
    <row r="42" spans="2:22" ht="15.75" x14ac:dyDescent="0.25">
      <c r="B42" s="9"/>
      <c r="C42" s="9"/>
      <c r="G42" s="33"/>
      <c r="H42" s="33"/>
      <c r="I42" s="33"/>
      <c r="J42" s="33"/>
      <c r="K42" s="9"/>
      <c r="L42" s="9"/>
      <c r="M42" s="9"/>
      <c r="N42" s="9"/>
      <c r="O42" s="9"/>
      <c r="P42" s="9"/>
      <c r="Q42" s="113"/>
      <c r="R42" s="91"/>
      <c r="S42" s="91"/>
      <c r="T42" s="90"/>
      <c r="U42" s="90"/>
      <c r="V42" s="90"/>
    </row>
    <row r="43" spans="2:22" ht="15.75" x14ac:dyDescent="0.25">
      <c r="B43" s="9"/>
      <c r="C43" s="9"/>
      <c r="G43" s="33"/>
      <c r="H43" s="33"/>
      <c r="I43" s="33"/>
      <c r="J43" s="33"/>
      <c r="K43" s="9"/>
      <c r="L43" s="9"/>
      <c r="M43" s="9"/>
      <c r="N43" s="9"/>
      <c r="O43" s="9"/>
      <c r="P43" s="9"/>
      <c r="Q43" s="113"/>
      <c r="R43" s="91"/>
      <c r="S43" s="113"/>
      <c r="T43" s="91"/>
      <c r="U43" s="93"/>
      <c r="V43" s="92"/>
    </row>
    <row r="44" spans="2:22" ht="15.75" x14ac:dyDescent="0.25">
      <c r="B44" s="9"/>
      <c r="C44" s="9"/>
      <c r="G44" s="33"/>
      <c r="H44" s="33"/>
      <c r="I44" s="33"/>
      <c r="J44" s="33"/>
      <c r="K44" s="9"/>
      <c r="L44" s="9"/>
      <c r="M44" s="9"/>
      <c r="N44" s="9"/>
      <c r="O44" s="9"/>
      <c r="P44" s="9"/>
      <c r="Q44" s="9"/>
      <c r="R44" s="91"/>
      <c r="S44" s="91"/>
      <c r="T44" s="91"/>
      <c r="U44" s="91"/>
      <c r="V44" s="91"/>
    </row>
    <row r="45" spans="2:22" ht="15.75" x14ac:dyDescent="0.25">
      <c r="B45" s="9"/>
      <c r="C45" s="9"/>
      <c r="D45" s="9"/>
      <c r="E45" s="33"/>
      <c r="F45" s="33"/>
      <c r="G45" s="33"/>
      <c r="H45" s="33"/>
      <c r="I45" s="33"/>
      <c r="J45" s="33"/>
      <c r="K45" s="9"/>
      <c r="L45" s="9"/>
      <c r="M45" s="9"/>
      <c r="N45" s="9"/>
      <c r="O45" s="9"/>
      <c r="P45" s="9"/>
      <c r="R45" s="91"/>
      <c r="S45" s="91"/>
      <c r="T45" s="90"/>
      <c r="U45" s="91"/>
      <c r="V45" s="91"/>
    </row>
    <row r="46" spans="2:22" ht="15.75" x14ac:dyDescent="0.25">
      <c r="B46" s="9"/>
      <c r="C46" s="9"/>
      <c r="D46" s="9"/>
      <c r="E46" s="33"/>
      <c r="F46" s="33"/>
      <c r="G46" s="33"/>
      <c r="H46" s="33"/>
      <c r="I46" s="33"/>
      <c r="J46" s="33"/>
      <c r="K46" s="9"/>
      <c r="L46" s="9"/>
      <c r="M46" s="9"/>
      <c r="N46" s="9"/>
      <c r="O46" s="9"/>
      <c r="P46" s="9"/>
      <c r="R46" s="506"/>
      <c r="S46" s="506"/>
      <c r="T46" s="92"/>
      <c r="U46" s="92"/>
      <c r="V46" s="92"/>
    </row>
    <row r="47" spans="2:22" ht="15.75" x14ac:dyDescent="0.25">
      <c r="B47" s="9"/>
      <c r="C47" s="9"/>
      <c r="D47" s="9"/>
      <c r="E47" s="33"/>
      <c r="F47" s="33"/>
      <c r="G47" s="33"/>
      <c r="H47" s="33"/>
      <c r="I47" s="33"/>
      <c r="J47" s="33"/>
      <c r="K47" s="9"/>
      <c r="L47" s="9"/>
      <c r="M47" s="9"/>
      <c r="N47" s="9"/>
      <c r="O47" s="9"/>
      <c r="P47" s="9"/>
      <c r="R47" s="9"/>
      <c r="S47" s="9"/>
      <c r="T47" s="9"/>
      <c r="U47" s="90"/>
      <c r="V47" s="90"/>
    </row>
    <row r="48" spans="2:22" ht="15.75" x14ac:dyDescent="0.25">
      <c r="B48" s="9"/>
      <c r="C48" s="9"/>
      <c r="U48" s="91"/>
      <c r="V48" s="91"/>
    </row>
    <row r="49" spans="2:22" ht="15.75" x14ac:dyDescent="0.25">
      <c r="B49" s="9"/>
      <c r="C49" s="9"/>
      <c r="U49" s="91"/>
      <c r="V49" s="91"/>
    </row>
    <row r="50" spans="2:22" ht="15.75" x14ac:dyDescent="0.25">
      <c r="B50" s="9"/>
      <c r="C50" s="9"/>
      <c r="U50" s="91"/>
      <c r="V50" s="91"/>
    </row>
    <row r="51" spans="2:22" ht="15.75" x14ac:dyDescent="0.25">
      <c r="B51" s="9"/>
      <c r="C51" s="9"/>
      <c r="U51" s="90"/>
      <c r="V51" s="90"/>
    </row>
    <row r="52" spans="2:22" ht="15.75" x14ac:dyDescent="0.25">
      <c r="B52" s="9"/>
      <c r="C52" s="9"/>
      <c r="U52" s="91"/>
      <c r="V52" s="91"/>
    </row>
    <row r="53" spans="2:22" ht="15.75" x14ac:dyDescent="0.25">
      <c r="B53" s="9"/>
      <c r="C53" s="9"/>
      <c r="U53" s="91"/>
      <c r="V53" s="91"/>
    </row>
    <row r="54" spans="2:22" ht="15.75" x14ac:dyDescent="0.25">
      <c r="B54" s="9"/>
      <c r="C54" s="9"/>
      <c r="U54" s="90"/>
      <c r="V54" s="90"/>
    </row>
    <row r="55" spans="2:22" ht="15.75" x14ac:dyDescent="0.25">
      <c r="B55" s="9"/>
      <c r="C55" s="9"/>
      <c r="U55" s="92"/>
      <c r="V55" s="92"/>
    </row>
    <row r="56" spans="2:22" ht="15.75" x14ac:dyDescent="0.25">
      <c r="B56" s="9"/>
      <c r="C56" s="9"/>
      <c r="U56" s="9"/>
      <c r="V56" s="9"/>
    </row>
    <row r="57" spans="2:22" ht="15.75" x14ac:dyDescent="0.25">
      <c r="B57" s="9"/>
      <c r="C57" s="9"/>
    </row>
  </sheetData>
  <mergeCells count="7">
    <mergeCell ref="B1:V1"/>
    <mergeCell ref="R46:S46"/>
    <mergeCell ref="F4:O4"/>
    <mergeCell ref="F8:O8"/>
    <mergeCell ref="F14:P14"/>
    <mergeCell ref="E22:H22"/>
    <mergeCell ref="M22:P2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A60C-49BC-41F7-AB4D-631CA0593A13}">
  <sheetPr codeName="Sheet11">
    <tabColor theme="8" tint="0.59999389629810485"/>
  </sheetPr>
  <dimension ref="A1:AE91"/>
  <sheetViews>
    <sheetView workbookViewId="0">
      <selection activeCell="B52" sqref="B52:C52"/>
    </sheetView>
  </sheetViews>
  <sheetFormatPr defaultColWidth="8.7109375" defaultRowHeight="15" x14ac:dyDescent="0.25"/>
  <cols>
    <col min="1" max="1" width="7.42578125" style="38" customWidth="1"/>
    <col min="2" max="2" width="14.42578125" style="38" customWidth="1"/>
    <col min="3" max="4" width="13" style="38" customWidth="1"/>
    <col min="5" max="5" width="15.5703125" style="38" customWidth="1"/>
    <col min="6" max="6" width="13.5703125" style="38" customWidth="1"/>
    <col min="7" max="7" width="13.7109375" style="38" customWidth="1"/>
    <col min="8" max="8" width="14" style="38" customWidth="1"/>
    <col min="9" max="9" width="15" style="38" customWidth="1"/>
    <col min="10" max="10" width="14" style="38" customWidth="1"/>
    <col min="11" max="12" width="13" style="38" customWidth="1"/>
    <col min="13" max="14" width="14" style="38" customWidth="1"/>
    <col min="15" max="19" width="16" style="38" customWidth="1"/>
    <col min="20" max="20" width="21.7109375" style="38" customWidth="1"/>
    <col min="21" max="21" width="16.5703125" style="38" customWidth="1"/>
    <col min="22" max="23" width="14" style="38" customWidth="1"/>
    <col min="24" max="24" width="18.42578125" style="38" customWidth="1"/>
    <col min="25" max="25" width="14" style="38" customWidth="1"/>
    <col min="26" max="27" width="12.7109375" style="38" customWidth="1"/>
    <col min="28" max="29" width="14" style="38" customWidth="1"/>
    <col min="30" max="16384" width="8.7109375" style="38"/>
  </cols>
  <sheetData>
    <row r="1" spans="1:24"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1:24" x14ac:dyDescent="0.25">
      <c r="A2" s="37"/>
      <c r="B2" s="525"/>
      <c r="C2" s="525"/>
      <c r="D2" s="525"/>
      <c r="F2" s="37"/>
    </row>
    <row r="3" spans="1:24" x14ac:dyDescent="0.25">
      <c r="E3" s="526" t="s">
        <v>429</v>
      </c>
      <c r="F3" s="526"/>
      <c r="G3" s="526"/>
      <c r="H3" s="526"/>
      <c r="I3" s="128"/>
      <c r="J3" s="128"/>
      <c r="K3" s="128"/>
      <c r="M3" s="117"/>
      <c r="N3" s="117"/>
      <c r="O3" s="526" t="s">
        <v>430</v>
      </c>
      <c r="P3" s="526"/>
      <c r="Q3" s="526"/>
      <c r="R3" s="526"/>
      <c r="S3" s="128"/>
      <c r="T3" s="128"/>
      <c r="U3" s="128"/>
      <c r="V3" s="128"/>
    </row>
    <row r="4" spans="1:24" ht="15.75" customHeight="1" x14ac:dyDescent="0.25">
      <c r="D4" s="9"/>
      <c r="E4" s="28">
        <f>'Simple Bill Insert Calc (2)'!M4</f>
        <v>2026</v>
      </c>
      <c r="F4" s="29">
        <f>'Simple Bill Insert Calc (2)'!M3</f>
        <v>46174</v>
      </c>
      <c r="G4" s="28" t="s">
        <v>431</v>
      </c>
      <c r="H4" s="28" t="s">
        <v>431</v>
      </c>
      <c r="I4" s="28"/>
      <c r="J4" s="28"/>
      <c r="K4" s="33"/>
      <c r="N4" s="9"/>
      <c r="O4" s="28">
        <f>'Simple Bill Insert Calc (2)'!M4</f>
        <v>2026</v>
      </c>
      <c r="P4" s="29">
        <f>'Simple Bill Insert Calc (2)'!M3</f>
        <v>46174</v>
      </c>
      <c r="Q4" s="28" t="s">
        <v>431</v>
      </c>
      <c r="R4" s="28" t="s">
        <v>431</v>
      </c>
      <c r="S4" s="28"/>
      <c r="T4" s="28"/>
      <c r="X4" s="29"/>
    </row>
    <row r="5" spans="1:24" ht="30.75" customHeight="1" x14ac:dyDescent="0.25">
      <c r="D5" s="9"/>
      <c r="E5" s="28" t="s">
        <v>10</v>
      </c>
      <c r="F5" s="28" t="s">
        <v>432</v>
      </c>
      <c r="G5" s="28" t="s">
        <v>432</v>
      </c>
      <c r="H5" s="28" t="s">
        <v>517</v>
      </c>
      <c r="I5" s="28"/>
      <c r="J5" s="28"/>
      <c r="K5" s="10"/>
      <c r="L5" s="69"/>
      <c r="M5" s="69"/>
      <c r="N5" s="10"/>
      <c r="O5" s="28" t="s">
        <v>10</v>
      </c>
      <c r="P5" s="28" t="s">
        <v>432</v>
      </c>
      <c r="Q5" s="28" t="s">
        <v>432</v>
      </c>
      <c r="R5" s="28" t="s">
        <v>517</v>
      </c>
      <c r="S5" s="28"/>
      <c r="T5" s="28"/>
      <c r="X5" s="28"/>
    </row>
    <row r="6" spans="1:24" ht="42" customHeight="1" x14ac:dyDescent="0.25">
      <c r="B6" s="21"/>
      <c r="D6" s="21"/>
      <c r="E6" s="9"/>
      <c r="F6" s="9"/>
      <c r="I6" s="33"/>
      <c r="J6" s="33"/>
      <c r="K6" s="33"/>
      <c r="N6" s="21"/>
      <c r="O6" s="9"/>
      <c r="P6" s="9"/>
      <c r="S6" s="33"/>
      <c r="U6" s="43"/>
      <c r="V6" s="47"/>
      <c r="X6" s="9"/>
    </row>
    <row r="7" spans="1:24" ht="15.75" x14ac:dyDescent="0.25">
      <c r="D7" s="22" t="s">
        <v>438</v>
      </c>
      <c r="E7" s="102">
        <f>'Res Bill Impact'!F97</f>
        <v>3341.0920855294025</v>
      </c>
      <c r="F7" s="23">
        <f>'Res Bill Impact'!F7</f>
        <v>0.30832999999999999</v>
      </c>
      <c r="G7" s="31">
        <f>(V10-SUM(R14:R15,H14:H15))/SUM(SUM(E7:E8),F9/F7*SUM(E9:E10),F11/F7*SUM(E11:E12),SUM(O7:O8)*(1+(P7/F7-1)),SUM(O9:O10)*(1+(P9/F9-1))*F9/F7,SUM(O11:O12)*(1+(P11/F11-1))*F11/F7)</f>
        <v>0.30832999999999999</v>
      </c>
      <c r="H7" s="30">
        <f t="shared" ref="H7:H12" si="0">E7*G7</f>
        <v>1030.1589227312807</v>
      </c>
      <c r="I7" s="31"/>
      <c r="J7" s="30"/>
      <c r="K7" s="153"/>
      <c r="N7" s="22" t="s">
        <v>438</v>
      </c>
      <c r="O7" s="102">
        <f>'Res Bill Impact'!M97</f>
        <v>1853.4857067220289</v>
      </c>
      <c r="P7" s="23">
        <f>'Res Bill Impact'!P7</f>
        <v>0.20028000000000001</v>
      </c>
      <c r="Q7" s="31">
        <f t="shared" ref="Q7:Q12" si="1">G7*(1+(P7/F7-1))</f>
        <v>0.20028000000000001</v>
      </c>
      <c r="R7" s="30">
        <f t="shared" ref="R7:R12" si="2">O7*Q7</f>
        <v>371.21611734228799</v>
      </c>
      <c r="S7" s="31"/>
      <c r="U7" s="43" t="s">
        <v>439</v>
      </c>
      <c r="X7" s="68"/>
    </row>
    <row r="8" spans="1:24" ht="15.75" x14ac:dyDescent="0.25">
      <c r="D8" s="25" t="s">
        <v>440</v>
      </c>
      <c r="E8" s="102">
        <f>'Res Bill Impact'!F98</f>
        <v>4595.0463263387064</v>
      </c>
      <c r="F8" s="23">
        <f>'Res Bill Impact'!F8</f>
        <v>0.30832999999999999</v>
      </c>
      <c r="G8" s="31">
        <f>G7</f>
        <v>0.30832999999999999</v>
      </c>
      <c r="H8" s="30">
        <f t="shared" si="0"/>
        <v>1416.7906338000132</v>
      </c>
      <c r="I8" s="31"/>
      <c r="J8" s="30"/>
      <c r="K8" s="153"/>
      <c r="N8" s="25" t="s">
        <v>440</v>
      </c>
      <c r="O8" s="102">
        <f>'Res Bill Impact'!M98</f>
        <v>2569.0964948794699</v>
      </c>
      <c r="P8" s="23">
        <f>'Res Bill Impact'!P8</f>
        <v>0.20028000000000001</v>
      </c>
      <c r="Q8" s="31">
        <f t="shared" si="1"/>
        <v>0.20028000000000001</v>
      </c>
      <c r="R8" s="30">
        <f t="shared" si="2"/>
        <v>514.53864599446024</v>
      </c>
      <c r="S8" s="31"/>
      <c r="U8" s="43" t="s">
        <v>518</v>
      </c>
      <c r="V8" s="47">
        <f>SUMPRODUCT(E7:E12,F7:F12)+SUMPRODUCT(O7:O12,P7:P12)+(E14*F14*365/12/10^6)+(E15*F15*365/12/10^6)+(O14*P14*365/12/10^6)+(O15*P15*365/12/10^6)</f>
        <v>6758.436396154244</v>
      </c>
      <c r="X8" s="68"/>
    </row>
    <row r="9" spans="1:24" ht="15.75" x14ac:dyDescent="0.25">
      <c r="D9" s="22" t="s">
        <v>442</v>
      </c>
      <c r="E9" s="102">
        <f>'Res Bill Impact'!F99</f>
        <v>2086.626225812819</v>
      </c>
      <c r="F9" s="23">
        <f>'Res Bill Impact'!F9</f>
        <v>0.40932000000000002</v>
      </c>
      <c r="G9" s="31">
        <f>F9/F$7*G$7</f>
        <v>0.40932000000000002</v>
      </c>
      <c r="H9" s="30">
        <f t="shared" si="0"/>
        <v>854.09784674970308</v>
      </c>
      <c r="I9" s="31"/>
      <c r="J9" s="30"/>
      <c r="K9" s="153"/>
      <c r="N9" s="22" t="s">
        <v>442</v>
      </c>
      <c r="O9" s="102">
        <f>'Res Bill Impact'!M99</f>
        <v>788.54881992569801</v>
      </c>
      <c r="P9" s="23">
        <f>'Res Bill Impact'!P9</f>
        <v>0.26845000000000002</v>
      </c>
      <c r="Q9" s="31">
        <f t="shared" si="1"/>
        <v>0.26845000000000002</v>
      </c>
      <c r="R9" s="30">
        <f t="shared" si="2"/>
        <v>211.68593070905365</v>
      </c>
      <c r="S9" s="31"/>
      <c r="U9" s="43" t="s">
        <v>519</v>
      </c>
      <c r="V9" s="47">
        <f>'SAR and RAR (2)'!R16/1000-'SAR and RAR (2)'!R19/1000</f>
        <v>0</v>
      </c>
      <c r="X9" s="68"/>
    </row>
    <row r="10" spans="1:24" ht="15.75" x14ac:dyDescent="0.25">
      <c r="D10" s="25" t="s">
        <v>440</v>
      </c>
      <c r="E10" s="102">
        <f>'Res Bill Impact'!F100</f>
        <v>2800.7453230856049</v>
      </c>
      <c r="F10" s="23">
        <f>'Res Bill Impact'!F10</f>
        <v>0.40932000000000002</v>
      </c>
      <c r="G10" s="31">
        <f>G9</f>
        <v>0.40932000000000002</v>
      </c>
      <c r="H10" s="30">
        <f t="shared" si="0"/>
        <v>1146.4010756453999</v>
      </c>
      <c r="I10" s="31"/>
      <c r="J10" s="30"/>
      <c r="K10" s="153"/>
      <c r="N10" s="25" t="s">
        <v>440</v>
      </c>
      <c r="O10" s="102">
        <f>'Res Bill Impact'!M100</f>
        <v>1049.208786315409</v>
      </c>
      <c r="P10" s="23">
        <f>'Res Bill Impact'!P10</f>
        <v>0.26845000000000002</v>
      </c>
      <c r="Q10" s="31">
        <f t="shared" si="1"/>
        <v>0.26845000000000002</v>
      </c>
      <c r="R10" s="30">
        <f t="shared" si="2"/>
        <v>281.66009868637155</v>
      </c>
      <c r="S10" s="31"/>
      <c r="T10" s="30"/>
      <c r="U10" s="43" t="s">
        <v>520</v>
      </c>
      <c r="V10" s="47">
        <f>SUM(V8:V9)</f>
        <v>6758.436396154244</v>
      </c>
      <c r="X10" s="47"/>
    </row>
    <row r="11" spans="1:24" ht="15.75" x14ac:dyDescent="0.25">
      <c r="D11" s="22" t="s">
        <v>444</v>
      </c>
      <c r="E11" s="102">
        <f>'Res Bill Impact'!F101</f>
        <v>165.84792431046702</v>
      </c>
      <c r="F11" s="23">
        <f>'Res Bill Impact'!F11</f>
        <v>0.40932000000000002</v>
      </c>
      <c r="G11" s="31">
        <f>F11/F$7*G$7</f>
        <v>0.40932000000000002</v>
      </c>
      <c r="H11" s="30">
        <f t="shared" si="0"/>
        <v>67.884872378760363</v>
      </c>
      <c r="I11" s="31"/>
      <c r="J11" s="30"/>
      <c r="K11" s="153"/>
      <c r="N11" s="22" t="s">
        <v>444</v>
      </c>
      <c r="O11" s="102">
        <f>'Res Bill Impact'!M101</f>
        <v>9.0433785959966126</v>
      </c>
      <c r="P11" s="23">
        <f>'Res Bill Impact'!P11</f>
        <v>0.26845000000000002</v>
      </c>
      <c r="Q11" s="31">
        <f t="shared" si="1"/>
        <v>0.26845000000000002</v>
      </c>
      <c r="R11" s="30">
        <f t="shared" si="2"/>
        <v>2.4276949840952908</v>
      </c>
      <c r="S11" s="31"/>
      <c r="T11" s="30"/>
      <c r="U11" s="153"/>
      <c r="V11" s="47">
        <f>V10-SUM(H7:H15,R7:R15)</f>
        <v>0</v>
      </c>
      <c r="W11" s="47"/>
      <c r="X11" s="68"/>
    </row>
    <row r="12" spans="1:24" ht="15.75" x14ac:dyDescent="0.25">
      <c r="D12" s="25" t="s">
        <v>440</v>
      </c>
      <c r="E12" s="102">
        <f>'Res Bill Impact'!F102</f>
        <v>281.02608811359454</v>
      </c>
      <c r="F12" s="23">
        <f>'Res Bill Impact'!F12</f>
        <v>0.40932000000000002</v>
      </c>
      <c r="G12" s="31">
        <f>G11</f>
        <v>0.40932000000000002</v>
      </c>
      <c r="H12" s="30">
        <f t="shared" si="0"/>
        <v>115.02959838665652</v>
      </c>
      <c r="I12" s="31"/>
      <c r="J12" s="30"/>
      <c r="K12" s="153"/>
      <c r="N12" s="25" t="s">
        <v>440</v>
      </c>
      <c r="O12" s="102">
        <f>'Res Bill Impact'!M102</f>
        <v>20.132350388633686</v>
      </c>
      <c r="P12" s="23">
        <f>'Res Bill Impact'!P12</f>
        <v>0.26845000000000002</v>
      </c>
      <c r="Q12" s="31">
        <f t="shared" si="1"/>
        <v>0.26845000000000002</v>
      </c>
      <c r="R12" s="30">
        <f t="shared" si="2"/>
        <v>5.4045294618287132</v>
      </c>
      <c r="S12" s="31"/>
      <c r="T12" s="30"/>
      <c r="U12" s="153"/>
      <c r="X12" s="47"/>
    </row>
    <row r="13" spans="1:24" ht="15.75" x14ac:dyDescent="0.25">
      <c r="D13" s="25"/>
      <c r="E13" s="102"/>
      <c r="F13" s="23"/>
      <c r="G13" s="9"/>
      <c r="H13" s="26"/>
      <c r="I13" s="9"/>
      <c r="J13" s="30"/>
      <c r="K13" s="153"/>
      <c r="N13" s="25"/>
      <c r="O13" s="102"/>
      <c r="P13" s="23"/>
      <c r="Q13" s="9"/>
      <c r="R13" s="26"/>
      <c r="S13" s="9"/>
      <c r="T13" s="26"/>
      <c r="X13" s="68"/>
    </row>
    <row r="14" spans="1:24" ht="15.75" x14ac:dyDescent="0.25">
      <c r="D14" s="25" t="s">
        <v>445</v>
      </c>
      <c r="E14" s="139">
        <f>'Res Bill Impact'!F104</f>
        <v>19072895.180499904</v>
      </c>
      <c r="F14" s="142">
        <f>'Res Bill Impact'!F14</f>
        <v>0.79400000000000004</v>
      </c>
      <c r="G14" s="142">
        <f>F14</f>
        <v>0.79400000000000004</v>
      </c>
      <c r="H14" s="68">
        <f>G14*E14*365/12/10^6</f>
        <v>460.62631268838976</v>
      </c>
      <c r="I14" s="142"/>
      <c r="J14" s="30"/>
      <c r="K14" s="153"/>
      <c r="N14" s="25" t="s">
        <v>445</v>
      </c>
      <c r="O14" s="139">
        <f>'Res Bill Impact'!M104</f>
        <v>6438624.7574765813</v>
      </c>
      <c r="P14" s="142">
        <f>'Res Bill Impact'!P14</f>
        <v>0.19699999999999998</v>
      </c>
      <c r="Q14" s="142">
        <f>P14</f>
        <v>0.19699999999999998</v>
      </c>
      <c r="R14" s="68">
        <f>Q14*O14*365/12/10^6</f>
        <v>38.580776098862799</v>
      </c>
      <c r="S14" s="142"/>
      <c r="T14" s="68"/>
      <c r="U14" s="155"/>
      <c r="X14" s="70"/>
    </row>
    <row r="15" spans="1:24" ht="15.75" x14ac:dyDescent="0.25">
      <c r="D15" s="27" t="s">
        <v>446</v>
      </c>
      <c r="E15" s="139">
        <f>'Res Bill Impact'!F105</f>
        <v>8676304.2195000928</v>
      </c>
      <c r="F15" s="142">
        <f>'Res Bill Impact'!F15</f>
        <v>0.79400000000000004</v>
      </c>
      <c r="G15" s="142">
        <f>F15</f>
        <v>0.79400000000000004</v>
      </c>
      <c r="H15" s="68">
        <f>G15*E15*365/12/10^6</f>
        <v>209.53997715444351</v>
      </c>
      <c r="I15" s="142"/>
      <c r="J15" s="30"/>
      <c r="K15" s="153"/>
      <c r="N15" s="27" t="s">
        <v>446</v>
      </c>
      <c r="O15" s="139">
        <f>'Res Bill Impact'!M105</f>
        <v>5406026.8425234184</v>
      </c>
      <c r="P15" s="142">
        <f>'Res Bill Impact'!P15</f>
        <v>0.19699999999999998</v>
      </c>
      <c r="Q15" s="142">
        <f>P15</f>
        <v>0.19699999999999998</v>
      </c>
      <c r="R15" s="68">
        <f>Q15*O15*365/12/10^6</f>
        <v>32.393363342637201</v>
      </c>
      <c r="S15" s="142"/>
      <c r="T15" s="68"/>
      <c r="U15" s="155"/>
      <c r="X15" s="70"/>
    </row>
    <row r="16" spans="1:24" ht="15.75" x14ac:dyDescent="0.25">
      <c r="K16" s="153"/>
      <c r="U16" s="155"/>
    </row>
    <row r="17" spans="2:29" ht="15.75" x14ac:dyDescent="0.25">
      <c r="K17" s="153"/>
      <c r="O17" s="46"/>
      <c r="U17" s="155"/>
    </row>
    <row r="18" spans="2:29" ht="15.75" x14ac:dyDescent="0.25">
      <c r="K18" s="153"/>
      <c r="U18" s="155"/>
    </row>
    <row r="19" spans="2:29" ht="15.75" x14ac:dyDescent="0.25">
      <c r="B19" s="48"/>
      <c r="K19" s="153"/>
      <c r="O19" s="38" t="str">
        <f>'Res Bill Impact'!O19</f>
        <v>2025 Recorded Data - Average Monthly Usage - kWh (Bundled / Basic Service Only)</v>
      </c>
      <c r="U19" s="155"/>
      <c r="W19" s="38" t="str">
        <f>'Res Bill Impact'!W19</f>
        <v>2025 Recorded Data - Average Monthly Usage - kWh (Bundled / All Electric Only)</v>
      </c>
      <c r="AC19" s="191"/>
    </row>
    <row r="20" spans="2:29" x14ac:dyDescent="0.25">
      <c r="B20" s="49" t="s">
        <v>449</v>
      </c>
      <c r="C20" s="49"/>
      <c r="E20" s="51"/>
      <c r="F20" s="51"/>
      <c r="H20" s="180" t="s">
        <v>450</v>
      </c>
      <c r="I20" s="527" t="s">
        <v>451</v>
      </c>
      <c r="J20" s="527"/>
      <c r="K20" s="527" t="s">
        <v>452</v>
      </c>
      <c r="L20" s="527"/>
      <c r="M20" s="49"/>
      <c r="N20" s="49"/>
      <c r="O20" s="63" t="s">
        <v>453</v>
      </c>
      <c r="P20" s="88" t="s">
        <v>454</v>
      </c>
      <c r="Q20" s="88" t="s">
        <v>455</v>
      </c>
      <c r="R20" s="88" t="s">
        <v>454</v>
      </c>
      <c r="S20" s="88" t="s">
        <v>455</v>
      </c>
      <c r="T20" s="520" t="s">
        <v>456</v>
      </c>
      <c r="U20" s="521"/>
      <c r="W20" s="63" t="s">
        <v>453</v>
      </c>
      <c r="X20" s="88" t="s">
        <v>454</v>
      </c>
      <c r="Y20" s="88" t="s">
        <v>455</v>
      </c>
      <c r="Z20" s="88" t="s">
        <v>454</v>
      </c>
      <c r="AA20" s="88" t="s">
        <v>455</v>
      </c>
      <c r="AB20" s="520" t="s">
        <v>456</v>
      </c>
      <c r="AC20" s="521"/>
    </row>
    <row r="21" spans="2:29" x14ac:dyDescent="0.25">
      <c r="B21" s="52" t="s">
        <v>432</v>
      </c>
      <c r="C21" s="71" t="str">
        <f>'Res Bill Impact'!C21</f>
        <v>Jan 2026</v>
      </c>
      <c r="D21" s="71">
        <f>'Simple Bill Insert Calc (2)'!M3</f>
        <v>46174</v>
      </c>
      <c r="E21" s="53" t="s">
        <v>431</v>
      </c>
      <c r="F21" s="51"/>
      <c r="H21" s="54" t="s">
        <v>453</v>
      </c>
      <c r="I21" s="54" t="s">
        <v>454</v>
      </c>
      <c r="J21" s="54" t="s">
        <v>455</v>
      </c>
      <c r="K21" s="54" t="s">
        <v>454</v>
      </c>
      <c r="L21" s="54" t="s">
        <v>455</v>
      </c>
      <c r="O21" s="39"/>
      <c r="P21" s="522" t="s">
        <v>16</v>
      </c>
      <c r="Q21" s="523"/>
      <c r="R21" s="522" t="s">
        <v>24</v>
      </c>
      <c r="S21" s="523"/>
      <c r="T21" s="99" t="s">
        <v>16</v>
      </c>
      <c r="U21" s="99" t="s">
        <v>24</v>
      </c>
      <c r="W21" s="39"/>
      <c r="X21" s="522" t="s">
        <v>16</v>
      </c>
      <c r="Y21" s="523"/>
      <c r="Z21" s="522" t="s">
        <v>24</v>
      </c>
      <c r="AA21" s="523"/>
      <c r="AB21" s="99" t="s">
        <v>16</v>
      </c>
      <c r="AC21" s="99" t="s">
        <v>24</v>
      </c>
    </row>
    <row r="22" spans="2:29" x14ac:dyDescent="0.25">
      <c r="B22" s="55" t="s">
        <v>458</v>
      </c>
      <c r="C22" s="100">
        <f>'Res Bill Impact'!C22</f>
        <v>0.30862000000000001</v>
      </c>
      <c r="D22" s="100">
        <f>F7</f>
        <v>0.30832999999999999</v>
      </c>
      <c r="E22" s="56">
        <f>G7</f>
        <v>0.30832999999999999</v>
      </c>
      <c r="F22" s="160"/>
      <c r="H22" s="38" t="s">
        <v>459</v>
      </c>
      <c r="I22" s="47">
        <f>'Res Bill Impact'!I22</f>
        <v>517.08900000000006</v>
      </c>
      <c r="J22" s="47">
        <f>'Res Bill Impact'!J22</f>
        <v>559.67279999999994</v>
      </c>
      <c r="K22" s="47">
        <f>'Res Bill Impact'!K22</f>
        <v>511.00560000000007</v>
      </c>
      <c r="L22" s="47">
        <f>'Res Bill Impact'!L22</f>
        <v>821.25900000000001</v>
      </c>
      <c r="M22" s="47"/>
      <c r="N22" s="47"/>
      <c r="O22" s="40" t="s">
        <v>459</v>
      </c>
      <c r="P22" s="175">
        <f>'Res Bill Impact'!P22</f>
        <v>392.81808559906983</v>
      </c>
      <c r="Q22" s="175">
        <f>'Res Bill Impact'!Q22</f>
        <v>420.146666166464</v>
      </c>
      <c r="R22" s="175">
        <f>'Res Bill Impact'!R22</f>
        <v>306.77643410633488</v>
      </c>
      <c r="S22" s="175">
        <f>'Res Bill Impact'!S22</f>
        <v>335.33384598214286</v>
      </c>
      <c r="T22" s="154">
        <f>'Res Bill Impact'!T22</f>
        <v>3.805654937726652E-4</v>
      </c>
      <c r="U22" s="154">
        <f>'Res Bill Impact'!U22</f>
        <v>5.8320940133554953E-5</v>
      </c>
      <c r="W22" s="40" t="s">
        <v>459</v>
      </c>
      <c r="X22" s="175">
        <f>'Res Bill Impact'!X22</f>
        <v>401.91915519718987</v>
      </c>
      <c r="Y22" s="175">
        <f>'Res Bill Impact'!Y22</f>
        <v>466.97049706643662</v>
      </c>
      <c r="Z22" s="175">
        <f>'Res Bill Impact'!Z22</f>
        <v>348.83249743297205</v>
      </c>
      <c r="AA22" s="175">
        <f>'Res Bill Impact'!AA22</f>
        <v>431.31416073582631</v>
      </c>
      <c r="AB22" s="154">
        <f>'Res Bill Impact'!AB22</f>
        <v>2.8568556600130148E-4</v>
      </c>
      <c r="AC22" s="154">
        <f>'Res Bill Impact'!AC22</f>
        <v>1.6342183533615872E-4</v>
      </c>
    </row>
    <row r="23" spans="2:29" x14ac:dyDescent="0.25">
      <c r="B23" s="55" t="s">
        <v>460</v>
      </c>
      <c r="C23" s="100">
        <f>'Res Bill Impact'!C23</f>
        <v>0.40970000000000001</v>
      </c>
      <c r="D23" s="100">
        <f>F9</f>
        <v>0.40932000000000002</v>
      </c>
      <c r="E23" s="56">
        <f>G9</f>
        <v>0.40932000000000002</v>
      </c>
      <c r="F23" s="160"/>
      <c r="H23" s="38" t="s">
        <v>461</v>
      </c>
      <c r="I23" s="47">
        <f>'Res Bill Impact'!I23</f>
        <v>346.75380000000001</v>
      </c>
      <c r="J23" s="47">
        <f>'Res Bill Impact'!J23</f>
        <v>334.58699999999999</v>
      </c>
      <c r="K23" s="47">
        <f>'Res Bill Impact'!K23</f>
        <v>264.62790000000001</v>
      </c>
      <c r="L23" s="47">
        <f>'Res Bill Impact'!L23</f>
        <v>383.25420000000003</v>
      </c>
      <c r="M23" s="47"/>
      <c r="N23" s="47"/>
      <c r="O23" s="40" t="s">
        <v>461</v>
      </c>
      <c r="P23" s="175">
        <f>'Res Bill Impact'!P23</f>
        <v>428.14393872362439</v>
      </c>
      <c r="Q23" s="175">
        <f>'Res Bill Impact'!Q23</f>
        <v>379.4971467027591</v>
      </c>
      <c r="R23" s="175">
        <f>'Res Bill Impact'!R23</f>
        <v>396.17797935112202</v>
      </c>
      <c r="S23" s="175">
        <f>'Res Bill Impact'!S23</f>
        <v>349.35067350404211</v>
      </c>
      <c r="T23" s="154">
        <f>'Res Bill Impact'!T23</f>
        <v>0.16658701342378401</v>
      </c>
      <c r="U23" s="154">
        <f>'Res Bill Impact'!U23</f>
        <v>5.9611776941844302E-2</v>
      </c>
      <c r="W23" s="40" t="s">
        <v>461</v>
      </c>
      <c r="X23" s="175">
        <f>'Res Bill Impact'!X23</f>
        <v>327.49469287249087</v>
      </c>
      <c r="Y23" s="175">
        <f>'Res Bill Impact'!Y23</f>
        <v>327.85197460092598</v>
      </c>
      <c r="Z23" s="175">
        <f>'Res Bill Impact'!Z23</f>
        <v>361.23137081426916</v>
      </c>
      <c r="AA23" s="175">
        <f>'Res Bill Impact'!AA23</f>
        <v>369.28858015173665</v>
      </c>
      <c r="AB23" s="154">
        <f>'Res Bill Impact'!AB23</f>
        <v>0.26039710293674179</v>
      </c>
      <c r="AC23" s="154">
        <f>'Res Bill Impact'!AC23</f>
        <v>0.1259219715210215</v>
      </c>
    </row>
    <row r="24" spans="2:29" x14ac:dyDescent="0.25">
      <c r="B24" s="55" t="s">
        <v>521</v>
      </c>
      <c r="C24" s="100">
        <f>'Res Bill Impact'!C24</f>
        <v>0.40970000000000001</v>
      </c>
      <c r="D24" s="100">
        <f>F11</f>
        <v>0.40932000000000002</v>
      </c>
      <c r="E24" s="56">
        <f>G11</f>
        <v>0.40932000000000002</v>
      </c>
      <c r="F24" s="160"/>
      <c r="H24" s="38" t="s">
        <v>462</v>
      </c>
      <c r="I24" s="47">
        <f>'Res Bill Impact'!I24</f>
        <v>389.33760000000007</v>
      </c>
      <c r="J24" s="47">
        <f>'Res Bill Impact'!J24</f>
        <v>313.29510000000005</v>
      </c>
      <c r="K24" s="47">
        <f>'Res Bill Impact'!K24</f>
        <v>301.12830000000002</v>
      </c>
      <c r="L24" s="47">
        <f>'Res Bill Impact'!L24</f>
        <v>374.12910000000005</v>
      </c>
      <c r="M24" s="47"/>
      <c r="N24" s="47"/>
      <c r="O24" s="40" t="s">
        <v>462</v>
      </c>
      <c r="P24" s="175">
        <f>'Res Bill Impact'!P24</f>
        <v>535.35681390081186</v>
      </c>
      <c r="Q24" s="175">
        <f>'Res Bill Impact'!Q24</f>
        <v>398.69133523395669</v>
      </c>
      <c r="R24" s="175">
        <f>'Res Bill Impact'!R24</f>
        <v>486.40082282088059</v>
      </c>
      <c r="S24" s="175">
        <f>'Res Bill Impact'!S24</f>
        <v>376.63167985294808</v>
      </c>
      <c r="T24" s="154">
        <f>'Res Bill Impact'!T24</f>
        <v>0.22809259246967092</v>
      </c>
      <c r="U24" s="154">
        <f>'Res Bill Impact'!U24</f>
        <v>0.15811001273340528</v>
      </c>
      <c r="W24" s="40" t="s">
        <v>462</v>
      </c>
      <c r="X24" s="175">
        <f>'Res Bill Impact'!X24</f>
        <v>378.91083862519088</v>
      </c>
      <c r="Y24" s="175">
        <f>'Res Bill Impact'!Y24</f>
        <v>341.00819012994538</v>
      </c>
      <c r="Z24" s="175">
        <f>'Res Bill Impact'!Z24</f>
        <v>403.93787592193286</v>
      </c>
      <c r="AA24" s="175">
        <f>'Res Bill Impact'!AA24</f>
        <v>368.09424036425793</v>
      </c>
      <c r="AB24" s="154">
        <f>'Res Bill Impact'!AB24</f>
        <v>0.23697617699807955</v>
      </c>
      <c r="AC24" s="154">
        <f>'Res Bill Impact'!AC24</f>
        <v>0.20593330210160479</v>
      </c>
    </row>
    <row r="25" spans="2:29" x14ac:dyDescent="0.25">
      <c r="B25" s="43" t="s">
        <v>463</v>
      </c>
      <c r="C25" s="100">
        <f>'Res Bill Impact'!C25</f>
        <v>0.79400000000000004</v>
      </c>
      <c r="H25" s="38" t="s">
        <v>8</v>
      </c>
      <c r="I25" s="47">
        <f>'Res Bill Impact'!I25</f>
        <v>514.04729999999995</v>
      </c>
      <c r="J25" s="47">
        <f>'Res Bill Impact'!J25</f>
        <v>365.00400000000002</v>
      </c>
      <c r="K25" s="47">
        <f>'Res Bill Impact'!K25</f>
        <v>380.21250000000003</v>
      </c>
      <c r="L25" s="47">
        <f>'Res Bill Impact'!L25</f>
        <v>422.79630000000003</v>
      </c>
      <c r="M25" s="47"/>
      <c r="N25" s="47"/>
      <c r="O25" s="40" t="s">
        <v>8</v>
      </c>
      <c r="P25" s="175">
        <f>'Res Bill Impact'!P25</f>
        <v>662.71460214187891</v>
      </c>
      <c r="Q25" s="175">
        <f>'Res Bill Impact'!Q25</f>
        <v>441.26384345027054</v>
      </c>
      <c r="R25" s="175">
        <f>'Res Bill Impact'!R25</f>
        <v>642.80365726071057</v>
      </c>
      <c r="S25" s="175">
        <f>'Res Bill Impact'!S25</f>
        <v>423.5758643207634</v>
      </c>
      <c r="T25" s="154">
        <f>'Res Bill Impact'!T25</f>
        <v>0.12654134556453128</v>
      </c>
      <c r="U25" s="154">
        <f>'Res Bill Impact'!U25</f>
        <v>0.10157563739927487</v>
      </c>
      <c r="W25" s="40" t="s">
        <v>8</v>
      </c>
      <c r="X25" s="175">
        <f>'Res Bill Impact'!X25</f>
        <v>482.87829943011286</v>
      </c>
      <c r="Y25" s="175">
        <f>'Res Bill Impact'!Y25</f>
        <v>362.94527115983806</v>
      </c>
      <c r="Z25" s="175">
        <f>'Res Bill Impact'!Z25</f>
        <v>485.95819880641375</v>
      </c>
      <c r="AA25" s="175">
        <f>'Res Bill Impact'!AA25</f>
        <v>371.35434010561141</v>
      </c>
      <c r="AB25" s="154">
        <f>'Res Bill Impact'!AB25</f>
        <v>8.3033980710933819E-2</v>
      </c>
      <c r="AC25" s="154">
        <f>'Res Bill Impact'!AC25</f>
        <v>8.8650898275354897E-2</v>
      </c>
    </row>
    <row r="26" spans="2:29" x14ac:dyDescent="0.25">
      <c r="B26" s="49" t="s">
        <v>464</v>
      </c>
      <c r="C26" s="49"/>
      <c r="D26" s="49"/>
      <c r="E26" s="51"/>
      <c r="F26" s="51"/>
      <c r="H26" s="38" t="s">
        <v>465</v>
      </c>
      <c r="I26" s="47">
        <f>'Res Bill Impact'!I26</f>
        <v>587.04810000000009</v>
      </c>
      <c r="J26" s="47">
        <f>'Res Bill Impact'!J26</f>
        <v>368.04570000000001</v>
      </c>
      <c r="K26" s="47">
        <f>'Res Bill Impact'!K26</f>
        <v>483.63030000000003</v>
      </c>
      <c r="L26" s="47">
        <f>'Res Bill Impact'!L26</f>
        <v>498.83879999999999</v>
      </c>
      <c r="M26" s="47"/>
      <c r="N26" s="47"/>
      <c r="O26" s="40" t="s">
        <v>465</v>
      </c>
      <c r="P26" s="175">
        <f>'Res Bill Impact'!P26</f>
        <v>762.49394334000431</v>
      </c>
      <c r="Q26" s="175">
        <f>'Res Bill Impact'!Q26</f>
        <v>465.21576452671007</v>
      </c>
      <c r="R26" s="175">
        <f>'Res Bill Impact'!R26</f>
        <v>836.47646486069095</v>
      </c>
      <c r="S26" s="175">
        <f>'Res Bill Impact'!S26</f>
        <v>488.36329469359998</v>
      </c>
      <c r="T26" s="154">
        <f>'Res Bill Impact'!T26</f>
        <v>0.30393243634931488</v>
      </c>
      <c r="U26" s="154">
        <f>'Res Bill Impact'!U26</f>
        <v>0.40291604700667777</v>
      </c>
      <c r="W26" s="40" t="s">
        <v>465</v>
      </c>
      <c r="X26" s="175">
        <f>'Res Bill Impact'!X26</f>
        <v>571.43522513959874</v>
      </c>
      <c r="Y26" s="175">
        <f>'Res Bill Impact'!Y26</f>
        <v>406.12553852982677</v>
      </c>
      <c r="Z26" s="175">
        <f>'Res Bill Impact'!Z26</f>
        <v>615.20534513972063</v>
      </c>
      <c r="AA26" s="175">
        <f>'Res Bill Impact'!AA26</f>
        <v>415.14214610489029</v>
      </c>
      <c r="AB26" s="154">
        <f>'Res Bill Impact'!AB26</f>
        <v>0.26361371079097867</v>
      </c>
      <c r="AC26" s="154">
        <f>'Res Bill Impact'!AC26</f>
        <v>0.3583187161580616</v>
      </c>
    </row>
    <row r="27" spans="2:29" x14ac:dyDescent="0.25">
      <c r="B27" s="52" t="s">
        <v>432</v>
      </c>
      <c r="C27" s="215" t="str">
        <f>C21</f>
        <v>Jan 2026</v>
      </c>
      <c r="D27" s="71">
        <f>D21</f>
        <v>46174</v>
      </c>
      <c r="E27" s="53" t="s">
        <v>431</v>
      </c>
      <c r="F27" s="51"/>
      <c r="H27" s="38" t="s">
        <v>466</v>
      </c>
      <c r="I27" s="47">
        <f>'Res Bill Impact'!I27</f>
        <v>675.25739999999996</v>
      </c>
      <c r="J27" s="47">
        <f>'Res Bill Impact'!J27</f>
        <v>371.0874</v>
      </c>
      <c r="K27" s="47">
        <f>'Res Bill Impact'!K27</f>
        <v>736.09140000000002</v>
      </c>
      <c r="L27" s="47">
        <f>'Res Bill Impact'!L27</f>
        <v>699.59100000000001</v>
      </c>
      <c r="M27" s="47"/>
      <c r="N27" s="47"/>
      <c r="O27" s="40" t="s">
        <v>466</v>
      </c>
      <c r="P27" s="175">
        <f>'Res Bill Impact'!P27</f>
        <v>909.99397480465473</v>
      </c>
      <c r="Q27" s="175">
        <f>'Res Bill Impact'!Q27</f>
        <v>472.08820878891646</v>
      </c>
      <c r="R27" s="175">
        <f>'Res Bill Impact'!R27</f>
        <v>945.4029534939541</v>
      </c>
      <c r="S27" s="175">
        <f>'Res Bill Impact'!S27</f>
        <v>473.32388087740964</v>
      </c>
      <c r="T27" s="154">
        <f>'Res Bill Impact'!T27</f>
        <v>4.9644989921652186E-2</v>
      </c>
      <c r="U27" s="154">
        <f>'Res Bill Impact'!U27</f>
        <v>0.11051818155308664</v>
      </c>
      <c r="W27" s="40" t="s">
        <v>466</v>
      </c>
      <c r="X27" s="175">
        <f>'Res Bill Impact'!X27</f>
        <v>861.96636884316308</v>
      </c>
      <c r="Y27" s="175">
        <f>'Res Bill Impact'!Y27</f>
        <v>542.74061837230045</v>
      </c>
      <c r="Z27" s="175">
        <f>'Res Bill Impact'!Z27</f>
        <v>895.14891153884082</v>
      </c>
      <c r="AA27" s="175">
        <f>'Res Bill Impact'!AA27</f>
        <v>536.47216233966913</v>
      </c>
      <c r="AB27" s="154">
        <f>'Res Bill Impact'!AB27</f>
        <v>3.4456853543823635E-2</v>
      </c>
      <c r="AC27" s="154">
        <f>'Res Bill Impact'!AC27</f>
        <v>6.6741477551287218E-2</v>
      </c>
    </row>
    <row r="28" spans="2:29" x14ac:dyDescent="0.25">
      <c r="B28" s="55" t="s">
        <v>458</v>
      </c>
      <c r="C28" s="100">
        <f>'Res Bill Impact'!C28</f>
        <v>0.20047999999999999</v>
      </c>
      <c r="D28" s="100">
        <f>P7</f>
        <v>0.20028000000000001</v>
      </c>
      <c r="E28" s="56">
        <f>Q7</f>
        <v>0.20028000000000001</v>
      </c>
      <c r="F28" s="160"/>
      <c r="H28" s="38" t="s">
        <v>467</v>
      </c>
      <c r="I28" s="47">
        <f>'Res Bill Impact'!I28</f>
        <v>584.00639999999999</v>
      </c>
      <c r="J28" s="47">
        <f>'Res Bill Impact'!J28</f>
        <v>361.96230000000003</v>
      </c>
      <c r="K28" s="47">
        <f>'Res Bill Impact'!K28</f>
        <v>562.71450000000004</v>
      </c>
      <c r="L28" s="47">
        <f>'Res Bill Impact'!L28</f>
        <v>641.79870000000005</v>
      </c>
      <c r="M28" s="47"/>
      <c r="N28" s="47"/>
      <c r="O28" s="40" t="s">
        <v>467</v>
      </c>
      <c r="P28" s="175">
        <f>'Res Bill Impact'!P28</f>
        <v>736.46381749259092</v>
      </c>
      <c r="Q28" s="175">
        <f>'Res Bill Impact'!Q28</f>
        <v>439.81310142304818</v>
      </c>
      <c r="R28" s="175">
        <f>'Res Bill Impact'!R28</f>
        <v>846.7761429908835</v>
      </c>
      <c r="S28" s="175">
        <f>'Res Bill Impact'!S28</f>
        <v>501.2769208391685</v>
      </c>
      <c r="T28" s="154">
        <f>'Res Bill Impact'!T28</f>
        <v>6.1908270440460308E-2</v>
      </c>
      <c r="U28" s="154">
        <f>'Res Bill Impact'!U28</f>
        <v>0.1068400742619971</v>
      </c>
      <c r="W28" s="40" t="s">
        <v>467</v>
      </c>
      <c r="X28" s="175">
        <f>'Res Bill Impact'!X28</f>
        <v>672.58530018917634</v>
      </c>
      <c r="Y28" s="175">
        <f>'Res Bill Impact'!Y28</f>
        <v>501.11238561445106</v>
      </c>
      <c r="Z28" s="175">
        <f>'Res Bill Impact'!Z28</f>
        <v>820.31395550331445</v>
      </c>
      <c r="AA28" s="175">
        <f>'Res Bill Impact'!AA28</f>
        <v>614.90041585003576</v>
      </c>
      <c r="AB28" s="154">
        <f>'Res Bill Impact'!AB28</f>
        <v>4.5799628608764201E-2</v>
      </c>
      <c r="AC28" s="154">
        <f>'Res Bill Impact'!AC28</f>
        <v>7.3376404065935263E-2</v>
      </c>
    </row>
    <row r="29" spans="2:29" x14ac:dyDescent="0.25">
      <c r="B29" s="55" t="s">
        <v>460</v>
      </c>
      <c r="C29" s="100">
        <f>'Res Bill Impact'!C29</f>
        <v>0.26869999999999999</v>
      </c>
      <c r="D29" s="100">
        <f>P9</f>
        <v>0.26845000000000002</v>
      </c>
      <c r="E29" s="56">
        <f>Q9</f>
        <v>0.26845000000000002</v>
      </c>
      <c r="F29" s="160"/>
      <c r="H29" s="38" t="s">
        <v>468</v>
      </c>
      <c r="I29" s="47">
        <f>'Res Bill Impact'!I29</f>
        <v>1368.7650000000001</v>
      </c>
      <c r="J29" s="47">
        <f>'Res Bill Impact'!J29</f>
        <v>295.04489999999998</v>
      </c>
      <c r="K29" s="47">
        <f>'Res Bill Impact'!K29</f>
        <v>730.00800000000004</v>
      </c>
      <c r="L29" s="47">
        <f>'Res Bill Impact'!L29</f>
        <v>529.25580000000002</v>
      </c>
      <c r="M29" s="47"/>
      <c r="N29" s="47"/>
      <c r="O29" s="40" t="s">
        <v>468</v>
      </c>
      <c r="P29" s="175">
        <f>'Res Bill Impact'!P29</f>
        <v>1068.8755447452097</v>
      </c>
      <c r="Q29" s="175">
        <f>'Res Bill Impact'!Q29</f>
        <v>514.17911575347955</v>
      </c>
      <c r="R29" s="175">
        <f>'Res Bill Impact'!R29</f>
        <v>1217.1937483023166</v>
      </c>
      <c r="S29" s="175">
        <f>'Res Bill Impact'!S29</f>
        <v>509.59785655579105</v>
      </c>
      <c r="T29" s="154">
        <f>'Res Bill Impact'!T29</f>
        <v>3.2509586046521918E-2</v>
      </c>
      <c r="U29" s="154">
        <f>'Res Bill Impact'!U29</f>
        <v>3.4543492841104598E-2</v>
      </c>
      <c r="W29" s="40" t="s">
        <v>468</v>
      </c>
      <c r="X29" s="175">
        <f>'Res Bill Impact'!X29</f>
        <v>812.96390316452391</v>
      </c>
      <c r="Y29" s="175">
        <f>'Res Bill Impact'!Y29</f>
        <v>430.62785299844489</v>
      </c>
      <c r="Z29" s="175">
        <f>'Res Bill Impact'!Z29</f>
        <v>1006.011931813962</v>
      </c>
      <c r="AA29" s="175">
        <f>'Res Bill Impact'!AA29</f>
        <v>491.18932184142449</v>
      </c>
      <c r="AB29" s="154">
        <f>'Res Bill Impact'!AB29</f>
        <v>3.5292748348049664E-2</v>
      </c>
      <c r="AC29" s="154">
        <f>'Res Bill Impact'!AC29</f>
        <v>4.9832764988506001E-2</v>
      </c>
    </row>
    <row r="30" spans="2:29" x14ac:dyDescent="0.25">
      <c r="B30" s="55" t="s">
        <v>521</v>
      </c>
      <c r="C30" s="100">
        <f>'Res Bill Impact'!C30</f>
        <v>0.26869999999999999</v>
      </c>
      <c r="D30" s="100">
        <f>P11</f>
        <v>0.26845000000000002</v>
      </c>
      <c r="E30" s="56">
        <f>Q12</f>
        <v>0.26845000000000002</v>
      </c>
      <c r="F30" s="160"/>
      <c r="H30" s="38" t="s">
        <v>469</v>
      </c>
      <c r="I30" s="47">
        <f>'Res Bill Impact'!I30</f>
        <v>447.12990000000002</v>
      </c>
      <c r="J30" s="47">
        <f>'Res Bill Impact'!J30</f>
        <v>377.17080000000004</v>
      </c>
      <c r="K30" s="47">
        <f>'Res Bill Impact'!K30</f>
        <v>410.62950000000001</v>
      </c>
      <c r="L30" s="47">
        <f>'Res Bill Impact'!L30</f>
        <v>705.67439999999999</v>
      </c>
      <c r="M30" s="47"/>
      <c r="N30" s="47"/>
      <c r="O30" s="44" t="s">
        <v>469</v>
      </c>
      <c r="P30" s="96">
        <f>'Res Bill Impact'!P30</f>
        <v>492.2823694522271</v>
      </c>
      <c r="Q30" s="96">
        <f>'Res Bill Impact'!Q30</f>
        <v>390.22625558326098</v>
      </c>
      <c r="R30" s="96">
        <f>'Res Bill Impact'!R30</f>
        <v>719.37414291334665</v>
      </c>
      <c r="S30" s="96">
        <f>'Res Bill Impact'!S30</f>
        <v>479.64856741827828</v>
      </c>
      <c r="T30" s="154">
        <f>'Res Bill Impact'!T30</f>
        <v>3.040320029029182E-2</v>
      </c>
      <c r="U30" s="154">
        <f>'Res Bill Impact'!U30</f>
        <v>2.5826456322475919E-2</v>
      </c>
      <c r="W30" s="44" t="s">
        <v>469</v>
      </c>
      <c r="X30" s="96">
        <f>'Res Bill Impact'!X30</f>
        <v>402.42813564770864</v>
      </c>
      <c r="Y30" s="96">
        <f>'Res Bill Impact'!Y30</f>
        <v>502.66098554149568</v>
      </c>
      <c r="Z30" s="96">
        <f>'Res Bill Impact'!Z30</f>
        <v>651.09678155743552</v>
      </c>
      <c r="AA30" s="96">
        <f>'Res Bill Impact'!AA30</f>
        <v>548.31873745636142</v>
      </c>
      <c r="AB30" s="154">
        <f>'Res Bill Impact'!AB30</f>
        <v>4.0144112496627325E-2</v>
      </c>
      <c r="AC30" s="154">
        <f>'Res Bill Impact'!AC30</f>
        <v>3.1061043502892568E-2</v>
      </c>
    </row>
    <row r="31" spans="2:29" x14ac:dyDescent="0.25">
      <c r="B31" s="43" t="s">
        <v>463</v>
      </c>
      <c r="C31" s="100">
        <f>'Res Bill Impact'!C31</f>
        <v>0.19799999999999998</v>
      </c>
      <c r="D31" s="101"/>
      <c r="E31" s="58"/>
      <c r="F31" s="58"/>
      <c r="I31" s="47"/>
    </row>
    <row r="32" spans="2:29" x14ac:dyDescent="0.25">
      <c r="B32" s="48"/>
      <c r="C32" s="57"/>
      <c r="D32" s="57"/>
      <c r="E32" s="58"/>
      <c r="F32" s="58"/>
      <c r="N32" s="43" t="s">
        <v>470</v>
      </c>
      <c r="O32" s="38">
        <v>30.417000000000002</v>
      </c>
    </row>
    <row r="33" spans="2:26" x14ac:dyDescent="0.25">
      <c r="B33" s="48"/>
      <c r="C33" s="57"/>
      <c r="D33" s="57"/>
      <c r="E33" s="58"/>
      <c r="F33" s="58"/>
    </row>
    <row r="34" spans="2:26" x14ac:dyDescent="0.25">
      <c r="B34" s="48"/>
      <c r="C34" s="516" t="s">
        <v>471</v>
      </c>
      <c r="D34" s="516"/>
      <c r="E34" s="516"/>
      <c r="F34" s="516"/>
      <c r="G34" s="516"/>
      <c r="H34" s="516"/>
      <c r="J34" s="48"/>
      <c r="K34" s="516" t="s">
        <v>74</v>
      </c>
      <c r="L34" s="516"/>
      <c r="M34" s="516"/>
      <c r="N34" s="516"/>
      <c r="O34" s="516"/>
      <c r="P34" s="516"/>
      <c r="R34" s="48"/>
      <c r="S34" s="516" t="s">
        <v>75</v>
      </c>
      <c r="T34" s="516"/>
      <c r="U34" s="516"/>
      <c r="V34" s="516"/>
      <c r="W34" s="516"/>
      <c r="X34" s="516"/>
    </row>
    <row r="35" spans="2:26" x14ac:dyDescent="0.25">
      <c r="B35" s="48"/>
      <c r="C35" s="519" t="str">
        <f>C27</f>
        <v>Jan 2026</v>
      </c>
      <c r="D35" s="519"/>
      <c r="E35" s="524">
        <f>D27</f>
        <v>46174</v>
      </c>
      <c r="F35" s="519"/>
      <c r="G35" s="519" t="str">
        <f>E21</f>
        <v>Proposed</v>
      </c>
      <c r="H35" s="519"/>
      <c r="I35" s="183"/>
      <c r="J35" s="48"/>
      <c r="K35" s="519" t="str">
        <f>C35</f>
        <v>Jan 2026</v>
      </c>
      <c r="L35" s="519"/>
      <c r="M35" s="519">
        <f>E35</f>
        <v>46174</v>
      </c>
      <c r="N35" s="519"/>
      <c r="O35" s="519" t="str">
        <f>G35</f>
        <v>Proposed</v>
      </c>
      <c r="P35" s="519"/>
      <c r="R35" s="48"/>
      <c r="S35" s="519" t="str">
        <f>K35</f>
        <v>Jan 2026</v>
      </c>
      <c r="T35" s="519"/>
      <c r="U35" s="519">
        <f>M35</f>
        <v>46174</v>
      </c>
      <c r="V35" s="519"/>
      <c r="W35" s="519" t="str">
        <f>O35</f>
        <v>Proposed</v>
      </c>
      <c r="X35" s="519"/>
      <c r="Y35" s="519"/>
      <c r="Z35" s="519"/>
    </row>
    <row r="36" spans="2:26" x14ac:dyDescent="0.25">
      <c r="B36" s="48"/>
      <c r="C36" s="57" t="s">
        <v>454</v>
      </c>
      <c r="D36" s="57" t="s">
        <v>455</v>
      </c>
      <c r="E36" s="57" t="s">
        <v>454</v>
      </c>
      <c r="F36" s="57" t="s">
        <v>455</v>
      </c>
      <c r="G36" s="57" t="s">
        <v>454</v>
      </c>
      <c r="H36" s="57" t="s">
        <v>455</v>
      </c>
      <c r="I36" s="57"/>
      <c r="J36" s="48"/>
      <c r="K36" s="57" t="s">
        <v>454</v>
      </c>
      <c r="L36" s="57" t="s">
        <v>455</v>
      </c>
      <c r="M36" s="57" t="s">
        <v>454</v>
      </c>
      <c r="N36" s="57" t="s">
        <v>455</v>
      </c>
      <c r="O36" s="57" t="s">
        <v>454</v>
      </c>
      <c r="P36" s="57" t="s">
        <v>455</v>
      </c>
      <c r="R36" s="48"/>
      <c r="S36" s="57" t="s">
        <v>454</v>
      </c>
      <c r="T36" s="57" t="s">
        <v>455</v>
      </c>
      <c r="U36" s="57" t="s">
        <v>454</v>
      </c>
      <c r="V36" s="57" t="s">
        <v>455</v>
      </c>
      <c r="W36" s="57" t="s">
        <v>454</v>
      </c>
      <c r="X36" s="57" t="s">
        <v>455</v>
      </c>
      <c r="Y36" s="57"/>
      <c r="Z36" s="57"/>
    </row>
    <row r="37" spans="2:26" x14ac:dyDescent="0.25">
      <c r="B37" s="38" t="s">
        <v>459</v>
      </c>
      <c r="C37" s="57">
        <f>C$22*MIN(I22,P22)+IF(P22-I22&gt;0,C$23*(P22-I22))+ROUND($C$25*365/12,2)+('Simple Bill Insert Calc (2)'!M17*2)/12</f>
        <v>139.38151757758493</v>
      </c>
      <c r="D37" s="57">
        <f>C$22*MIN(J22,Q22)+IF(Q22-J22&gt;0,C$23*(Q22-J22))+ROUND($C$25*365/12,2)+('Simple Bill Insert Calc (2)'!M17*2)/12</f>
        <v>147.81566411229412</v>
      </c>
      <c r="E37" s="57">
        <f>D$22*MIN(I22,P22)+IF(P22-I22&gt;0,D$23*(P22-I22))+ROUND($F$14*365/12,2)+('Simple Bill Insert Calc (2)'!M17*2)/12</f>
        <v>139.26760033276119</v>
      </c>
      <c r="F37" s="57">
        <f>D$22*MIN(J22,Q22)+IF(Q22-J22&gt;0,D$23*(Q22-J22))+ROUND($F$14*365/12,2)+('Simple Bill Insert Calc (2)'!M17*2)/12</f>
        <v>147.69382157910584</v>
      </c>
      <c r="G37" s="57">
        <f>E$22*MIN(I22,P22)+IF(P22-I22&gt;0,E$23*(P22-I22))+ROUND($F$14*365/12,2)+('Simple Bill Insert Calc (2)'!M17*2)/12</f>
        <v>139.26760033276119</v>
      </c>
      <c r="H37" s="57">
        <f>E$22*MIN(J22,Q22)+IF(Q22-J22&gt;0,E$23*(Q22-J22))+ROUND($F$14*365/12,2)+('Simple Bill Insert Calc (2)'!M17*2)/12</f>
        <v>147.69382157910584</v>
      </c>
      <c r="I37" s="57"/>
      <c r="J37" s="38" t="s">
        <v>459</v>
      </c>
      <c r="K37" s="57">
        <f>C$22*I22+ROUND($C$25*365/12,2)+('Simple Bill Insert Calc (2)'!M17*2)/12</f>
        <v>177.73400718000002</v>
      </c>
      <c r="L37" s="57">
        <f>C$22*J22+ROUND($C$25*365/12,2)+('Simple Bill Insert Calc (2)'!M17*2)/12</f>
        <v>190.87621953599998</v>
      </c>
      <c r="M37" s="57">
        <f>D$22*I22+ROUND($F$14*365/12,2)+('Simple Bill Insert Calc (2)'!M17*2)/12</f>
        <v>177.58405137000003</v>
      </c>
      <c r="N37" s="57">
        <f>D$22*J22+ROUND($F$14*365/12,2)+('Simple Bill Insert Calc (2)'!M17*2)/12</f>
        <v>190.713914424</v>
      </c>
      <c r="O37" s="57">
        <f>E$22*I22+ROUND($F$14*365/12,2)+('Simple Bill Insert Calc (2)'!M17*2)/12</f>
        <v>177.58405137000003</v>
      </c>
      <c r="P37" s="57">
        <f>E$22*J22+ROUND($F$14*365/12,2)+('Simple Bill Insert Calc (2)'!M17*2)/12</f>
        <v>190.713914424</v>
      </c>
      <c r="R37" s="38" t="s">
        <v>459</v>
      </c>
      <c r="S37" s="57">
        <f>C$28*I22+ROUND($C$31*365/12,2)+('Simple Bill Insert Calc (2)'!M17*2)/12</f>
        <v>103.68600272</v>
      </c>
      <c r="T37" s="57">
        <f>C$28*J22+ROUND($C$31*365/12,2)+('Simple Bill Insert Calc (2)'!M17*2)/12</f>
        <v>112.22320294399998</v>
      </c>
      <c r="U37" s="57">
        <f>D$28*I22+ROUND($P$14*365/12,2)+('Simple Bill Insert Calc (2)'!M17*2)/12</f>
        <v>103.55258492000002</v>
      </c>
      <c r="V37" s="57">
        <f>D$28*J22+ROUND($P$14*365/12,2)+('Simple Bill Insert Calc (2)'!M17*2)/12</f>
        <v>112.08126838399998</v>
      </c>
      <c r="W37" s="57">
        <f>E$28*I22+ROUND($P$14*365/12,2)+('Simple Bill Insert Calc (2)'!M17*2)/12</f>
        <v>103.55258492000002</v>
      </c>
      <c r="X37" s="57">
        <f>E$28*J22+ROUND($P$14*365/12,2)+('Simple Bill Insert Calc (2)'!M17*2)/12</f>
        <v>112.08126838399998</v>
      </c>
      <c r="Y37" s="57"/>
      <c r="Z37" s="57"/>
    </row>
    <row r="38" spans="2:26" x14ac:dyDescent="0.25">
      <c r="B38" s="38" t="s">
        <v>461</v>
      </c>
      <c r="C38" s="57">
        <f>C$22*MIN(I23,P23)+IF(P23-I23&gt;0,C$23*(P23-I23))+ROUND($C$25*365/12,2)+('Simple Bill Insert Calc (2)'!M17*2)/12</f>
        <v>158.51069759106892</v>
      </c>
      <c r="D38" s="57">
        <f>C$22*MIN(J23,Q23)+IF(Q23-J23&gt;0,C$23*(Q23-J23))+ROUND($C$25*365/12,2)+('Simple Bill Insert Calc (2)'!M17*2)/12</f>
        <v>139.8099270441204</v>
      </c>
      <c r="E38" s="57">
        <f>D$22*MIN(I23,P23)+IF(P23-I23&gt;0,D$23*(P23-I23))+ROUND($F$14*365/12,2)+('Simple Bill Insert Calc (2)'!M17*2)/12</f>
        <v>158.37921073635394</v>
      </c>
      <c r="F38" s="57">
        <f>D$22*MIN(J23,Q23)+IF(Q23-J23&gt;0,D$23*(Q23-J23))+ROUND($F$14*365/12,2)+('Simple Bill Insert Calc (2)'!M17*2)/12</f>
        <v>139.69583095837334</v>
      </c>
      <c r="G38" s="57">
        <f>E$22*MIN(I23,P23)+IF(P23-I23&gt;0,E$23*(P23-I23))+ROUND($F$14*365/12,2)+('Simple Bill Insert Calc (2)'!M17*2)/12</f>
        <v>158.37921073635394</v>
      </c>
      <c r="H38" s="57">
        <f>E$22*MIN(J23,Q23)+IF(Q23-J23&gt;0,E$23*(Q23-J23))+ROUND($F$14*365/12,2)+('Simple Bill Insert Calc (2)'!M17*2)/12</f>
        <v>139.69583095837334</v>
      </c>
      <c r="I38" s="57"/>
      <c r="J38" s="38" t="s">
        <v>461</v>
      </c>
      <c r="K38" s="57">
        <f>C$22*I23+ROUND($C$25*365/12,2)+('Simple Bill Insert Calc (2)'!M17*2)/12</f>
        <v>125.16515775600001</v>
      </c>
      <c r="L38" s="57">
        <f>C$22*J23+ROUND($C$25*365/12,2)+('Simple Bill Insert Calc (2)'!M17*2)/12</f>
        <v>121.41023994</v>
      </c>
      <c r="M38" s="57">
        <f>D$22*I23+ROUND($F$14*365/12,2)+('Simple Bill Insert Calc (2)'!M17*2)/12</f>
        <v>125.06459915400001</v>
      </c>
      <c r="N38" s="57">
        <f>D$22*J23+ROUND($F$14*365/12,2)+('Simple Bill Insert Calc (2)'!M17*2)/12</f>
        <v>121.31320971</v>
      </c>
      <c r="O38" s="57">
        <f>E$22*I23+ROUND($F$14*365/12,2)+('Simple Bill Insert Calc (2)'!M17*2)/12</f>
        <v>125.06459915400001</v>
      </c>
      <c r="P38" s="57">
        <f>E$22*J23+ROUND($F$14*365/12,2)+('Simple Bill Insert Calc (2)'!M17*2)/12</f>
        <v>121.31320971</v>
      </c>
      <c r="R38" s="38" t="s">
        <v>461</v>
      </c>
      <c r="S38" s="57">
        <f>C$28*I23+ROUND($C$31*365/12,2)+('Simple Bill Insert Calc (2)'!M17*2)/12</f>
        <v>69.537201823999993</v>
      </c>
      <c r="T38" s="57">
        <f>C$28*J23+ROUND($C$31*365/12,2)+('Simple Bill Insert Calc (2)'!M17*2)/12</f>
        <v>67.098001759999988</v>
      </c>
      <c r="U38" s="57">
        <f>D$28*I23+ROUND($P$14*365/12,2)+('Simple Bill Insert Calc (2)'!M17*2)/12</f>
        <v>69.437851064</v>
      </c>
      <c r="V38" s="57">
        <f>D$28*J23+ROUND($P$14*365/12,2)+('Simple Bill Insert Calc (2)'!M17*2)/12</f>
        <v>67.001084359999993</v>
      </c>
      <c r="W38" s="57">
        <f>E$28*I23+ROUND($P$14*365/12,2)+('Simple Bill Insert Calc (2)'!M17*2)/12</f>
        <v>69.437851064</v>
      </c>
      <c r="X38" s="57">
        <f>E$28*J23+ROUND($P$14*365/12,2)+('Simple Bill Insert Calc (2)'!M17*2)/12</f>
        <v>67.001084359999993</v>
      </c>
      <c r="Y38" s="57"/>
      <c r="Z38" s="57"/>
    </row>
    <row r="39" spans="2:26" x14ac:dyDescent="0.25">
      <c r="B39" s="38" t="s">
        <v>462</v>
      </c>
      <c r="C39" s="57">
        <f>C$22*MIN(I24,P24)+IF(P24-I24&gt;0,C$23*(P24-I24))+ROUND($C$25*365/12,2)+('Simple Bill Insert Calc (2)'!M17*2)/12</f>
        <v>198.13144204716261</v>
      </c>
      <c r="D39" s="57">
        <f>C$22*MIN(J24,Q24)+IF(Q24-J24&gt;0,C$23*(Q24-J24))+ROUND($C$25*365/12,2)+('Simple Bill Insert Calc (2)'!M17*2)/12</f>
        <v>149.82597133735206</v>
      </c>
      <c r="E39" s="57">
        <f>D$22*MIN(I24,P24)+IF(P24-I24&gt;0,D$23*(P24-I24))+ROUND($F$14*365/12,2)+('Simple Bill Insert Calc (2)'!M17*2)/12</f>
        <v>197.9630468418803</v>
      </c>
      <c r="F39" s="57">
        <f>D$22*MIN(J24,Q24)+IF(Q24-J24&gt;0,D$23*(Q24-J24))+ROUND($F$14*365/12,2)+('Simple Bill Insert Calc (2)'!M17*2)/12</f>
        <v>149.70266518896315</v>
      </c>
      <c r="G39" s="57">
        <f>E$22*MIN(I24,P24)+IF(P24-I24&gt;0,E$23*(P24-I24))+ROUND($F$14*365/12,2)+('Simple Bill Insert Calc (2)'!M17*2)/12</f>
        <v>197.9630468418803</v>
      </c>
      <c r="H39" s="57">
        <f>E$22*MIN(J24,Q24)+IF(Q24-J24&gt;0,E$23*(Q24-J24))+ROUND($F$14*365/12,2)+('Simple Bill Insert Calc (2)'!M17*2)/12</f>
        <v>149.70266518896315</v>
      </c>
      <c r="I39" s="57"/>
      <c r="J39" s="38" t="s">
        <v>462</v>
      </c>
      <c r="K39" s="57">
        <f>C$22*I24+ROUND($C$25*365/12,2)+('Simple Bill Insert Calc (2)'!M17*2)/12</f>
        <v>138.30737011200003</v>
      </c>
      <c r="L39" s="57">
        <f>C$22*J24+ROUND($C$25*365/12,2)+('Simple Bill Insert Calc (2)'!M17*2)/12</f>
        <v>114.83913376200002</v>
      </c>
      <c r="M39" s="57">
        <f>D$22*I24+ROUND($F$14*365/12,2)+('Simple Bill Insert Calc (2)'!M17*2)/12</f>
        <v>138.194462208</v>
      </c>
      <c r="N39" s="57">
        <f>D$22*J24+ROUND($F$14*365/12,2)+('Simple Bill Insert Calc (2)'!M17*2)/12</f>
        <v>114.74827818300002</v>
      </c>
      <c r="O39" s="57">
        <f>E$22*I24+ROUND($F$14*365/12,2)+('Simple Bill Insert Calc (2)'!M17*2)/12</f>
        <v>138.194462208</v>
      </c>
      <c r="P39" s="57">
        <f>E$22*J24+ROUND($F$14*365/12,2)+('Simple Bill Insert Calc (2)'!M17*2)/12</f>
        <v>114.74827818300002</v>
      </c>
      <c r="R39" s="38" t="s">
        <v>462</v>
      </c>
      <c r="S39" s="57">
        <f>C$28*I24+ROUND($C$31*365/12,2)+('Simple Bill Insert Calc (2)'!M17*2)/12</f>
        <v>78.07440204800001</v>
      </c>
      <c r="T39" s="57">
        <f>C$28*J24+ROUND($C$31*365/12,2)+('Simple Bill Insert Calc (2)'!M17*2)/12</f>
        <v>62.829401648000001</v>
      </c>
      <c r="U39" s="57">
        <f>D$28*I24+ROUND($P$14*365/12,2)+('Simple Bill Insert Calc (2)'!M17*2)/12</f>
        <v>77.966534528000011</v>
      </c>
      <c r="V39" s="57">
        <f>D$28*J24+ROUND($P$14*365/12,2)+('Simple Bill Insert Calc (2)'!M17*2)/12</f>
        <v>62.736742628000016</v>
      </c>
      <c r="W39" s="57">
        <f>E$28*I24+ROUND($P$14*365/12,2)+('Simple Bill Insert Calc (2)'!M17*2)/12</f>
        <v>77.966534528000011</v>
      </c>
      <c r="X39" s="57">
        <f>E$28*J24+ROUND($P$14*365/12,2)+('Simple Bill Insert Calc (2)'!M17*2)/12</f>
        <v>62.736742628000016</v>
      </c>
      <c r="Y39" s="57"/>
      <c r="Z39" s="57"/>
    </row>
    <row r="40" spans="2:26" x14ac:dyDescent="0.25">
      <c r="B40" s="38" t="s">
        <v>8</v>
      </c>
      <c r="C40" s="57">
        <f>C$22*MIN(I25,P25)+IF(P25-I25&gt;0,C$23*(P25-I25))+ROUND($C$25*365/12,2)+('Simple Bill Insert Calc (2)'!M17*2)/12</f>
        <v>237.70427141352781</v>
      </c>
      <c r="D40" s="57">
        <f>C$22*MIN(J25,Q25)+IF(Q25-J25&gt;0,C$23*(Q25-J25))+ROUND($C$25*365/12,2)+('Simple Bill Insert Calc (2)'!M17*2)/12</f>
        <v>162.04119234157585</v>
      </c>
      <c r="E40" s="57">
        <f>D$22*MIN(I25,P25)+IF(P25-I25&gt;0,D$23*(P25-I25))+ROUND($F$14*365/12,2)+('Simple Bill Insert Calc (2)'!M17*2)/12</f>
        <v>237.49870412171387</v>
      </c>
      <c r="F40" s="57">
        <f>D$22*MIN(J25,Q25)+IF(Q25-J25&gt;0,D$23*(Q25-J25))+ROUND($F$14*365/12,2)+('Simple Bill Insert Calc (2)'!M17*2)/12</f>
        <v>161.90636244106474</v>
      </c>
      <c r="G40" s="57">
        <f>E$22*MIN(I25,P25)+IF(P25-I25&gt;0,E$23*(P25-I25))+ROUND($F$14*365/12,2)+('Simple Bill Insert Calc (2)'!M17*2)/12</f>
        <v>237.49870412171387</v>
      </c>
      <c r="H40" s="57">
        <f>E$22*MIN(J25,Q25)+IF(Q25-J25&gt;0,E$23*(Q25-J25))+ROUND($F$14*365/12,2)+('Simple Bill Insert Calc (2)'!M17*2)/12</f>
        <v>161.90636244106474</v>
      </c>
      <c r="I40" s="57"/>
      <c r="J40" s="38" t="s">
        <v>8</v>
      </c>
      <c r="K40" s="57">
        <f>C$22*I25+ROUND($C$25*365/12,2)+('Simple Bill Insert Calc (2)'!M17*2)/12</f>
        <v>176.79527772599999</v>
      </c>
      <c r="L40" s="57">
        <f>C$22*J25+ROUND($C$25*365/12,2)+('Simple Bill Insert Calc (2)'!M17*2)/12</f>
        <v>130.79753448</v>
      </c>
      <c r="M40" s="57">
        <f>D$22*I25+ROUND($F$14*365/12,2)+('Simple Bill Insert Calc (2)'!M17*2)/12</f>
        <v>176.64620400899997</v>
      </c>
      <c r="N40" s="57">
        <f>D$22*J25+ROUND($F$14*365/12,2)+('Simple Bill Insert Calc (2)'!M17*2)/12</f>
        <v>130.69168332000001</v>
      </c>
      <c r="O40" s="57">
        <f>E$22*I25+ROUND($F$14*365/12,2)+('Simple Bill Insert Calc (2)'!M17*2)/12</f>
        <v>176.64620400899997</v>
      </c>
      <c r="P40" s="57">
        <f>E$22*J25+ROUND($F$14*365/12,2)+('Simple Bill Insert Calc (2)'!M17*2)/12</f>
        <v>130.69168332000001</v>
      </c>
      <c r="R40" s="38" t="s">
        <v>8</v>
      </c>
      <c r="S40" s="57">
        <f>C$28*I25+ROUND($C$31*365/12,2)+('Simple Bill Insert Calc (2)'!M17*2)/12</f>
        <v>103.07620270399998</v>
      </c>
      <c r="T40" s="57">
        <f>C$28*J25+ROUND($C$31*365/12,2)+('Simple Bill Insert Calc (2)'!M17*2)/12</f>
        <v>73.19600192</v>
      </c>
      <c r="U40" s="57">
        <f>D$28*I25+ROUND($P$14*365/12,2)+('Simple Bill Insert Calc (2)'!M17*2)/12</f>
        <v>102.94339324399999</v>
      </c>
      <c r="V40" s="57">
        <f>D$28*J25+ROUND($P$14*365/12,2)+('Simple Bill Insert Calc (2)'!M17*2)/12</f>
        <v>73.093001119999997</v>
      </c>
      <c r="W40" s="57">
        <f>E$28*I25+ROUND($P$14*365/12,2)+('Simple Bill Insert Calc (2)'!M17*2)/12</f>
        <v>102.94339324399999</v>
      </c>
      <c r="X40" s="57">
        <f>E$28*J25+ROUND($P$14*365/12,2)+('Simple Bill Insert Calc (2)'!M17*2)/12</f>
        <v>73.093001119999997</v>
      </c>
      <c r="Y40" s="57"/>
      <c r="Z40" s="57"/>
    </row>
    <row r="41" spans="2:26" x14ac:dyDescent="0.25">
      <c r="B41" s="38" t="s">
        <v>465</v>
      </c>
      <c r="C41" s="57">
        <f>C$22*MIN(I26,P26)+IF(P26-I26&gt;0,C$23*(P26-I26))+ROUND($C$25*365/12,2)+('Simple Bill Insert Calc (2)'!M17*2)/12</f>
        <v>271.20494663839975</v>
      </c>
      <c r="D41" s="57">
        <f>C$22*MIN(J26,Q26)+IF(Q26-J26&gt;0,C$23*(Q26-J26))+ROUND($C$25*365/12,2)+('Simple Bill Insert Calc (2)'!M17*2)/12</f>
        <v>171.54683937059312</v>
      </c>
      <c r="E41" s="57">
        <f>D$22*MIN(I26,P26)+IF(P26-I26&gt;0,D$23*(P26-I26))+ROUND($F$14*365/12,2)+('Simple Bill Insert Calc (2)'!M17*2)/12</f>
        <v>270.96803326893053</v>
      </c>
      <c r="F41" s="57">
        <f>D$22*MIN(J26,Q26)+IF(Q26-J26&gt;0,D$23*(Q26-J26))+ROUND($F$14*365/12,2)+('Simple Bill Insert Calc (2)'!M17*2)/12</f>
        <v>171.40318149307296</v>
      </c>
      <c r="G41" s="57">
        <f>E$22*MIN(I26,P26)+IF(P26-I26&gt;0,E$23*(P26-I26))+ROUND($F$14*365/12,2)+('Simple Bill Insert Calc (2)'!M17*2)/12</f>
        <v>270.96803326893053</v>
      </c>
      <c r="H41" s="57">
        <f>E$22*MIN(J26,Q26)+IF(Q26-J26&gt;0,E$23*(Q26-J26))+ROUND($F$14*365/12,2)+('Simple Bill Insert Calc (2)'!M17*2)/12</f>
        <v>171.40318149307296</v>
      </c>
      <c r="I41" s="57"/>
      <c r="J41" s="38" t="s">
        <v>465</v>
      </c>
      <c r="K41" s="57">
        <f>C$22*I26+ROUND($C$25*365/12,2)+('Simple Bill Insert Calc (2)'!M17*2)/12</f>
        <v>199.32478462200004</v>
      </c>
      <c r="L41" s="57">
        <f>C$22*J26+ROUND($C$25*365/12,2)+('Simple Bill Insert Calc (2)'!M17*2)/12</f>
        <v>131.73626393399999</v>
      </c>
      <c r="M41" s="57">
        <f>D$22*I26+ROUND($F$14*365/12,2)+('Simple Bill Insert Calc (2)'!M17*2)/12</f>
        <v>199.15454067300004</v>
      </c>
      <c r="N41" s="57">
        <f>D$22*J26+ROUND($F$14*365/12,2)+('Simple Bill Insert Calc (2)'!M17*2)/12</f>
        <v>131.62953068100001</v>
      </c>
      <c r="O41" s="57">
        <f>E$22*I26+ROUND($F$14*365/12,2)+('Simple Bill Insert Calc (2)'!M17*2)/12</f>
        <v>199.15454067300004</v>
      </c>
      <c r="P41" s="57">
        <f>E$22*J26+ROUND($F$14*365/12,2)+('Simple Bill Insert Calc (2)'!M17*2)/12</f>
        <v>131.62953068100001</v>
      </c>
      <c r="R41" s="38" t="s">
        <v>465</v>
      </c>
      <c r="S41" s="57">
        <f>C$28*I26+ROUND($C$31*365/12,2)+('Simple Bill Insert Calc (2)'!M17*2)/12</f>
        <v>117.71140308800001</v>
      </c>
      <c r="T41" s="57">
        <f>C$28*J26+ROUND($C$31*365/12,2)+('Simple Bill Insert Calc (2)'!M17*2)/12</f>
        <v>73.805801935999995</v>
      </c>
      <c r="U41" s="57">
        <f>D$28*I26+ROUND($P$14*365/12,2)+('Simple Bill Insert Calc (2)'!M17*2)/12</f>
        <v>117.56399346800002</v>
      </c>
      <c r="V41" s="57">
        <f>D$28*J26+ROUND($P$14*365/12,2)+('Simple Bill Insert Calc (2)'!M17*2)/12</f>
        <v>73.702192796000006</v>
      </c>
      <c r="W41" s="57">
        <f>E$28*I26+ROUND($P$14*365/12,2)+('Simple Bill Insert Calc (2)'!M17*2)/12</f>
        <v>117.56399346800002</v>
      </c>
      <c r="X41" s="57">
        <f>E$28*J26+ROUND($P$14*365/12,2)+('Simple Bill Insert Calc (2)'!M17*2)/12</f>
        <v>73.702192796000006</v>
      </c>
      <c r="Y41" s="57"/>
      <c r="Z41" s="57"/>
    </row>
    <row r="42" spans="2:26" ht="15" customHeight="1" x14ac:dyDescent="0.25">
      <c r="B42" s="38" t="s">
        <v>466</v>
      </c>
      <c r="C42" s="57">
        <f>C$22*MIN(I27,P27)+IF(P27-I27&gt;0,C$23*(P27-I27))+ROUND($C$25*365/12,2)+('Simple Bill Insert Calc (2)'!M17*2)/12</f>
        <v>322.71951348546702</v>
      </c>
      <c r="D42" s="57">
        <f>C$22*MIN(J27,Q27)+IF(Q27-J27&gt;0,C$23*(Q27-J27))+ROUND($C$25*365/12,2)+('Simple Bill Insert Calc (2)'!M17*2)/12</f>
        <v>174.05502474881908</v>
      </c>
      <c r="E42" s="57">
        <f>D$22*MIN(I27,P27)+IF(P27-I27&gt;0,D$23*(P27-I27))+ROUND($F$14*365/12,2)+('Simple Bill Insert Calc (2)'!M17*2)/12</f>
        <v>322.43448894104125</v>
      </c>
      <c r="F42" s="57">
        <f>D$22*MIN(J27,Q27)+IF(Q27-J27&gt;0,D$23*(Q27-J27))+ROUND($F$14*365/12,2)+('Simple Bill Insert Calc (2)'!M17*2)/12</f>
        <v>173.9090290954793</v>
      </c>
      <c r="G42" s="57">
        <f>E$22*MIN(I27,P27)+IF(P27-I27&gt;0,E$23*(P27-I27))+ROUND($F$14*365/12,2)+('Simple Bill Insert Calc (2)'!M17*2)/12</f>
        <v>322.43448894104125</v>
      </c>
      <c r="H42" s="57">
        <f>E$22*MIN(J27,Q27)+IF(Q27-J27&gt;0,E$23*(Q27-J27))+ROUND($F$14*365/12,2)+('Simple Bill Insert Calc (2)'!M17*2)/12</f>
        <v>173.9090290954793</v>
      </c>
      <c r="I42" s="57"/>
      <c r="J42" s="38" t="s">
        <v>466</v>
      </c>
      <c r="K42" s="57">
        <f>C$22*I27+ROUND($C$25*365/12,2)+('Simple Bill Insert Calc (2)'!M17*2)/12</f>
        <v>226.54793878800001</v>
      </c>
      <c r="L42" s="57">
        <f>C$22*J27+ROUND($C$25*365/12,2)+('Simple Bill Insert Calc (2)'!M17*2)/12</f>
        <v>132.67499338799999</v>
      </c>
      <c r="M42" s="57">
        <f>D$22*I27+ROUND($F$14*365/12,2)+('Simple Bill Insert Calc (2)'!M17*2)/12</f>
        <v>226.35211414199998</v>
      </c>
      <c r="N42" s="57">
        <f>D$22*J27+ROUND($F$14*365/12,2)+('Simple Bill Insert Calc (2)'!M17*2)/12</f>
        <v>132.567378042</v>
      </c>
      <c r="O42" s="57">
        <f>E$22*I27+ROUND($F$14*365/12,2)+('Simple Bill Insert Calc (2)'!M17*2)/12</f>
        <v>226.35211414199998</v>
      </c>
      <c r="P42" s="57">
        <f>E$22*J27+ROUND($F$14*365/12,2)+('Simple Bill Insert Calc (2)'!M17*2)/12</f>
        <v>132.567378042</v>
      </c>
      <c r="R42" s="38" t="s">
        <v>466</v>
      </c>
      <c r="S42" s="57">
        <f>C$28*I27+ROUND($C$31*365/12,2)+('Simple Bill Insert Calc (2)'!M17*2)/12</f>
        <v>135.39560355199998</v>
      </c>
      <c r="T42" s="57">
        <f>C$28*J27+ROUND($C$31*365/12,2)+('Simple Bill Insert Calc (2)'!M17*2)/12</f>
        <v>74.415601951999989</v>
      </c>
      <c r="U42" s="57">
        <f>D$28*I27+ROUND($P$14*365/12,2)+('Simple Bill Insert Calc (2)'!M17*2)/12</f>
        <v>135.23055207200002</v>
      </c>
      <c r="V42" s="57">
        <f>D$28*J27+ROUND($P$14*365/12,2)+('Simple Bill Insert Calc (2)'!M17*2)/12</f>
        <v>74.311384472</v>
      </c>
      <c r="W42" s="57">
        <f>E$28*I27+ROUND($P$14*365/12,2)+('Simple Bill Insert Calc (2)'!M17*2)/12</f>
        <v>135.23055207200002</v>
      </c>
      <c r="X42" s="57">
        <f>E$28*J27+ROUND($P$14*365/12,2)+('Simple Bill Insert Calc (2)'!M17*2)/12</f>
        <v>74.311384472</v>
      </c>
      <c r="Y42" s="57"/>
      <c r="Z42" s="57"/>
    </row>
    <row r="43" spans="2:26" ht="15" customHeight="1" x14ac:dyDescent="0.25">
      <c r="B43" s="38" t="s">
        <v>467</v>
      </c>
      <c r="C43" s="57">
        <f>C$22*MIN(I28,P28)+IF(P28-I28&gt;0,C$23*(P28-I28))+ROUND($C$25*365/12,2)+('Simple Bill Insert Calc (2)'!M17*2)/12</f>
        <v>260.84785911471448</v>
      </c>
      <c r="D43" s="57">
        <f>C$22*MIN(J28,Q28)+IF(Q28-J28&gt;0,C$23*(Q28-J28))+ROUND($C$25*365/12,2)+('Simple Bill Insert Calc (2)'!M17*2)/12</f>
        <v>161.75427836902284</v>
      </c>
      <c r="E43" s="57">
        <f>D$22*MIN(I28,P28)+IF(P28-I28&gt;0,D$23*(P28-I28))+ROUND($F$14*365/12,2)+('Simple Bill Insert Calc (2)'!M17*2)/12</f>
        <v>260.62056344006731</v>
      </c>
      <c r="F43" s="57">
        <f>D$22*MIN(J28,Q28)+IF(Q28-J28&gt;0,D$23*(Q28-J28))+ROUND($F$14*365/12,2)+('Simple Bill Insert Calc (2)'!M17*2)/12</f>
        <v>161.61972599748208</v>
      </c>
      <c r="G43" s="57">
        <f>E$22*MIN(I28,P28)+IF(P28-I28&gt;0,E$23*(P28-I28))+ROUND($F$14*365/12,2)+('Simple Bill Insert Calc (2)'!M17*2)/12</f>
        <v>260.62056344006731</v>
      </c>
      <c r="H43" s="57">
        <f>E$22*MIN(J28,Q28)+IF(Q28-J28&gt;0,E$23*(Q28-J28))+ROUND($F$14*365/12,2)+('Simple Bill Insert Calc (2)'!M17*2)/12</f>
        <v>161.61972599748208</v>
      </c>
      <c r="I43" s="57"/>
      <c r="J43" s="38" t="s">
        <v>467</v>
      </c>
      <c r="K43" s="57">
        <f>C$22*I28+ROUND($C$25*365/12,2)+('Simple Bill Insert Calc (2)'!M17*2)/12</f>
        <v>198.38605516800001</v>
      </c>
      <c r="L43" s="57">
        <f>C$22*J28+ROUND($C$25*365/12,2)+('Simple Bill Insert Calc (2)'!M17*2)/12</f>
        <v>129.858805026</v>
      </c>
      <c r="M43" s="57">
        <f>D$22*I28+ROUND($F$14*365/12,2)+('Simple Bill Insert Calc (2)'!M17*2)/12</f>
        <v>198.21669331199999</v>
      </c>
      <c r="N43" s="57">
        <f>D$22*J28+ROUND($F$14*365/12,2)+('Simple Bill Insert Calc (2)'!M17*2)/12</f>
        <v>129.75383595900001</v>
      </c>
      <c r="O43" s="57">
        <f>E$22*I28+ROUND($F$14*365/12,2)+('Simple Bill Insert Calc (2)'!M17*2)/12</f>
        <v>198.21669331199999</v>
      </c>
      <c r="P43" s="57">
        <f>E$22*J28+ROUND($F$14*365/12,2)+('Simple Bill Insert Calc (2)'!M17*2)/12</f>
        <v>129.75383595900001</v>
      </c>
      <c r="R43" s="38" t="s">
        <v>467</v>
      </c>
      <c r="S43" s="57">
        <f>C$28*I28+ROUND($C$31*365/12,2)+('Simple Bill Insert Calc (2)'!M17*2)/12</f>
        <v>117.10160307199999</v>
      </c>
      <c r="T43" s="57">
        <f>C$28*J28+ROUND($C$31*365/12,2)+('Simple Bill Insert Calc (2)'!M17*2)/12</f>
        <v>72.586201903999992</v>
      </c>
      <c r="U43" s="57">
        <f>D$28*I28+ROUND($P$14*365/12,2)+('Simple Bill Insert Calc (2)'!M17*2)/12</f>
        <v>116.954801792</v>
      </c>
      <c r="V43" s="57">
        <f>D$28*J28+ROUND($P$14*365/12,2)+('Simple Bill Insert Calc (2)'!M17*2)/12</f>
        <v>72.483809444000002</v>
      </c>
      <c r="W43" s="57">
        <f>E$28*I28+ROUND($P$14*365/12,2)+('Simple Bill Insert Calc (2)'!M17*2)/12</f>
        <v>116.954801792</v>
      </c>
      <c r="X43" s="57">
        <f>E$28*J28+ROUND($P$14*365/12,2)+('Simple Bill Insert Calc (2)'!M17*2)/12</f>
        <v>72.483809444000002</v>
      </c>
      <c r="Y43" s="57"/>
      <c r="Z43" s="57"/>
    </row>
    <row r="44" spans="2:26" ht="15" customHeight="1" x14ac:dyDescent="0.25">
      <c r="B44" s="38" t="s">
        <v>468</v>
      </c>
      <c r="C44" s="57">
        <f>C$22*MIN(I29,P29)+IF(P29-I29&gt;0,C$23*(P29-I29))+ROUND($C$25*365/12,2)+('Simple Bill Insert Calc (2)'!M17*2)/12</f>
        <v>348.02637061926663</v>
      </c>
      <c r="D44" s="57">
        <f>C$22*MIN(J29,Q29)+IF(Q29-J29&gt;0,C$23*(Q29-J29))+ROUND($C$25*365/12,2)+('Simple Bill Insert Calc (2)'!M17*2)/12</f>
        <v>198.98604523220058</v>
      </c>
      <c r="E44" s="57">
        <f>D$22*MIN(I29,P29)+IF(P29-I29&gt;0,D$23*(P29-I29))+ROUND($F$14*365/12,2)+('Simple Bill Insert Calc (2)'!M17*2)/12</f>
        <v>347.71639671129049</v>
      </c>
      <c r="F44" s="57">
        <f>D$22*MIN(J29,Q29)+IF(Q29-J29&gt;0,D$23*(Q29-J29))+ROUND($F$14*365/12,2)+('Simple Bill Insert Calc (2)'!M17*2)/12</f>
        <v>198.81721120921426</v>
      </c>
      <c r="G44" s="57">
        <f>E$22*MIN(I29,P29)+IF(P29-I29&gt;0,E$23*(P29-I29))+ROUND($F$14*365/12,2)+('Simple Bill Insert Calc (2)'!M17*2)/12</f>
        <v>347.71639671129049</v>
      </c>
      <c r="H44" s="57">
        <f>E$22*MIN(J29,Q29)+IF(Q29-J29&gt;0,E$23*(Q29-J29))+ROUND($F$14*365/12,2)+('Simple Bill Insert Calc (2)'!M17*2)/12</f>
        <v>198.81721120921426</v>
      </c>
      <c r="I44" s="57"/>
      <c r="J44" s="38" t="s">
        <v>468</v>
      </c>
      <c r="K44" s="57">
        <f>C$22*I29+ROUND($C$25*365/12,2)+('Simple Bill Insert Calc (2)'!M17*2)/12</f>
        <v>440.57825430000003</v>
      </c>
      <c r="L44" s="57">
        <f>C$22*J29+ROUND($C$25*365/12,2)+('Simple Bill Insert Calc (2)'!M17*2)/12</f>
        <v>109.20675703800001</v>
      </c>
      <c r="M44" s="57">
        <f>D$22*I29+ROUND($F$14*365/12,2)+('Simple Bill Insert Calc (2)'!M17*2)/12</f>
        <v>440.18131245000001</v>
      </c>
      <c r="N44" s="57">
        <f>D$22*J29+ROUND($F$14*365/12,2)+('Simple Bill Insert Calc (2)'!M17*2)/12</f>
        <v>109.12119401699999</v>
      </c>
      <c r="O44" s="57">
        <f>E$22*I29+ROUND($F$14*365/12,2)+('Simple Bill Insert Calc (2)'!M17*2)/12</f>
        <v>440.18131245000001</v>
      </c>
      <c r="P44" s="57">
        <f>E$22*J29+ROUND($F$14*365/12,2)+('Simple Bill Insert Calc (2)'!M17*2)/12</f>
        <v>109.12119401699999</v>
      </c>
      <c r="R44" s="38" t="s">
        <v>468</v>
      </c>
      <c r="S44" s="57">
        <f>C$28*I29+ROUND($C$31*365/12,2)+('Simple Bill Insert Calc (2)'!M17*2)/12</f>
        <v>274.43000719999998</v>
      </c>
      <c r="T44" s="57">
        <f>C$28*J29+ROUND($C$31*365/12,2)+('Simple Bill Insert Calc (2)'!M17*2)/12</f>
        <v>59.170601551999994</v>
      </c>
      <c r="U44" s="57">
        <f>D$28*I29+ROUND($P$14*365/12,2)+('Simple Bill Insert Calc (2)'!M17*2)/12</f>
        <v>274.12625420000006</v>
      </c>
      <c r="V44" s="57">
        <f>D$28*J29+ROUND($P$14*365/12,2)+('Simple Bill Insert Calc (2)'!M17*2)/12</f>
        <v>59.081592572000005</v>
      </c>
      <c r="W44" s="57">
        <f>E$28*I29+ROUND($P$14*365/12,2)+('Simple Bill Insert Calc (2)'!M17*2)/12</f>
        <v>274.12625420000006</v>
      </c>
      <c r="X44" s="57">
        <f>E$28*J29+ROUND($P$14*365/12,2)+('Simple Bill Insert Calc (2)'!M17*2)/12</f>
        <v>59.081592572000005</v>
      </c>
      <c r="Y44" s="57"/>
      <c r="Z44" s="57"/>
    </row>
    <row r="45" spans="2:26" x14ac:dyDescent="0.25">
      <c r="B45" s="38" t="s">
        <v>469</v>
      </c>
      <c r="C45" s="57">
        <f>C$22*MIN(I30,P30)+IF(P30-I30&gt;0,C$23*(P30-I30))+ROUND($C$25*365/12,2)+('Simple Bill Insert Calc (2)'!M17*2)/12</f>
        <v>174.64219647257744</v>
      </c>
      <c r="D45" s="57">
        <f>C$22*MIN(J30,Q30)+IF(Q30-J30&gt;0,C$23*(Q30-J30))+ROUND($C$25*365/12,2)+('Simple Bill Insert Calc (2)'!M17*2)/12</f>
        <v>139.90127244846204</v>
      </c>
      <c r="E45" s="57">
        <f>D$22*MIN(I30,P30)+IF(P30-I30&gt;0,D$23*(P30-I30))+ROUND($F$14*365/12,2)+('Simple Bill Insert Calc (2)'!M17*2)/12</f>
        <v>174.4953708631856</v>
      </c>
      <c r="F45" s="57">
        <f>D$22*MIN(J30,Q30)+IF(Q30-J30&gt;0,D$23*(Q30-J30))+ROUND($F$14*365/12,2)+('Simple Bill Insert Calc (2)'!M17*2)/12</f>
        <v>139.78693184334037</v>
      </c>
      <c r="G45" s="57">
        <f>E$22*MIN(I30,P30)+IF(P30-I30&gt;0,E$23*(P30-I30))+ROUND($F$14*365/12,2)+('Simple Bill Insert Calc (2)'!M17*2)/12</f>
        <v>174.4953708631856</v>
      </c>
      <c r="H45" s="57">
        <f>E$22*MIN(J30,Q30)+IF(Q30-J30&gt;0,E$23*(Q30-J30))+ROUND($F$14*365/12,2)+('Simple Bill Insert Calc (2)'!M17*2)/12</f>
        <v>139.78693184334037</v>
      </c>
      <c r="I45" s="57"/>
      <c r="J45" s="38" t="s">
        <v>469</v>
      </c>
      <c r="K45" s="57">
        <f>C$22*I30+ROUND($C$25*365/12,2)+('Simple Bill Insert Calc (2)'!M17*2)/12</f>
        <v>156.143229738</v>
      </c>
      <c r="L45" s="57">
        <f>C$22*J30+ROUND($C$25*365/12,2)+('Simple Bill Insert Calc (2)'!M17*2)/12</f>
        <v>134.55245229600001</v>
      </c>
      <c r="M45" s="57">
        <f>D$22*I30+ROUND($F$14*365/12,2)+('Simple Bill Insert Calc (2)'!M17*2)/12</f>
        <v>156.01356206700001</v>
      </c>
      <c r="N45" s="57">
        <f>D$22*J30+ROUND($F$14*365/12,2)+('Simple Bill Insert Calc (2)'!M17*2)/12</f>
        <v>134.44307276400002</v>
      </c>
      <c r="O45" s="57">
        <f>E$22*I30+ROUND($F$14*365/12,2)+('Simple Bill Insert Calc (2)'!M17*2)/12</f>
        <v>156.01356206700001</v>
      </c>
      <c r="P45" s="57">
        <f>E$22*J30+ROUND($F$14*365/12,2)+('Simple Bill Insert Calc (2)'!M17*2)/12</f>
        <v>134.44307276400002</v>
      </c>
      <c r="R45" s="38" t="s">
        <v>469</v>
      </c>
      <c r="S45" s="57">
        <f>C$28*I30+ROUND($C$31*365/12,2)+('Simple Bill Insert Calc (2)'!M17*2)/12</f>
        <v>89.660602351999998</v>
      </c>
      <c r="T45" s="57">
        <f>C$28*J30+ROUND($C$31*365/12,2)+('Simple Bill Insert Calc (2)'!M17*2)/12</f>
        <v>75.635201984000005</v>
      </c>
      <c r="U45" s="57">
        <f>D$28*I30+ROUND($P$14*365/12,2)+('Simple Bill Insert Calc (2)'!M17*2)/12</f>
        <v>89.54117637200001</v>
      </c>
      <c r="V45" s="57">
        <f>D$28*J30+ROUND($P$14*365/12,2)+('Simple Bill Insert Calc (2)'!M17*2)/12</f>
        <v>75.529767824000004</v>
      </c>
      <c r="W45" s="57">
        <f>E$28*I30+ROUND($P$14*365/12,2)+('Simple Bill Insert Calc (2)'!M17*2)/12</f>
        <v>89.54117637200001</v>
      </c>
      <c r="X45" s="57">
        <f>E$28*J30+ROUND($P$14*365/12,2)+('Simple Bill Insert Calc (2)'!M17*2)/12</f>
        <v>75.529767824000004</v>
      </c>
      <c r="Y45" s="57"/>
      <c r="Z45" s="57"/>
    </row>
    <row r="46" spans="2:26" s="59" customFormat="1" x14ac:dyDescent="0.25">
      <c r="B46" s="38" t="s">
        <v>472</v>
      </c>
      <c r="C46" s="131">
        <f t="shared" ref="C46:H46" si="3">SUMPRODUCT(C37:C45,$T$22:$T$30)</f>
        <v>232.95250202366066</v>
      </c>
      <c r="D46" s="131">
        <f t="shared" si="3"/>
        <v>159.54181323610322</v>
      </c>
      <c r="E46" s="131">
        <f t="shared" si="3"/>
        <v>232.75136393545262</v>
      </c>
      <c r="F46" s="131">
        <f t="shared" si="3"/>
        <v>159.40936797420838</v>
      </c>
      <c r="G46" s="131">
        <f t="shared" si="3"/>
        <v>232.75136393545262</v>
      </c>
      <c r="H46" s="131">
        <f t="shared" si="3"/>
        <v>159.40936797420838</v>
      </c>
      <c r="I46" s="131"/>
      <c r="J46" s="38" t="s">
        <v>472</v>
      </c>
      <c r="K46" s="131">
        <f t="shared" ref="K46:P46" si="4">SUMPRODUCT(K37:K45,$T$22:$T$30)</f>
        <v>178.01757384881751</v>
      </c>
      <c r="L46" s="131">
        <f t="shared" si="4"/>
        <v>125.34925992451292</v>
      </c>
      <c r="M46" s="131">
        <f t="shared" si="4"/>
        <v>177.86735158060364</v>
      </c>
      <c r="N46" s="131">
        <f t="shared" si="4"/>
        <v>125.24852832779817</v>
      </c>
      <c r="O46" s="131">
        <f t="shared" si="4"/>
        <v>177.86735158060364</v>
      </c>
      <c r="P46" s="131">
        <f t="shared" si="4"/>
        <v>125.24852832779817</v>
      </c>
      <c r="Q46" s="38"/>
      <c r="R46" s="38" t="s">
        <v>472</v>
      </c>
      <c r="S46" s="131">
        <f>SUMPRODUCT(S37:S45,$U$22:$U$30)</f>
        <v>113.66367862444353</v>
      </c>
      <c r="T46" s="131">
        <f t="shared" ref="T46:X46" si="5">SUMPRODUCT(T37:T45,$U$22:$U$30)</f>
        <v>71.089546784101884</v>
      </c>
      <c r="U46" s="131">
        <f t="shared" si="5"/>
        <v>113.52030703762746</v>
      </c>
      <c r="V46" s="131">
        <f t="shared" si="5"/>
        <v>70.988647395849611</v>
      </c>
      <c r="W46" s="131">
        <f t="shared" si="5"/>
        <v>113.52030703762746</v>
      </c>
      <c r="X46" s="131">
        <f t="shared" si="5"/>
        <v>70.988647395849611</v>
      </c>
      <c r="Y46" s="131"/>
      <c r="Z46" s="131"/>
    </row>
    <row r="47" spans="2:26" x14ac:dyDescent="0.25">
      <c r="B47" s="48"/>
      <c r="C47" s="57"/>
      <c r="D47" s="57"/>
      <c r="E47" s="58"/>
      <c r="F47" s="61"/>
      <c r="G47" s="62"/>
      <c r="H47" s="62"/>
      <c r="I47" s="62"/>
      <c r="J47" s="48"/>
      <c r="K47" s="57"/>
      <c r="L47" s="57"/>
      <c r="M47" s="58"/>
      <c r="N47" s="61"/>
      <c r="O47" s="62"/>
      <c r="P47" s="62"/>
      <c r="R47" s="48"/>
      <c r="S47" s="57"/>
      <c r="T47" s="57"/>
      <c r="U47" s="58"/>
      <c r="V47" s="61"/>
      <c r="W47" s="62"/>
      <c r="X47" s="62"/>
      <c r="Y47" s="62"/>
      <c r="Z47" s="62"/>
    </row>
    <row r="48" spans="2:26" x14ac:dyDescent="0.25">
      <c r="B48" s="48"/>
      <c r="C48" s="57"/>
      <c r="D48" s="57"/>
      <c r="E48" s="58"/>
      <c r="F48" s="57"/>
      <c r="G48" s="62"/>
      <c r="H48" s="62"/>
      <c r="I48" s="62"/>
      <c r="J48" s="48"/>
      <c r="K48" s="57"/>
      <c r="L48" s="57"/>
      <c r="M48" s="58"/>
      <c r="N48" s="57"/>
      <c r="O48" s="62"/>
      <c r="P48" s="62"/>
      <c r="R48" s="48"/>
      <c r="S48" s="57"/>
      <c r="T48" s="57"/>
      <c r="U48" s="58"/>
      <c r="V48" s="57"/>
      <c r="W48" s="62"/>
      <c r="X48" s="62"/>
      <c r="Y48" s="62"/>
      <c r="Z48" s="62"/>
    </row>
    <row r="49" spans="2:26" x14ac:dyDescent="0.25">
      <c r="B49" s="48"/>
      <c r="C49" s="516" t="s">
        <v>24</v>
      </c>
      <c r="D49" s="516"/>
      <c r="E49" s="516"/>
      <c r="F49" s="516"/>
      <c r="G49" s="516"/>
      <c r="H49" s="516"/>
      <c r="J49" s="48"/>
      <c r="K49" s="516" t="s">
        <v>76</v>
      </c>
      <c r="L49" s="516"/>
      <c r="M49" s="516"/>
      <c r="N49" s="516"/>
      <c r="O49" s="516"/>
      <c r="P49" s="516"/>
      <c r="R49" s="48"/>
      <c r="S49" s="516" t="s">
        <v>77</v>
      </c>
      <c r="T49" s="516"/>
      <c r="U49" s="516"/>
      <c r="V49" s="516"/>
      <c r="W49" s="516"/>
      <c r="X49" s="516"/>
    </row>
    <row r="50" spans="2:26" x14ac:dyDescent="0.25">
      <c r="B50" s="48"/>
      <c r="C50" s="519" t="str">
        <f>C27</f>
        <v>Jan 2026</v>
      </c>
      <c r="D50" s="519"/>
      <c r="E50" s="524">
        <f>D27</f>
        <v>46174</v>
      </c>
      <c r="F50" s="519"/>
      <c r="G50" s="519" t="str">
        <f>E27</f>
        <v>Proposed</v>
      </c>
      <c r="H50" s="519"/>
      <c r="I50" s="183"/>
      <c r="J50" s="48"/>
      <c r="K50" s="519" t="str">
        <f>C50</f>
        <v>Jan 2026</v>
      </c>
      <c r="L50" s="519"/>
      <c r="M50" s="519">
        <f>E50</f>
        <v>46174</v>
      </c>
      <c r="N50" s="519"/>
      <c r="O50" s="519" t="str">
        <f>G50</f>
        <v>Proposed</v>
      </c>
      <c r="P50" s="519"/>
      <c r="R50" s="48"/>
      <c r="S50" s="519" t="str">
        <f>K50</f>
        <v>Jan 2026</v>
      </c>
      <c r="T50" s="519"/>
      <c r="U50" s="519">
        <f>M50</f>
        <v>46174</v>
      </c>
      <c r="V50" s="519"/>
      <c r="W50" s="519" t="str">
        <f>O50</f>
        <v>Proposed</v>
      </c>
      <c r="X50" s="519"/>
      <c r="Y50" s="519"/>
      <c r="Z50" s="519"/>
    </row>
    <row r="51" spans="2:26" x14ac:dyDescent="0.25">
      <c r="B51" s="48"/>
      <c r="C51" s="57" t="s">
        <v>454</v>
      </c>
      <c r="D51" s="57" t="s">
        <v>455</v>
      </c>
      <c r="E51" s="57" t="s">
        <v>454</v>
      </c>
      <c r="F51" s="57" t="s">
        <v>455</v>
      </c>
      <c r="G51" s="57" t="s">
        <v>454</v>
      </c>
      <c r="H51" s="57" t="s">
        <v>455</v>
      </c>
      <c r="I51" s="57"/>
      <c r="J51" s="48"/>
      <c r="K51" s="57" t="s">
        <v>454</v>
      </c>
      <c r="L51" s="57" t="s">
        <v>455</v>
      </c>
      <c r="M51" s="57" t="s">
        <v>454</v>
      </c>
      <c r="N51" s="57" t="s">
        <v>455</v>
      </c>
      <c r="O51" s="57" t="s">
        <v>454</v>
      </c>
      <c r="P51" s="57" t="s">
        <v>455</v>
      </c>
      <c r="R51" s="48"/>
      <c r="S51" s="57" t="s">
        <v>454</v>
      </c>
      <c r="T51" s="57" t="s">
        <v>455</v>
      </c>
      <c r="U51" s="57" t="s">
        <v>454</v>
      </c>
      <c r="V51" s="57" t="s">
        <v>455</v>
      </c>
      <c r="W51" s="57" t="s">
        <v>454</v>
      </c>
      <c r="X51" s="57" t="s">
        <v>455</v>
      </c>
      <c r="Y51" s="57"/>
      <c r="Z51" s="57"/>
    </row>
    <row r="52" spans="2:26" x14ac:dyDescent="0.25">
      <c r="B52" s="38" t="s">
        <v>459</v>
      </c>
      <c r="C52" s="57">
        <f>C$28*MIN(I22,R22)+IF(R22-I22&gt;0,C$29*(R22-I22))+ROUND($C$31*365/12,2)+('Simple Bill Insert Calc (2)'!M17*2)/12</f>
        <v>61.522539509638008</v>
      </c>
      <c r="D52" s="57">
        <f>C$28*MIN(J22,S22)+IF(S22-J22&gt;0,C$29*(S22-J22))+ROUND($C$31*365/12,2)+('Simple Bill Insert Calc (2)'!M17*2)/12</f>
        <v>67.247729442499988</v>
      </c>
      <c r="E52" s="57">
        <f>D$28*MIN(I22,R22)+IF(R22-I22&gt;0,D$29*(R22-I22))+ROUND($P$14*365/12,2)+('Simple Bill Insert Calc (2)'!M17*2)/12</f>
        <v>61.431184222816754</v>
      </c>
      <c r="F52" s="57">
        <f>D$28*MIN(J22,S22)+IF(S22-J22&gt;0,D$29*(S22-J22))+ROUND($P$14*365/12,2)+('Simple Bill Insert Calc (2)'!M17*2)/12</f>
        <v>67.150662673303572</v>
      </c>
      <c r="G52" s="57">
        <f>E$28*MIN(I22,R22)+IF(R22-I22&gt;0,E$29*(R22-I22))+ROUND($P$14*365/12,2)+('Simple Bill Insert Calc (2)'!M17*2)/12</f>
        <v>61.431184222816754</v>
      </c>
      <c r="H52" s="57">
        <f>E$28*MIN(J22,S22)+IF(S22-J22&gt;0,E$29*(S22-J22))+ROUND($P$14*365/12,2)+('Simple Bill Insert Calc (2)'!M17*2)/12</f>
        <v>67.150662673303572</v>
      </c>
      <c r="I52" s="57"/>
      <c r="J52" s="38" t="s">
        <v>459</v>
      </c>
      <c r="K52" s="57">
        <f>C$22*K22+ROUND($C$25*365/12,2)+('Simple Bill Insert Calc (2)'!M17*2)/12</f>
        <v>175.85654827200003</v>
      </c>
      <c r="L52" s="57">
        <f>C$22*L22+ROUND($C$25*365/12,2)+('Simple Bill Insert Calc (2)'!M17*2)/12</f>
        <v>271.60695257999998</v>
      </c>
      <c r="M52" s="57">
        <f>D$22*K22+ROUND($F$14*365/12,2)+('Simple Bill Insert Calc (2)'!M17*2)/12</f>
        <v>175.70835664800003</v>
      </c>
      <c r="N52" s="57">
        <f>D$22*L22+ROUND($F$14*365/12,2)+('Simple Bill Insert Calc (2)'!M17*2)/12</f>
        <v>271.36878746999997</v>
      </c>
      <c r="O52" s="57">
        <f>E$22*K22+ROUND($F$14*365/12,2)+('Simple Bill Insert Calc (2)'!M17*2)/12</f>
        <v>175.70835664800003</v>
      </c>
      <c r="P52" s="57">
        <f>E$22*L22+ROUND($F$14*365/12,2)+('Simple Bill Insert Calc (2)'!M17*2)/12</f>
        <v>271.36878746999997</v>
      </c>
      <c r="R52" s="38" t="s">
        <v>459</v>
      </c>
      <c r="S52" s="57">
        <f>C$28*K22+ROUND($C$31*365/12,2)+('Simple Bill Insert Calc (2)'!M17*2)/12</f>
        <v>102.466402688</v>
      </c>
      <c r="T52" s="57">
        <f>C$28*L22+ROUND($C$31*365/12,2)+('Simple Bill Insert Calc (2)'!M17*2)/12</f>
        <v>164.66600432000001</v>
      </c>
      <c r="U52" s="57">
        <f>D$28*K22+ROUND($P$14*365/12,2)+('Simple Bill Insert Calc (2)'!M17*2)/12</f>
        <v>102.33420156800001</v>
      </c>
      <c r="V52" s="57">
        <f>D$28*L22+ROUND($P$14*365/12,2)+('Simple Bill Insert Calc (2)'!M17*2)/12</f>
        <v>164.47175252000002</v>
      </c>
      <c r="W52" s="57">
        <f>E$28*K22+ROUND($P$14*365/12,2)+('Simple Bill Insert Calc (2)'!M17*2)/12</f>
        <v>102.33420156800001</v>
      </c>
      <c r="X52" s="57">
        <f>E$28*L22+ROUND($P$14*365/12,2)+('Simple Bill Insert Calc (2)'!M17*2)/12</f>
        <v>164.47175252000002</v>
      </c>
      <c r="Y52" s="57"/>
      <c r="Z52" s="57"/>
    </row>
    <row r="53" spans="2:26" x14ac:dyDescent="0.25">
      <c r="B53" s="38" t="s">
        <v>461</v>
      </c>
      <c r="C53" s="57">
        <f>C$28*MIN(I23,R23)+IF(R23-I23&gt;0,C$29*(R23-I23))+ROUND($C$31*365/12,2)+('Simple Bill Insert Calc (2)'!M17*2)/12</f>
        <v>82.817478815646481</v>
      </c>
      <c r="D53" s="57">
        <f>C$28*MIN(J23,S23)+IF(S23-J23&gt;0,C$29*(S23-J23))+ROUND($C$31*365/12,2)+('Simple Bill Insert Calc (2)'!M17*2)/12</f>
        <v>71.065000830536107</v>
      </c>
      <c r="E53" s="57">
        <f>D$28*MIN(I23,R23)+IF(R23-I23&gt;0,D$29*(R23-I23))+ROUND($P$14*365/12,2)+('Simple Bill Insert Calc (2)'!M17*2)/12</f>
        <v>82.705772010808701</v>
      </c>
      <c r="F53" s="57">
        <f>D$28*MIN(J23,S23)+IF(S23-J23&gt;0,D$29*(S23-J23))+ROUND($P$14*365/12,2)+('Simple Bill Insert Calc (2)'!M17*2)/12</f>
        <v>70.964392512160103</v>
      </c>
      <c r="G53" s="57">
        <f>E$28*MIN(I23,R23)+IF(R23-I23&gt;0,E$29*(R23-I23))+ROUND($P$14*365/12,2)+('Simple Bill Insert Calc (2)'!M17*2)/12</f>
        <v>82.705772010808701</v>
      </c>
      <c r="H53" s="57">
        <f>E$28*MIN(J23,S23)+IF(S23-J23&gt;0,E$29*(S23-J23))+ROUND($P$14*365/12,2)+('Simple Bill Insert Calc (2)'!M17*2)/12</f>
        <v>70.964392512160103</v>
      </c>
      <c r="I53" s="57"/>
      <c r="J53" s="38" t="s">
        <v>461</v>
      </c>
      <c r="K53" s="57">
        <f>C$22*K23+ROUND($C$25*365/12,2)+('Simple Bill Insert Calc (2)'!M17*2)/12</f>
        <v>99.819462498000007</v>
      </c>
      <c r="L53" s="57">
        <f>C$22*L23+ROUND($C$25*365/12,2)+('Simple Bill Insert Calc (2)'!M17*2)/12</f>
        <v>136.42991120400001</v>
      </c>
      <c r="M53" s="57">
        <f>D$22*K23+ROUND($F$14*365/12,2)+('Simple Bill Insert Calc (2)'!M17*2)/12</f>
        <v>99.742720407000007</v>
      </c>
      <c r="N53" s="57">
        <f>D$22*L23+ROUND($F$14*365/12,2)+('Simple Bill Insert Calc (2)'!M17*2)/12</f>
        <v>136.31876748600001</v>
      </c>
      <c r="O53" s="57">
        <f>E$22*K23+ROUND($F$14*365/12,2)+('Simple Bill Insert Calc (2)'!M17*2)/12</f>
        <v>99.742720407000007</v>
      </c>
      <c r="P53" s="57">
        <f>E$22*L23+ROUND($F$14*365/12,2)+('Simple Bill Insert Calc (2)'!M17*2)/12</f>
        <v>136.31876748600001</v>
      </c>
      <c r="R53" s="38" t="s">
        <v>461</v>
      </c>
      <c r="S53" s="57">
        <f>C$28*K23+ROUND($C$31*365/12,2)+('Simple Bill Insert Calc (2)'!M17*2)/12</f>
        <v>53.072601391999996</v>
      </c>
      <c r="T53" s="57">
        <f>C$28*L23+ROUND($C$31*365/12,2)+('Simple Bill Insert Calc (2)'!M17*2)/12</f>
        <v>76.854802015999994</v>
      </c>
      <c r="U53" s="57">
        <f>D$28*K23+ROUND($P$14*365/12,2)+('Simple Bill Insert Calc (2)'!M17*2)/12</f>
        <v>52.989675812000009</v>
      </c>
      <c r="V53" s="57">
        <f>D$28*L23+ROUND($P$14*365/12,2)+('Simple Bill Insert Calc (2)'!M17*2)/12</f>
        <v>76.748151176000007</v>
      </c>
      <c r="W53" s="57">
        <f>E$28*K23+ROUND($P$14*365/12,2)+('Simple Bill Insert Calc (2)'!M17*2)/12</f>
        <v>52.989675812000009</v>
      </c>
      <c r="X53" s="57">
        <f>E$28*L23+ROUND($P$14*365/12,2)+('Simple Bill Insert Calc (2)'!M17*2)/12</f>
        <v>76.748151176000007</v>
      </c>
      <c r="Y53" s="57"/>
      <c r="Z53" s="57"/>
    </row>
    <row r="54" spans="2:26" x14ac:dyDescent="0.25">
      <c r="B54" s="38" t="s">
        <v>462</v>
      </c>
      <c r="C54" s="57">
        <f>C$28*MIN(I24,R24)+IF(R24-I24&gt;0,C$29*(R24-I24))+ROUND($C$31*365/12,2)+('Simple Bill Insert Calc (2)'!M17*2)/12</f>
        <v>104.15529001997061</v>
      </c>
      <c r="D54" s="57">
        <f>C$28*MIN(J24,S24)+IF(S24-J24&gt;0,C$29*(S24-J24))+ROUND($C$31*365/12,2)+('Simple Bill Insert Calc (2)'!M17*2)/12</f>
        <v>79.847940654487132</v>
      </c>
      <c r="E54" s="57">
        <f>D$28*MIN(I24,R24)+IF(R24-I24&gt;0,D$29*(R24-I24))+ROUND($P$14*365/12,2)+('Simple Bill Insert Calc (2)'!M17*2)/12</f>
        <v>104.0231566942654</v>
      </c>
      <c r="F54" s="57">
        <f>D$28*MIN(J24,S24)+IF(S24-J24&gt;0,D$29*(S24-J24))+ROUND($P$14*365/12,2)+('Simple Bill Insert Calc (2)'!M17*2)/12</f>
        <v>79.739447489523911</v>
      </c>
      <c r="G54" s="57">
        <f>E$28*MIN(I24,R24)+IF(R24-I24&gt;0,E$29*(R24-I24))+ROUND($P$14*365/12,2)+('Simple Bill Insert Calc (2)'!M17*2)/12</f>
        <v>104.0231566942654</v>
      </c>
      <c r="H54" s="57">
        <f>E$28*MIN(J24,S24)+IF(S24-J24&gt;0,E$29*(S24-J24))+ROUND($P$14*365/12,2)+('Simple Bill Insert Calc (2)'!M17*2)/12</f>
        <v>79.739447489523911</v>
      </c>
      <c r="I54" s="57"/>
      <c r="J54" s="38" t="s">
        <v>462</v>
      </c>
      <c r="K54" s="57">
        <f>C$22*K24+ROUND($C$25*365/12,2)+('Simple Bill Insert Calc (2)'!M17*2)/12</f>
        <v>111.084215946</v>
      </c>
      <c r="L54" s="57">
        <f>C$22*L24+ROUND($C$25*365/12,2)+('Simple Bill Insert Calc (2)'!M17*2)/12</f>
        <v>133.61372284200002</v>
      </c>
      <c r="M54" s="57">
        <f>D$22*K24+ROUND($F$14*365/12,2)+('Simple Bill Insert Calc (2)'!M17*2)/12</f>
        <v>110.99688873900001</v>
      </c>
      <c r="N54" s="57">
        <f>D$22*L24+ROUND($F$14*365/12,2)+('Simple Bill Insert Calc (2)'!M17*2)/12</f>
        <v>133.50522540300003</v>
      </c>
      <c r="O54" s="57">
        <f>E$22*K24+ROUND($F$14*365/12,2)+('Simple Bill Insert Calc (2)'!M17*2)/12</f>
        <v>110.99688873900001</v>
      </c>
      <c r="P54" s="57">
        <f>E$22*L24+ROUND($F$14*365/12,2)+('Simple Bill Insert Calc (2)'!M17*2)/12</f>
        <v>133.50522540300003</v>
      </c>
      <c r="R54" s="38" t="s">
        <v>462</v>
      </c>
      <c r="S54" s="57">
        <f>C$28*K24+ROUND($C$31*365/12,2)+('Simple Bill Insert Calc (2)'!M17*2)/12</f>
        <v>60.390201583999996</v>
      </c>
      <c r="T54" s="57">
        <f>C$28*L24+ROUND($C$31*365/12,2)+('Simple Bill Insert Calc (2)'!M17*2)/12</f>
        <v>75.025401967999997</v>
      </c>
      <c r="U54" s="57">
        <f>D$28*K24+ROUND($P$14*365/12,2)+('Simple Bill Insert Calc (2)'!M17*2)/12</f>
        <v>60.299975924000009</v>
      </c>
      <c r="V54" s="57">
        <f>D$28*L24+ROUND($P$14*365/12,2)+('Simple Bill Insert Calc (2)'!M17*2)/12</f>
        <v>74.920576148000009</v>
      </c>
      <c r="W54" s="57">
        <f>E$28*K24+ROUND($P$14*365/12,2)+('Simple Bill Insert Calc (2)'!M17*2)/12</f>
        <v>60.299975924000009</v>
      </c>
      <c r="X54" s="57">
        <f>E$28*L24+ROUND($P$14*365/12,2)+('Simple Bill Insert Calc (2)'!M17*2)/12</f>
        <v>74.920576148000009</v>
      </c>
      <c r="Y54" s="57"/>
      <c r="Z54" s="57"/>
    </row>
    <row r="55" spans="2:26" x14ac:dyDescent="0.25">
      <c r="B55" s="38" t="s">
        <v>8</v>
      </c>
      <c r="C55" s="57">
        <f>C$28*MIN(I25,R25)+IF(R25-I25&gt;0,C$29*(R25-I25))+ROUND($C$31*365/12,2)+('Simple Bill Insert Calc (2)'!M17*2)/12</f>
        <v>137.67303589995294</v>
      </c>
      <c r="D55" s="57">
        <f>C$28*MIN(J25,S25)+IF(S25-J25&gt;0,C$29*(S25-J25))+ROUND($C$31*365/12,2)+('Simple Bill Insert Calc (2)'!M17*2)/12</f>
        <v>88.934261862989118</v>
      </c>
      <c r="E55" s="57">
        <f>D$28*MIN(I25,R25)+IF(R25-I25&gt;0,D$29*(R25-I25))+ROUND($P$14*365/12,2)+('Simple Bill Insert Calc (2)'!M17*2)/12</f>
        <v>137.50803735063778</v>
      </c>
      <c r="F55" s="57">
        <f>D$28*MIN(J25,S25)+IF(S25-J25&gt;0,D$29*(S25-J25))+ROUND($P$14*365/12,2)+('Simple Bill Insert Calc (2)'!M17*2)/12</f>
        <v>88.816618096908925</v>
      </c>
      <c r="G55" s="57">
        <f>E$28*MIN(I25,R25)+IF(R25-I25&gt;0,E$29*(R25-I25))+ROUND($P$14*365/12,2)+('Simple Bill Insert Calc (2)'!M17*2)/12</f>
        <v>137.50803735063778</v>
      </c>
      <c r="H55" s="57">
        <f>E$28*MIN(J25,S25)+IF(S25-J25&gt;0,E$29*(S25-J25))+ROUND($P$14*365/12,2)+('Simple Bill Insert Calc (2)'!M17*2)/12</f>
        <v>88.816618096908925</v>
      </c>
      <c r="I55" s="57"/>
      <c r="J55" s="38" t="s">
        <v>8</v>
      </c>
      <c r="K55" s="57">
        <f>C$22*K25+ROUND($C$25*365/12,2)+('Simple Bill Insert Calc (2)'!M17*2)/12</f>
        <v>135.49118175000001</v>
      </c>
      <c r="L55" s="57">
        <f>C$22*L25+ROUND($C$25*365/12,2)+('Simple Bill Insert Calc (2)'!M17*2)/12</f>
        <v>148.63339410600003</v>
      </c>
      <c r="M55" s="57">
        <f>D$22*K25+ROUND($F$14*365/12,2)+('Simple Bill Insert Calc (2)'!M17*2)/12</f>
        <v>135.38092012500002</v>
      </c>
      <c r="N55" s="57">
        <f>D$22*L25+ROUND($F$14*365/12,2)+('Simple Bill Insert Calc (2)'!M17*2)/12</f>
        <v>148.51078317900001</v>
      </c>
      <c r="O55" s="57">
        <f>E$22*K25+ROUND($F$14*365/12,2)+('Simple Bill Insert Calc (2)'!M17*2)/12</f>
        <v>135.38092012500002</v>
      </c>
      <c r="P55" s="57">
        <f>E$22*L25+ROUND($F$14*365/12,2)+('Simple Bill Insert Calc (2)'!M17*2)/12</f>
        <v>148.51078317900001</v>
      </c>
      <c r="R55" s="38" t="s">
        <v>8</v>
      </c>
      <c r="S55" s="57">
        <f>C$28*K25+ROUND($C$31*365/12,2)+('Simple Bill Insert Calc (2)'!M17*2)/12</f>
        <v>76.245001999999999</v>
      </c>
      <c r="T55" s="57">
        <f>C$28*L25+ROUND($C$31*365/12,2)+('Simple Bill Insert Calc (2)'!M17*2)/12</f>
        <v>84.782202224000002</v>
      </c>
      <c r="U55" s="57">
        <f>D$28*K25+ROUND($P$14*365/12,2)+('Simple Bill Insert Calc (2)'!M17*2)/12</f>
        <v>76.138959500000013</v>
      </c>
      <c r="V55" s="57">
        <f>D$28*L25+ROUND($P$14*365/12,2)+('Simple Bill Insert Calc (2)'!M17*2)/12</f>
        <v>84.667642964000009</v>
      </c>
      <c r="W55" s="57">
        <f>E$28*K25+ROUND($P$14*365/12,2)+('Simple Bill Insert Calc (2)'!M17*2)/12</f>
        <v>76.138959500000013</v>
      </c>
      <c r="X55" s="57">
        <f>E$28*L25+ROUND($P$14*365/12,2)+('Simple Bill Insert Calc (2)'!M17*2)/12</f>
        <v>84.667642964000009</v>
      </c>
      <c r="Y55" s="57"/>
      <c r="Z55" s="57"/>
    </row>
    <row r="56" spans="2:26" x14ac:dyDescent="0.25">
      <c r="B56" s="38" t="s">
        <v>465</v>
      </c>
      <c r="C56" s="57">
        <f>C$28*MIN(I26,R26)+IF(R26-I26&gt;0,C$29*(R26-I26))+ROUND($C$31*365/12,2)+('Simple Bill Insert Calc (2)'!M17*2)/12</f>
        <v>184.73280472606766</v>
      </c>
      <c r="D56" s="57">
        <f>C$28*MIN(J26,S26)+IF(S26-J26&gt;0,C$29*(S26-J26))+ROUND($C$31*365/12,2)+('Simple Bill Insert Calc (2)'!M17*2)/12</f>
        <v>106.13513963017031</v>
      </c>
      <c r="E56" s="57">
        <f>D$28*MIN(I26,R26)+IF(R26-I26&gt;0,D$29*(R26-I26))+ROUND($P$14*365/12,2)+('Simple Bill Insert Calc (2)'!M17*2)/12</f>
        <v>184.52303801485249</v>
      </c>
      <c r="F56" s="57">
        <f>D$28*MIN(J26,S26)+IF(S26-J26&gt;0,D$29*(S26-J26))+ROUND($P$14*365/12,2)+('Simple Bill Insert Calc (2)'!M17*2)/12</f>
        <v>106.00145109149692</v>
      </c>
      <c r="G56" s="57">
        <f>E$28*MIN(I26,R26)+IF(R26-I26&gt;0,E$29*(R26-I26))+ROUND($P$14*365/12,2)+('Simple Bill Insert Calc (2)'!M17*2)/12</f>
        <v>184.52303801485249</v>
      </c>
      <c r="H56" s="57">
        <f>E$28*MIN(J26,S26)+IF(S26-J26&gt;0,E$29*(S26-J26))+ROUND($P$14*365/12,2)+('Simple Bill Insert Calc (2)'!M17*2)/12</f>
        <v>106.00145109149692</v>
      </c>
      <c r="I56" s="57"/>
      <c r="J56" s="38" t="s">
        <v>465</v>
      </c>
      <c r="K56" s="57">
        <f>C$22*K26+ROUND($C$25*365/12,2)+('Simple Bill Insert Calc (2)'!M17*2)/12</f>
        <v>167.40798318600002</v>
      </c>
      <c r="L56" s="57">
        <f>C$22*L26+ROUND($C$25*365/12,2)+('Simple Bill Insert Calc (2)'!M17*2)/12</f>
        <v>172.10163045600001</v>
      </c>
      <c r="M56" s="57">
        <f>D$22*K26+ROUND($F$14*365/12,2)+('Simple Bill Insert Calc (2)'!M17*2)/12</f>
        <v>167.26773039900002</v>
      </c>
      <c r="N56" s="57">
        <f>D$22*L26+ROUND($F$14*365/12,2)+('Simple Bill Insert Calc (2)'!M17*2)/12</f>
        <v>171.95696720399999</v>
      </c>
      <c r="O56" s="57">
        <f>E$22*K26+ROUND($F$14*365/12,2)+('Simple Bill Insert Calc (2)'!M17*2)/12</f>
        <v>167.26773039900002</v>
      </c>
      <c r="P56" s="57">
        <f>E$22*L26+ROUND($F$14*365/12,2)+('Simple Bill Insert Calc (2)'!M17*2)/12</f>
        <v>171.95696720399999</v>
      </c>
      <c r="R56" s="38" t="s">
        <v>465</v>
      </c>
      <c r="S56" s="57">
        <f>C$28*K26+ROUND($C$31*365/12,2)+('Simple Bill Insert Calc (2)'!M17*2)/12</f>
        <v>96.978202543999998</v>
      </c>
      <c r="T56" s="57">
        <f>C$28*L26+ROUND($C$31*365/12,2)+('Simple Bill Insert Calc (2)'!M17*2)/12</f>
        <v>100.02720262399998</v>
      </c>
      <c r="U56" s="57">
        <f>D$28*K26+ROUND($P$14*365/12,2)+('Simple Bill Insert Calc (2)'!M17*2)/12</f>
        <v>96.851476484000003</v>
      </c>
      <c r="V56" s="57">
        <f>D$28*L26+ROUND($P$14*365/12,2)+('Simple Bill Insert Calc (2)'!M17*2)/12</f>
        <v>99.897434864000004</v>
      </c>
      <c r="W56" s="57">
        <f>E$28*K26+ROUND($P$14*365/12,2)+('Simple Bill Insert Calc (2)'!M17*2)/12</f>
        <v>96.851476484000003</v>
      </c>
      <c r="X56" s="57">
        <f>E$28*L26+ROUND($P$14*365/12,2)+('Simple Bill Insert Calc (2)'!M17*2)/12</f>
        <v>99.897434864000004</v>
      </c>
      <c r="Y56" s="57"/>
      <c r="Z56" s="57"/>
    </row>
    <row r="57" spans="2:26" x14ac:dyDescent="0.25">
      <c r="B57" s="38" t="s">
        <v>466</v>
      </c>
      <c r="C57" s="57">
        <f>C$28*MIN(I27,R27)+IF(R27-I27&gt;0,C$29*(R27-I27))+ROUND($C$31*365/12,2)+('Simple Bill Insert Calc (2)'!M17*2)/12</f>
        <v>207.98371377582546</v>
      </c>
      <c r="D57" s="57">
        <f>C$28*MIN(J27,S27)+IF(S27-J27&gt;0,C$29*(S27-J27))+ROUND($C$31*365/12,2)+('Simple Bill Insert Calc (2)'!M17*2)/12</f>
        <v>101.88654436375995</v>
      </c>
      <c r="E57" s="57">
        <f>D$28*MIN(I27,R27)+IF(R27-I27&gt;0,D$29*(R27-I27))+ROUND($P$14*365/12,2)+('Simple Bill Insert Calc (2)'!M17*2)/12</f>
        <v>207.75112590745204</v>
      </c>
      <c r="F57" s="57">
        <f>D$28*MIN(J27,S27)+IF(S27-J27&gt;0,D$29*(S27-J27))+ROUND($P$14*365/12,2)+('Simple Bill Insert Calc (2)'!M17*2)/12</f>
        <v>101.75676776354062</v>
      </c>
      <c r="G57" s="57">
        <f>E$28*MIN(I27,R27)+IF(R27-I27&gt;0,E$29*(R27-I27))+ROUND($P$14*365/12,2)+('Simple Bill Insert Calc (2)'!M17*2)/12</f>
        <v>207.75112590745204</v>
      </c>
      <c r="H57" s="57">
        <f>E$28*MIN(J27,S27)+IF(S27-J27&gt;0,E$29*(S27-J27))+ROUND($P$14*365/12,2)+('Simple Bill Insert Calc (2)'!M17*2)/12</f>
        <v>101.75676776354062</v>
      </c>
      <c r="I57" s="57"/>
      <c r="J57" s="38" t="s">
        <v>466</v>
      </c>
      <c r="K57" s="57">
        <f>C$22*K27+ROUND($C$25*365/12,2)+('Simple Bill Insert Calc (2)'!M17*2)/12</f>
        <v>245.32252786800001</v>
      </c>
      <c r="L57" s="57">
        <f>C$22*L27+ROUND($C$25*365/12,2)+('Simple Bill Insert Calc (2)'!M17*2)/12</f>
        <v>234.05777442000002</v>
      </c>
      <c r="M57" s="57">
        <f>D$22*K27+ROUND($F$14*365/12,2)+('Simple Bill Insert Calc (2)'!M17*2)/12</f>
        <v>245.10906136200001</v>
      </c>
      <c r="N57" s="57">
        <f>D$22*L27+ROUND($F$14*365/12,2)+('Simple Bill Insert Calc (2)'!M17*2)/12</f>
        <v>233.85489303</v>
      </c>
      <c r="O57" s="57">
        <f>E$22*K27+ROUND($F$14*365/12,2)+('Simple Bill Insert Calc (2)'!M17*2)/12</f>
        <v>245.10906136200001</v>
      </c>
      <c r="P57" s="57">
        <f>E$22*L27+ROUND($F$14*365/12,2)+('Simple Bill Insert Calc (2)'!M17*2)/12</f>
        <v>233.85489303</v>
      </c>
      <c r="R57" s="38" t="s">
        <v>466</v>
      </c>
      <c r="S57" s="57">
        <f>C$28*K27+ROUND($C$31*365/12,2)+('Simple Bill Insert Calc (2)'!M17*2)/12</f>
        <v>147.59160387200001</v>
      </c>
      <c r="T57" s="57">
        <f>C$28*L27+ROUND($C$31*365/12,2)+('Simple Bill Insert Calc (2)'!M17*2)/12</f>
        <v>140.27400367999999</v>
      </c>
      <c r="U57" s="57">
        <f>D$28*K27+ROUND($P$14*365/12,2)+('Simple Bill Insert Calc (2)'!M17*2)/12</f>
        <v>147.41438559200003</v>
      </c>
      <c r="V57" s="57">
        <f>D$28*L27+ROUND($P$14*365/12,2)+('Simple Bill Insert Calc (2)'!M17*2)/12</f>
        <v>140.10408548000001</v>
      </c>
      <c r="W57" s="57">
        <f>E$28*K27+ROUND($P$14*365/12,2)+('Simple Bill Insert Calc (2)'!M17*2)/12</f>
        <v>147.41438559200003</v>
      </c>
      <c r="X57" s="57">
        <f>E$28*L27+ROUND($P$14*365/12,2)+('Simple Bill Insert Calc (2)'!M17*2)/12</f>
        <v>140.10408548000001</v>
      </c>
      <c r="Y57" s="57"/>
      <c r="Z57" s="57"/>
    </row>
    <row r="58" spans="2:26" x14ac:dyDescent="0.25">
      <c r="B58" s="38" t="s">
        <v>467</v>
      </c>
      <c r="C58" s="57">
        <f>C$28*MIN(I28,R28)+IF(R28-I28&gt;0,C$29*(R28-I28))+ROUND($C$31*365/12,2)+('Simple Bill Insert Calc (2)'!M17*2)/12</f>
        <v>187.7078330136504</v>
      </c>
      <c r="D58" s="57">
        <f>C$28*MIN(J28,S28)+IF(S28-J28&gt;0,C$29*(S28-J28))+ROUND($C$31*365/12,2)+('Simple Bill Insert Calc (2)'!M17*2)/12</f>
        <v>110.02004052348455</v>
      </c>
      <c r="E58" s="57">
        <f>D$28*MIN(I28,R28)+IF(R28-I28&gt;0,D$29*(R28-I28))+ROUND($P$14*365/12,2)+('Simple Bill Insert Calc (2)'!M17*2)/12</f>
        <v>187.49533929790272</v>
      </c>
      <c r="F58" s="57">
        <f>D$28*MIN(J28,S28)+IF(S28-J28&gt;0,D$29*(S28-J28))+ROUND($P$14*365/12,2)+('Simple Bill Insert Calc (2)'!M17*2)/12</f>
        <v>109.88281940827478</v>
      </c>
      <c r="G58" s="57">
        <f>E$28*MIN(I28,R28)+IF(R28-I28&gt;0,E$29*(R28-I28))+ROUND($P$14*365/12,2)+('Simple Bill Insert Calc (2)'!M17*2)/12</f>
        <v>187.49533929790272</v>
      </c>
      <c r="H58" s="57">
        <f>E$28*MIN(J28,S28)+IF(S28-J28&gt;0,E$29*(S28-J28))+ROUND($P$14*365/12,2)+('Simple Bill Insert Calc (2)'!M17*2)/12</f>
        <v>109.88281940827478</v>
      </c>
      <c r="I58" s="57"/>
      <c r="J58" s="38" t="s">
        <v>467</v>
      </c>
      <c r="K58" s="57">
        <f>C$22*K28+ROUND($C$25*365/12,2)+('Simple Bill Insert Calc (2)'!M17*2)/12</f>
        <v>191.81494899000003</v>
      </c>
      <c r="L58" s="57">
        <f>C$22*L28+ROUND($C$25*365/12,2)+('Simple Bill Insert Calc (2)'!M17*2)/12</f>
        <v>216.22191479400001</v>
      </c>
      <c r="M58" s="57">
        <f>D$22*K28+ROUND($F$14*365/12,2)+('Simple Bill Insert Calc (2)'!M17*2)/12</f>
        <v>191.65176178500002</v>
      </c>
      <c r="N58" s="57">
        <f>D$22*L28+ROUND($F$14*365/12,2)+('Simple Bill Insert Calc (2)'!M17*2)/12</f>
        <v>216.03579317100002</v>
      </c>
      <c r="O58" s="57">
        <f>E$22*K28+ROUND($F$14*365/12,2)+('Simple Bill Insert Calc (2)'!M17*2)/12</f>
        <v>191.65176178500002</v>
      </c>
      <c r="P58" s="57">
        <f>E$22*L28+ROUND($F$14*365/12,2)+('Simple Bill Insert Calc (2)'!M17*2)/12</f>
        <v>216.03579317100002</v>
      </c>
      <c r="R58" s="38" t="s">
        <v>467</v>
      </c>
      <c r="S58" s="57">
        <f>C$28*K28+ROUND($C$31*365/12,2)+('Simple Bill Insert Calc (2)'!M17*2)/12</f>
        <v>112.83300296</v>
      </c>
      <c r="T58" s="57">
        <f>C$28*L28+ROUND($C$31*365/12,2)+('Simple Bill Insert Calc (2)'!M17*2)/12</f>
        <v>128.68780337600001</v>
      </c>
      <c r="U58" s="57">
        <f>D$28*K28+ROUND($P$14*365/12,2)+('Simple Bill Insert Calc (2)'!M17*2)/12</f>
        <v>112.69046006000001</v>
      </c>
      <c r="V58" s="57">
        <f>D$28*L28+ROUND($P$14*365/12,2)+('Simple Bill Insert Calc (2)'!M17*2)/12</f>
        <v>128.52944363600002</v>
      </c>
      <c r="W58" s="57">
        <f>E$28*K28+ROUND($P$14*365/12,2)+('Simple Bill Insert Calc (2)'!M17*2)/12</f>
        <v>112.69046006000001</v>
      </c>
      <c r="X58" s="57">
        <f>E$28*L28+ROUND($P$14*365/12,2)+('Simple Bill Insert Calc (2)'!M17*2)/12</f>
        <v>128.52944363600002</v>
      </c>
      <c r="Y58" s="57"/>
      <c r="Z58" s="57"/>
    </row>
    <row r="59" spans="2:26" x14ac:dyDescent="0.25">
      <c r="B59" s="38" t="s">
        <v>468</v>
      </c>
      <c r="C59" s="57">
        <f>C$28*MIN(I29,R29)+IF(R29-I29&gt;0,C$29*(R29-I29))+ROUND($C$31*365/12,2)+('Simple Bill Insert Calc (2)'!M17*2)/12</f>
        <v>244.04300265964844</v>
      </c>
      <c r="D59" s="57">
        <f>C$28*MIN(J29,S29)+IF(S29-J29&gt;0,C$29*(S29-J29))+ROUND($C$31*365/12,2)+('Simple Bill Insert Calc (2)'!M17*2)/12</f>
        <v>116.82098097854104</v>
      </c>
      <c r="E59" s="57">
        <f>D$28*MIN(I29,R29)+IF(R29-I29&gt;0,D$29*(R29-I29))+ROUND($P$14*365/12,2)+('Simple Bill Insert Calc (2)'!M17*2)/12</f>
        <v>243.76956390998799</v>
      </c>
      <c r="F59" s="57">
        <f>D$28*MIN(J29,S29)+IF(S29-J29&gt;0,D$29*(S29-J29))+ROUND($P$14*365/12,2)+('Simple Bill Insert Calc (2)'!M17*2)/12</f>
        <v>116.67833375940212</v>
      </c>
      <c r="G59" s="57">
        <f>E$28*MIN(I29,R29)+IF(R29-I29&gt;0,E$29*(R29-I29))+ROUND($P$14*365/12,2)+('Simple Bill Insert Calc (2)'!M17*2)/12</f>
        <v>243.76956390998799</v>
      </c>
      <c r="H59" s="57">
        <f>E$28*MIN(J29,S29)+IF(S29-J29&gt;0,E$29*(S29-J29))+ROUND($P$14*365/12,2)+('Simple Bill Insert Calc (2)'!M17*2)/12</f>
        <v>116.67833375940212</v>
      </c>
      <c r="I59" s="57"/>
      <c r="J59" s="38" t="s">
        <v>468</v>
      </c>
      <c r="K59" s="57">
        <f>C$22*K29+ROUND($C$25*365/12,2)+('Simple Bill Insert Calc (2)'!M17*2)/12</f>
        <v>243.44506896000001</v>
      </c>
      <c r="L59" s="57">
        <f>C$22*L29+ROUND($C$25*365/12,2)+('Simple Bill Insert Calc (2)'!M17*2)/12</f>
        <v>181.48892499600001</v>
      </c>
      <c r="M59" s="57">
        <f>D$22*K29+ROUND($F$14*365/12,2)+('Simple Bill Insert Calc (2)'!M17*2)/12</f>
        <v>243.23336664000001</v>
      </c>
      <c r="N59" s="57">
        <f>D$22*L29+ROUND($F$14*365/12,2)+('Simple Bill Insert Calc (2)'!M17*2)/12</f>
        <v>181.33544081400001</v>
      </c>
      <c r="O59" s="57">
        <f>E$22*K29+ROUND($F$14*365/12,2)+('Simple Bill Insert Calc (2)'!M17*2)/12</f>
        <v>243.23336664000001</v>
      </c>
      <c r="P59" s="57">
        <f>E$22*L29+ROUND($F$14*365/12,2)+('Simple Bill Insert Calc (2)'!M17*2)/12</f>
        <v>181.33544081400001</v>
      </c>
      <c r="R59" s="38" t="s">
        <v>468</v>
      </c>
      <c r="S59" s="57">
        <f>C$28*K29+ROUND($C$31*365/12,2)+('Simple Bill Insert Calc (2)'!M17*2)/12</f>
        <v>146.37200384000002</v>
      </c>
      <c r="T59" s="57">
        <f>C$28*L29+ROUND($C$31*365/12,2)+('Simple Bill Insert Calc (2)'!M17*2)/12</f>
        <v>106.125202784</v>
      </c>
      <c r="U59" s="57">
        <f>D$28*K29+ROUND($P$14*365/12,2)+('Simple Bill Insert Calc (2)'!M17*2)/12</f>
        <v>146.19600224000001</v>
      </c>
      <c r="V59" s="57">
        <f>D$28*L29+ROUND($P$14*365/12,2)+('Simple Bill Insert Calc (2)'!M17*2)/12</f>
        <v>105.98935162400001</v>
      </c>
      <c r="W59" s="57">
        <f>E$28*K29+ROUND($P$14*365/12,2)+('Simple Bill Insert Calc (2)'!M17*2)/12</f>
        <v>146.19600224000001</v>
      </c>
      <c r="X59" s="57">
        <f>E$28*L29+ROUND($P$14*365/12,2)+('Simple Bill Insert Calc (2)'!M17*2)/12</f>
        <v>105.98935162400001</v>
      </c>
      <c r="Y59" s="57"/>
      <c r="Z59" s="57"/>
    </row>
    <row r="60" spans="2:26" x14ac:dyDescent="0.25">
      <c r="B60" s="38" t="s">
        <v>469</v>
      </c>
      <c r="C60" s="57">
        <f>C$28*MIN(I30,R30)+IF(R30-I30&gt;0,C$29*(R30-I30))+ROUND($C$31*365/12,2)+('Simple Bill Insert Calc (2)'!M17*2)/12</f>
        <v>162.81263042281626</v>
      </c>
      <c r="D60" s="57">
        <f>C$28*MIN(J30,S30)+IF(S30-J30&gt;0,C$29*(S30-J30))+ROUND($C$31*365/12,2)+('Simple Bill Insert Calc (2)'!M17*2)/12</f>
        <v>103.17097808929137</v>
      </c>
      <c r="E60" s="57">
        <f>D$28*MIN(I30,R30)+IF(R30-I30&gt;0,D$29*(R30-I30))+ROUND($P$14*365/12,2)+('Simple Bill Insert Calc (2)'!M17*2)/12</f>
        <v>162.62514338208791</v>
      </c>
      <c r="F60" s="57">
        <f>D$28*MIN(J30,S30)+IF(S30-J30&gt;0,D$29*(S30-J30))+ROUND($P$14*365/12,2)+('Simple Bill Insert Calc (2)'!M17*2)/12</f>
        <v>103.03992448743681</v>
      </c>
      <c r="G60" s="57">
        <f>E$28*MIN(I30,R30)+IF(R30-I30&gt;0,E$29*(R30-I30))+ROUND($P$14*365/12,2)+('Simple Bill Insert Calc (2)'!M17*2)/12</f>
        <v>162.62514338208791</v>
      </c>
      <c r="H60" s="57">
        <f>E$28*MIN(J30,S30)+IF(S30-J30&gt;0,E$29*(S30-J30))+ROUND($P$14*365/12,2)+('Simple Bill Insert Calc (2)'!M17*2)/12</f>
        <v>103.03992448743681</v>
      </c>
      <c r="I60" s="57"/>
      <c r="J60" s="38" t="s">
        <v>469</v>
      </c>
      <c r="K60" s="57">
        <f>C$22*K30+ROUND($C$25*365/12,2)+('Simple Bill Insert Calc (2)'!M17*2)/12</f>
        <v>144.87847629000001</v>
      </c>
      <c r="L60" s="57">
        <f>C$22*L30+ROUND($C$25*365/12,2)+('Simple Bill Insert Calc (2)'!M17*2)/12</f>
        <v>235.93523332800001</v>
      </c>
      <c r="M60" s="57">
        <f>D$22*K30+ROUND($F$14*365/12,2)+('Simple Bill Insert Calc (2)'!M17*2)/12</f>
        <v>144.759393735</v>
      </c>
      <c r="N60" s="57">
        <f>D$22*L30+ROUND($F$14*365/12,2)+('Simple Bill Insert Calc (2)'!M17*2)/12</f>
        <v>235.73058775199999</v>
      </c>
      <c r="O60" s="57">
        <f>E$22*K30+ROUND($F$14*365/12,2)+('Simple Bill Insert Calc (2)'!M17*2)/12</f>
        <v>144.759393735</v>
      </c>
      <c r="P60" s="57">
        <f>E$22*L30+ROUND($F$14*365/12,2)+('Simple Bill Insert Calc (2)'!M17*2)/12</f>
        <v>235.73058775199999</v>
      </c>
      <c r="R60" s="38" t="s">
        <v>469</v>
      </c>
      <c r="S60" s="57">
        <f>C$28*K30+ROUND($C$31*365/12,2)+('Simple Bill Insert Calc (2)'!M17*2)/12</f>
        <v>82.343002159999998</v>
      </c>
      <c r="T60" s="57">
        <f>C$28*L30+ROUND($C$31*365/12,2)+('Simple Bill Insert Calc (2)'!M17*2)/12</f>
        <v>141.49360371200001</v>
      </c>
      <c r="U60" s="57">
        <f>D$28*K30+ROUND($P$14*365/12,2)+('Simple Bill Insert Calc (2)'!M17*2)/12</f>
        <v>82.230876260000002</v>
      </c>
      <c r="V60" s="57">
        <f>D$28*L30+ROUND($P$14*365/12,2)+('Simple Bill Insert Calc (2)'!M17*2)/12</f>
        <v>141.32246883200003</v>
      </c>
      <c r="W60" s="57">
        <f>E$28*K30+ROUND($P$14*365/12,2)+('Simple Bill Insert Calc (2)'!M17*2)/12</f>
        <v>82.230876260000002</v>
      </c>
      <c r="X60" s="57">
        <f>E$28*L30+ROUND($P$14*365/12,2)+('Simple Bill Insert Calc (2)'!M17*2)/12</f>
        <v>141.32246883200003</v>
      </c>
      <c r="Y60" s="57"/>
      <c r="Z60" s="57"/>
    </row>
    <row r="61" spans="2:26" x14ac:dyDescent="0.25">
      <c r="B61" s="38" t="s">
        <v>472</v>
      </c>
      <c r="C61" s="131">
        <f t="shared" ref="C61:H61" si="6">SUMPRODUCT(C52:C60,$U$22:$U$30)</f>
        <v>165.50018882616794</v>
      </c>
      <c r="D61" s="131">
        <f t="shared" si="6"/>
        <v>98.376907473100061</v>
      </c>
      <c r="E61" s="131">
        <f t="shared" si="6"/>
        <v>165.30865896041161</v>
      </c>
      <c r="F61" s="131">
        <f t="shared" si="6"/>
        <v>98.250619946368403</v>
      </c>
      <c r="G61" s="131">
        <f t="shared" si="6"/>
        <v>165.30865896041161</v>
      </c>
      <c r="H61" s="131">
        <f t="shared" si="6"/>
        <v>98.250619946368403</v>
      </c>
      <c r="I61" s="131"/>
      <c r="J61" s="38" t="s">
        <v>472</v>
      </c>
      <c r="K61" s="131">
        <f t="shared" ref="K61:P61" si="7">SUMPRODUCT(K52:K60,$T$22:$T$30)</f>
        <v>146.43202442514988</v>
      </c>
      <c r="L61" s="131">
        <f t="shared" si="7"/>
        <v>162.50169025234354</v>
      </c>
      <c r="M61" s="131">
        <f t="shared" si="7"/>
        <v>146.31148205238307</v>
      </c>
      <c r="N61" s="131">
        <f t="shared" si="7"/>
        <v>162.36604774643601</v>
      </c>
      <c r="O61" s="131">
        <f t="shared" si="7"/>
        <v>146.31148205238307</v>
      </c>
      <c r="P61" s="131">
        <f t="shared" si="7"/>
        <v>162.36604774643601</v>
      </c>
      <c r="R61" s="38" t="s">
        <v>472</v>
      </c>
      <c r="S61" s="131">
        <f>SUMPRODUCT(S52:S60,$U$22:$U$30)</f>
        <v>95.086202549179191</v>
      </c>
      <c r="T61" s="131">
        <f t="shared" ref="T61:X61" si="8">SUMPRODUCT(T52:T60,$U$22:$U$30)</f>
        <v>101.93974919076905</v>
      </c>
      <c r="U61" s="131">
        <f t="shared" si="8"/>
        <v>94.961363959245858</v>
      </c>
      <c r="V61" s="131">
        <f t="shared" si="8"/>
        <v>101.80807346332418</v>
      </c>
      <c r="W61" s="131">
        <f t="shared" si="8"/>
        <v>94.961363959245858</v>
      </c>
      <c r="X61" s="131">
        <f t="shared" si="8"/>
        <v>101.80807346332418</v>
      </c>
      <c r="Y61" s="131"/>
      <c r="Z61" s="131"/>
    </row>
    <row r="62" spans="2:26" x14ac:dyDescent="0.25">
      <c r="B62" s="48"/>
      <c r="C62" s="57"/>
      <c r="D62" s="57"/>
      <c r="E62" s="58"/>
      <c r="F62" s="57"/>
      <c r="G62" s="62"/>
      <c r="H62" s="62"/>
      <c r="I62" s="62"/>
      <c r="J62" s="62"/>
    </row>
    <row r="63" spans="2:26" x14ac:dyDescent="0.25">
      <c r="B63" s="48"/>
      <c r="C63" s="57"/>
      <c r="D63" s="57"/>
      <c r="E63" s="57"/>
      <c r="F63" s="57"/>
      <c r="G63" s="57"/>
      <c r="H63" s="57"/>
      <c r="I63" s="62"/>
    </row>
    <row r="64" spans="2:26" ht="14.85" customHeight="1" x14ac:dyDescent="0.25">
      <c r="B64" s="48"/>
      <c r="C64" s="516" t="s">
        <v>78</v>
      </c>
      <c r="D64" s="516"/>
      <c r="E64" s="516"/>
      <c r="F64" s="516"/>
      <c r="G64" s="516"/>
      <c r="H64" s="516"/>
      <c r="J64" s="184">
        <f>'Simple Bill Insert Calc (2)'!D5</f>
        <v>500</v>
      </c>
      <c r="K64" s="534" t="str">
        <f>J64&amp;" kWh Monthly - Non-CARE"</f>
        <v>500 kWh Monthly - Non-CARE</v>
      </c>
      <c r="L64" s="516"/>
      <c r="M64" s="516"/>
      <c r="N64" s="516"/>
      <c r="O64" s="516"/>
      <c r="P64" s="516"/>
      <c r="R64" s="48"/>
      <c r="S64" s="516" t="str">
        <f>J64&amp;" kWh Monthly - CARE"</f>
        <v>500 kWh Monthly - CARE</v>
      </c>
      <c r="T64" s="516"/>
      <c r="U64" s="516"/>
      <c r="V64" s="516"/>
      <c r="W64" s="516"/>
      <c r="X64" s="516"/>
    </row>
    <row r="65" spans="2:31" x14ac:dyDescent="0.25">
      <c r="B65" s="48"/>
      <c r="C65" s="517" t="str">
        <f>C27</f>
        <v>Jan 2026</v>
      </c>
      <c r="D65" s="517"/>
      <c r="E65" s="518">
        <f>D27</f>
        <v>46174</v>
      </c>
      <c r="F65" s="517"/>
      <c r="G65" s="517" t="str">
        <f>E21</f>
        <v>Proposed</v>
      </c>
      <c r="H65" s="517"/>
      <c r="I65" s="62"/>
      <c r="J65" s="48"/>
      <c r="K65" s="519" t="str">
        <f>K50</f>
        <v>Jan 2026</v>
      </c>
      <c r="L65" s="519"/>
      <c r="M65" s="519">
        <f>M50</f>
        <v>46174</v>
      </c>
      <c r="N65" s="519"/>
      <c r="O65" s="519" t="str">
        <f>O50</f>
        <v>Proposed</v>
      </c>
      <c r="P65" s="519"/>
      <c r="R65" s="48"/>
      <c r="S65" s="519" t="str">
        <f>S50</f>
        <v>Jan 2026</v>
      </c>
      <c r="T65" s="519"/>
      <c r="U65" s="519">
        <f>U50</f>
        <v>46174</v>
      </c>
      <c r="V65" s="519"/>
      <c r="W65" s="519" t="str">
        <f>W50</f>
        <v>Proposed</v>
      </c>
      <c r="X65" s="519"/>
      <c r="AD65" s="182"/>
      <c r="AE65" s="182"/>
    </row>
    <row r="66" spans="2:31" ht="15.75" x14ac:dyDescent="0.25">
      <c r="B66" s="48"/>
      <c r="C66" s="101" t="s">
        <v>454</v>
      </c>
      <c r="D66" s="101" t="s">
        <v>455</v>
      </c>
      <c r="E66" s="101" t="s">
        <v>454</v>
      </c>
      <c r="F66" s="101" t="s">
        <v>455</v>
      </c>
      <c r="G66" s="101" t="s">
        <v>454</v>
      </c>
      <c r="H66" s="101" t="s">
        <v>455</v>
      </c>
      <c r="I66" s="70"/>
      <c r="J66" s="48"/>
      <c r="K66" s="57" t="s">
        <v>454</v>
      </c>
      <c r="L66" s="57" t="s">
        <v>455</v>
      </c>
      <c r="M66" s="57" t="s">
        <v>454</v>
      </c>
      <c r="N66" s="57" t="s">
        <v>455</v>
      </c>
      <c r="O66" s="57" t="s">
        <v>454</v>
      </c>
      <c r="P66" s="57" t="s">
        <v>455</v>
      </c>
      <c r="R66" s="48"/>
      <c r="S66" s="57" t="s">
        <v>454</v>
      </c>
      <c r="T66" s="57" t="s">
        <v>455</v>
      </c>
      <c r="U66" s="57" t="s">
        <v>454</v>
      </c>
      <c r="V66" s="57" t="s">
        <v>455</v>
      </c>
      <c r="W66" s="57" t="s">
        <v>454</v>
      </c>
      <c r="X66" s="57" t="s">
        <v>455</v>
      </c>
      <c r="AD66" s="57"/>
      <c r="AE66" s="57"/>
    </row>
    <row r="67" spans="2:31" ht="15.75" x14ac:dyDescent="0.25">
      <c r="B67" s="48" t="s">
        <v>459</v>
      </c>
      <c r="C67" s="101">
        <f>C$22*MIN(K22,X22)+IF(X22-K22&gt;0,C$23*(X22-K22))+ROUND($C$25*365/12,2)+('Simple Bill Insert Calc (2)'!M17*2)/12</f>
        <v>142.19028967695672</v>
      </c>
      <c r="D67" s="101">
        <f>C$22*MIN(L22,Y22)+IF(Y22-L22&gt;0,C$23*(Y22-L22))+ROUND($C$25*365/12,2)+('Simple Bill Insert Calc (2)'!M17*2)/12</f>
        <v>162.26643480464367</v>
      </c>
      <c r="E67" s="101">
        <f>D$22*MIN(K22,X22)+IF(X22-K22&gt;0,D$23*(X22-K22))+ROUND($F$14*365/12,2)+('Simple Bill Insert Calc (2)'!M17*2)/12</f>
        <v>142.07373312194954</v>
      </c>
      <c r="F67" s="101">
        <f>D$22*MIN(L22,Y22)+IF(Y22-L22&gt;0,D$23*(Y22-L22))+ROUND($F$14*365/12,2)+('Simple Bill Insert Calc (2)'!M17*2)/12</f>
        <v>162.13101336049439</v>
      </c>
      <c r="G67" s="101">
        <f>E$22*MIN(K22,X22)+IF(X22-K22&gt;0,E$23*(X22-K22))+ROUND($F$14*365/12,2)+('Simple Bill Insert Calc (2)'!M17*2)/12</f>
        <v>142.07373312194954</v>
      </c>
      <c r="H67" s="101">
        <f>E$22*MIN(L22,Y22)+IF(Y22-L22&gt;0,E$23*(Y22-L22))+ROUND($F$14*365/12,2)+('Simple Bill Insert Calc (2)'!M17*2)/12</f>
        <v>162.13101336049439</v>
      </c>
      <c r="I67" s="70"/>
      <c r="J67" s="38" t="s">
        <v>459</v>
      </c>
      <c r="K67" s="57">
        <f>C$22*MIN(I22,$J$64)+IF($J$64-I22&gt;0,C$23*($J$64-I22))+ROUND($C$25*365/12,2)+('Simple Bill Insert Calc (2)'!M17*2)/12</f>
        <v>172.46</v>
      </c>
      <c r="L67" s="57">
        <f>C$22*MIN(J22,$J$64)+IF($J$64-J22&gt;0,C$23*($J$64-J22))+ROUND($C$25*365/12,2)+('Simple Bill Insert Calc (2)'!M17*2)/12</f>
        <v>172.46</v>
      </c>
      <c r="M67" s="57">
        <f>D$22*MIN(I22,$J$64)+IF($J$64-I22&gt;0,D$23*($J$64-I22))+ROUND($F$14*365/12,2)+('Simple Bill Insert Calc (2)'!M17*2)/12</f>
        <v>172.315</v>
      </c>
      <c r="N67" s="57">
        <f>D$22*MIN(J22,$J$64)+IF($J$64-J22&gt;0,D$23*($J$64-J22))+ROUND($F$14*365/12,2)+('Simple Bill Insert Calc (2)'!M17*2)/12</f>
        <v>172.315</v>
      </c>
      <c r="O67" s="57">
        <f>E$22*MIN(I22,$J$64)+IF($J$64-I22&gt;0,E$23*($J$64-I22))+ROUND($F$14*365/12,2)+('Simple Bill Insert Calc (2)'!M17*2)/12</f>
        <v>172.315</v>
      </c>
      <c r="P67" s="57">
        <f>E$22*MIN(J22,$J$64)+IF($J$64-J22&gt;0,E$23*($J$64-J22))+ROUND($F$14*365/12,2)+('Simple Bill Insert Calc (2)'!M17*2)/12</f>
        <v>172.315</v>
      </c>
      <c r="R67" s="38" t="s">
        <v>459</v>
      </c>
      <c r="S67" s="57">
        <f>C$28*MIN(I22,$J$64)+IF($J$64-I22&gt;0,C$29*($J$64-I22))+ROUND($C$31*365/12,2)+('Simple Bill Insert Calc (2)'!M17*2)/12</f>
        <v>100.25999999999999</v>
      </c>
      <c r="T67" s="57">
        <f>C$28*MIN(J22,$J$64)+IF($J$64-J22&gt;0,C$29*($J$64-J22))+ROUND($C$31*365/12,2)+('Simple Bill Insert Calc (2)'!M17*2)/12</f>
        <v>100.25999999999999</v>
      </c>
      <c r="U67" s="57">
        <f>D$28*MIN(I22,$J$64)+IF($J$64-I22&gt;0,D$29*($J$64-I22))+ROUND($P$14*365/12,2)+('Simple Bill Insert Calc (2)'!M17*2)/12</f>
        <v>100.13</v>
      </c>
      <c r="V67" s="57">
        <f>D$28*MIN(J22,$J$64)+IF($J$64-J22&gt;0,D$29*($J$64-J22))+ROUND($P$14*365/12,2)+('Simple Bill Insert Calc (2)'!M17*2)/12</f>
        <v>100.13</v>
      </c>
      <c r="W67" s="57">
        <f>E$28*MIN(I22,$J$64)+IF($J$64-I22&gt;0,E$29*($J$64-I22))+ROUND($P$14*365/12,2)+('Simple Bill Insert Calc (2)'!M17*2)/12</f>
        <v>100.13</v>
      </c>
      <c r="X67" s="57">
        <f>E$28*MIN(J22,$J$64)+IF($J$64-J22&gt;0,E$29*($J$64-J22))+ROUND($P$14*365/12,2)+('Simple Bill Insert Calc (2)'!M17*2)/12</f>
        <v>100.13</v>
      </c>
      <c r="AD67" s="57"/>
      <c r="AE67" s="57"/>
    </row>
    <row r="68" spans="2:31" x14ac:dyDescent="0.25">
      <c r="B68" s="48" t="s">
        <v>461</v>
      </c>
      <c r="C68" s="101">
        <f>C$22*MIN(K23,X23)+IF(X23-K23&gt;0,C$23*(X23-K23))+ROUND($C$25*365/12,2)+('Simple Bill Insert Calc (2)'!M17*2)/12</f>
        <v>125.5759875378595</v>
      </c>
      <c r="D68" s="101">
        <f>C$22*MIN(L23,Y23)+IF(Y23-L23&gt;0,C$23*(Y23-L23))+ROUND($C$25*365/12,2)+('Simple Bill Insert Calc (2)'!M17*2)/12</f>
        <v>119.33167640133777</v>
      </c>
      <c r="E68" s="101">
        <f>D$22*MIN(K23,X23)+IF(X23-K23&gt;0,D$23*(X23-K23))+ROUND($F$14*365/12,2)+('Simple Bill Insert Calc (2)'!M17*2)/12</f>
        <v>125.47535606556795</v>
      </c>
      <c r="F68" s="101">
        <f>D$22*MIN(L23,Y23)+IF(Y23-L23&gt;0,D$23*(Y23-L23))+ROUND($F$14*365/12,2)+('Simple Bill Insert Calc (2)'!M17*2)/12</f>
        <v>119.23659932870351</v>
      </c>
      <c r="G68" s="101">
        <f>E$22*MIN(K23,X23)+IF(X23-K23&gt;0,E$23*(X23-K23))+ROUND($F$14*365/12,2)+('Simple Bill Insert Calc (2)'!M17*2)/12</f>
        <v>125.47535606556795</v>
      </c>
      <c r="H68" s="101">
        <f>E$22*MIN(L23,Y23)+IF(Y23-L23&gt;0,E$23*(Y23-L23))+ROUND($F$14*365/12,2)+('Simple Bill Insert Calc (2)'!M17*2)/12</f>
        <v>119.23659932870351</v>
      </c>
      <c r="I68" s="62"/>
      <c r="J68" s="38" t="s">
        <v>461</v>
      </c>
      <c r="K68" s="57">
        <f>C$22*MIN(I23,$J$64)+IF($J$64-I23&gt;0,C$23*($J$64-I23))+ROUND($C$25*365/12,2)+('Simple Bill Insert Calc (2)'!M17*2)/12</f>
        <v>187.950125896</v>
      </c>
      <c r="L68" s="57">
        <f>C$22*MIN(J23,$J$64)+IF($J$64-J23&gt;0,C$23*($J$64-J23))+ROUND($C$25*365/12,2)+('Simple Bill Insert Calc (2)'!M17*2)/12</f>
        <v>189.17994604000003</v>
      </c>
      <c r="M68" s="57">
        <f>D$22*MIN(I23,$J$64)+IF($J$64-I23&gt;0,D$23*($J$64-I23))+ROUND($F$14*365/12,2)+('Simple Bill Insert Calc (2)'!M17*2)/12</f>
        <v>187.79133373800002</v>
      </c>
      <c r="N68" s="57">
        <f>D$22*MIN(J23,$J$64)+IF($J$64-J23&gt;0,D$23*($J$64-J23))+ROUND($F$14*365/12,2)+('Simple Bill Insert Calc (2)'!M17*2)/12</f>
        <v>189.02005886999999</v>
      </c>
      <c r="O68" s="57">
        <f>E$22*MIN(I23,$J$64)+IF($J$64-I23&gt;0,E$23*($J$64-I23))+ROUND($F$14*365/12,2)+('Simple Bill Insert Calc (2)'!M17*2)/12</f>
        <v>187.79133373800002</v>
      </c>
      <c r="P68" s="57">
        <f>E$22*MIN(J23,$J$64)+IF($J$64-J23&gt;0,E$23*($J$64-J23))+ROUND($F$14*365/12,2)+('Simple Bill Insert Calc (2)'!M17*2)/12</f>
        <v>189.02005886999999</v>
      </c>
      <c r="R68" s="38" t="s">
        <v>461</v>
      </c>
      <c r="S68" s="57">
        <f>C$28*MIN(I23,$J$64)+IF($J$64-I23&gt;0,C$29*($J$64-I23))+ROUND($C$31*365/12,2)+('Simple Bill Insert Calc (2)'!M17*2)/12</f>
        <v>110.71445576399999</v>
      </c>
      <c r="T68" s="57">
        <f>C$28*MIN(J23,$J$64)+IF($J$64-J23&gt;0,C$29*($J$64-J23))+ROUND($C$31*365/12,2)+('Simple Bill Insert Calc (2)'!M17*2)/12</f>
        <v>111.54447485999999</v>
      </c>
      <c r="U68" s="57">
        <f>D$28*MIN(I23,$J$64)+IF($J$64-I23&gt;0,D$29*($J$64-I23))+ROUND($P$14*365/12,2)+('Simple Bill Insert Calc (2)'!M17*2)/12</f>
        <v>110.576793454</v>
      </c>
      <c r="V68" s="57">
        <f>D$28*MIN(J23,$J$64)+IF($J$64-J23&gt;0,D$29*($J$64-J23))+ROUND($P$14*365/12,2)+('Simple Bill Insert Calc (2)'!M17*2)/12</f>
        <v>111.40620421</v>
      </c>
      <c r="W68" s="57">
        <f>E$28*MIN(I23,$J$64)+IF($J$64-I23&gt;0,E$29*($J$64-I23))+ROUND($P$14*365/12,2)+('Simple Bill Insert Calc (2)'!M17*2)/12</f>
        <v>110.576793454</v>
      </c>
      <c r="X68" s="57">
        <f>E$28*MIN(J23,$J$64)+IF($J$64-J23&gt;0,E$29*($J$64-J23))+ROUND($P$14*365/12,2)+('Simple Bill Insert Calc (2)'!M17*2)/12</f>
        <v>111.40620421</v>
      </c>
      <c r="AD68" s="57"/>
      <c r="AE68" s="57"/>
    </row>
    <row r="69" spans="2:31" x14ac:dyDescent="0.25">
      <c r="B69" s="48" t="s">
        <v>462</v>
      </c>
      <c r="C69" s="101">
        <f>C$22*MIN(K24,X24)+IF(X24-K24&gt;0,C$23*(X24-K24))+ROUND($C$25*365/12,2)+('Simple Bill Insert Calc (2)'!M17*2)/12</f>
        <v>142.9517220207407</v>
      </c>
      <c r="D69" s="101">
        <f>C$22*MIN(L24,Y24)+IF(Y24-L24&gt;0,C$23*(Y24-L24))+ROUND($C$25*365/12,2)+('Simple Bill Insert Calc (2)'!M17*2)/12</f>
        <v>123.39194763790374</v>
      </c>
      <c r="E69" s="101">
        <f>D$22*MIN(K24,X24)+IF(X24-K24&gt;0,D$23*(X24-K24))+ROUND($F$14*365/12,2)+('Simple Bill Insert Calc (2)'!M17*2)/12</f>
        <v>142.83483744906312</v>
      </c>
      <c r="F69" s="101">
        <f>D$22*MIN(L24,Y24)+IF(Y24-L24&gt;0,D$23*(Y24-L24))+ROUND($F$14*365/12,2)+('Simple Bill Insert Calc (2)'!M17*2)/12</f>
        <v>123.29305526276605</v>
      </c>
      <c r="G69" s="101">
        <f>E$22*MIN(K24,X24)+IF(X24-K24&gt;0,E$23*(X24-K24))+ROUND($F$14*365/12,2)+('Simple Bill Insert Calc (2)'!M17*2)/12</f>
        <v>142.83483744906312</v>
      </c>
      <c r="H69" s="101">
        <f>E$22*MIN(L24,Y24)+IF(Y24-L24&gt;0,E$23*(Y24-L24))+ROUND($F$14*365/12,2)+('Simple Bill Insert Calc (2)'!M17*2)/12</f>
        <v>123.29305526276605</v>
      </c>
      <c r="I69" s="62"/>
      <c r="J69" s="38" t="s">
        <v>462</v>
      </c>
      <c r="K69" s="57">
        <f>C$22*MIN(I24,$J$64)+IF($J$64-I24&gt;0,C$23*($J$64-I24))+ROUND($C$25*365/12,2)+('Simple Bill Insert Calc (2)'!M17*2)/12</f>
        <v>183.64575539200001</v>
      </c>
      <c r="L69" s="57">
        <f>C$22*MIN(J24,$J$64)+IF($J$64-J24&gt;0,C$23*($J$64-J24))+ROUND($C$25*365/12,2)+('Simple Bill Insert Calc (2)'!M17*2)/12</f>
        <v>191.33213129200001</v>
      </c>
      <c r="M69" s="57">
        <f>D$22*MIN(I24,$J$64)+IF($J$64-I24&gt;0,D$23*($J$64-I24))+ROUND($F$14*365/12,2)+('Simple Bill Insert Calc (2)'!M17*2)/12</f>
        <v>183.490795776</v>
      </c>
      <c r="N69" s="57">
        <f>D$22*MIN(J24,$J$64)+IF($J$64-J24&gt;0,D$23*($J$64-J24))+ROUND($F$14*365/12,2)+('Simple Bill Insert Calc (2)'!M17*2)/12</f>
        <v>191.170327851</v>
      </c>
      <c r="O69" s="57">
        <f>E$22*MIN(I24,$J$64)+IF($J$64-I24&gt;0,E$23*($J$64-I24))+ROUND($F$14*365/12,2)+('Simple Bill Insert Calc (2)'!M17*2)/12</f>
        <v>183.490795776</v>
      </c>
      <c r="P69" s="57">
        <f>E$22*MIN(J24,$J$64)+IF($J$64-J24&gt;0,E$23*($J$64-J24))+ROUND($F$14*365/12,2)+('Simple Bill Insert Calc (2)'!M17*2)/12</f>
        <v>191.170327851</v>
      </c>
      <c r="R69" s="38" t="s">
        <v>462</v>
      </c>
      <c r="S69" s="57">
        <f>C$28*MIN(I24,$J$64)+IF($J$64-I24&gt;0,C$29*($J$64-I24))+ROUND($C$31*365/12,2)+('Simple Bill Insert Calc (2)'!M17*2)/12</f>
        <v>107.80938892799999</v>
      </c>
      <c r="T69" s="57">
        <f>C$28*MIN(J24,$J$64)+IF($J$64-J24&gt;0,C$29*($J$64-J24))+ROUND($C$31*365/12,2)+('Simple Bill Insert Calc (2)'!M17*2)/12</f>
        <v>112.997008278</v>
      </c>
      <c r="U69" s="57">
        <f>D$28*MIN(I24,$J$64)+IF($J$64-I24&gt;0,D$29*($J$64-I24))+ROUND($P$14*365/12,2)+('Simple Bill Insert Calc (2)'!M17*2)/12</f>
        <v>107.673855808</v>
      </c>
      <c r="V69" s="57">
        <f>D$28*MIN(J24,$J$64)+IF($J$64-J24&gt;0,D$29*($J$64-J24))+ROUND($P$14*365/12,2)+('Simple Bill Insert Calc (2)'!M17*2)/12</f>
        <v>112.857673033</v>
      </c>
      <c r="W69" s="57">
        <f>E$28*MIN(I24,$J$64)+IF($J$64-I24&gt;0,E$29*($J$64-I24))+ROUND($P$14*365/12,2)+('Simple Bill Insert Calc (2)'!M17*2)/12</f>
        <v>107.673855808</v>
      </c>
      <c r="X69" s="57">
        <f>E$28*MIN(J24,$J$64)+IF($J$64-J24&gt;0,E$29*($J$64-J24))+ROUND($P$14*365/12,2)+('Simple Bill Insert Calc (2)'!M17*2)/12</f>
        <v>112.857673033</v>
      </c>
      <c r="AD69" s="57"/>
      <c r="AE69" s="57"/>
    </row>
    <row r="70" spans="2:31" x14ac:dyDescent="0.25">
      <c r="B70" s="48" t="s">
        <v>8</v>
      </c>
      <c r="C70" s="101">
        <f>C$22*MIN(K25,X25)+IF(X25-K25&gt;0,C$23*(X25-K25))+ROUND($C$25*365/12,2)+('Simple Bill Insert Calc (2)'!M17*2)/12</f>
        <v>177.55335977651725</v>
      </c>
      <c r="D70" s="101">
        <f>C$22*MIN(L25,Y25)+IF(Y25-L25&gt;0,C$23*(Y25-L25))+ROUND($C$25*365/12,2)+('Simple Bill Insert Calc (2)'!M17*2)/12</f>
        <v>130.16216958534923</v>
      </c>
      <c r="E70" s="101">
        <f>D$22*MIN(K25,X25)+IF(X25-K25&gt;0,D$23*(X25-K25))+ROUND($F$14*365/12,2)+('Simple Bill Insert Calc (2)'!M17*2)/12</f>
        <v>177.40408514773381</v>
      </c>
      <c r="F70" s="101">
        <f>D$22*MIN(L25,Y25)+IF(Y25-L25&gt;0,D$23*(Y25-L25))+ROUND($F$14*365/12,2)+('Simple Bill Insert Calc (2)'!M17*2)/12</f>
        <v>130.05691545671286</v>
      </c>
      <c r="G70" s="101">
        <f>E$22*MIN(K25,X25)+IF(X25-K25&gt;0,E$23*(X25-K25))+ROUND($F$14*365/12,2)+('Simple Bill Insert Calc (2)'!M17*2)/12</f>
        <v>177.40408514773381</v>
      </c>
      <c r="H70" s="101">
        <f>E$22*MIN(L25,Y25)+IF(Y25-L25&gt;0,E$23*(Y25-L25))+ROUND($F$14*365/12,2)+('Simple Bill Insert Calc (2)'!M17*2)/12</f>
        <v>130.05691545671286</v>
      </c>
      <c r="I70" s="62"/>
      <c r="J70" s="38" t="s">
        <v>8</v>
      </c>
      <c r="K70" s="57">
        <f>C$22*MIN(I25,$J$64)+IF($J$64-I25&gt;0,C$23*($J$64-I25))+ROUND($C$25*365/12,2)+('Simple Bill Insert Calc (2)'!M17*2)/12</f>
        <v>172.46</v>
      </c>
      <c r="L70" s="57">
        <f>C$22*MIN(J25,$J$64)+IF($J$64-J25&gt;0,C$23*($J$64-J25))+ROUND($C$25*365/12,2)+('Simple Bill Insert Calc (2)'!M17*2)/12</f>
        <v>186.10539567999999</v>
      </c>
      <c r="M70" s="57">
        <f>D$22*MIN(I25,$J$64)+IF($J$64-I25&gt;0,D$23*($J$64-I25))+ROUND($F$14*365/12,2)+('Simple Bill Insert Calc (2)'!M17*2)/12</f>
        <v>172.315</v>
      </c>
      <c r="N70" s="57">
        <f>D$22*MIN(J25,$J$64)+IF($J$64-J25&gt;0,D$23*($J$64-J25))+ROUND($F$14*365/12,2)+('Simple Bill Insert Calc (2)'!M17*2)/12</f>
        <v>185.94824604000002</v>
      </c>
      <c r="O70" s="57">
        <f>E$22*MIN(I25,$J$64)+IF($J$64-I25&gt;0,E$23*($J$64-I25))+ROUND($F$14*365/12,2)+('Simple Bill Insert Calc (2)'!M17*2)/12</f>
        <v>172.315</v>
      </c>
      <c r="P70" s="57">
        <f>E$22*MIN(J25,$J$64)+IF($J$64-J25&gt;0,E$23*($J$64-J25))+ROUND($F$14*365/12,2)+('Simple Bill Insert Calc (2)'!M17*2)/12</f>
        <v>185.94824604000002</v>
      </c>
      <c r="Q70" s="156"/>
      <c r="R70" s="38" t="s">
        <v>8</v>
      </c>
      <c r="S70" s="57">
        <f>C$28*MIN(I25,$J$64)+IF($J$64-I25&gt;0,C$29*($J$64-I25))+ROUND($C$31*365/12,2)+('Simple Bill Insert Calc (2)'!M17*2)/12</f>
        <v>100.25999999999999</v>
      </c>
      <c r="T70" s="57">
        <f>C$28*MIN(J25,$J$64)+IF($J$64-J25&gt;0,C$29*($J$64-J25))+ROUND($C$31*365/12,2)+('Simple Bill Insert Calc (2)'!M17*2)/12</f>
        <v>109.46942711999999</v>
      </c>
      <c r="U70" s="57">
        <f>D$28*MIN(I25,$J$64)+IF($J$64-I25&gt;0,D$29*($J$64-I25))+ROUND($P$14*365/12,2)+('Simple Bill Insert Calc (2)'!M17*2)/12</f>
        <v>100.13</v>
      </c>
      <c r="V70" s="57">
        <f>D$28*MIN(J25,$J$64)+IF($J$64-J25&gt;0,D$29*($J$64-J25))+ROUND($P$14*365/12,2)+('Simple Bill Insert Calc (2)'!M17*2)/12</f>
        <v>109.33267732</v>
      </c>
      <c r="W70" s="57">
        <f>E$28*MIN(I25,$J$64)+IF($J$64-I25&gt;0,E$29*($J$64-I25))+ROUND($P$14*365/12,2)+('Simple Bill Insert Calc (2)'!M17*2)/12</f>
        <v>100.13</v>
      </c>
      <c r="X70" s="57">
        <f>E$28*MIN(J25,$J$64)+IF($J$64-J25&gt;0,E$29*($J$64-J25))+ROUND($P$14*365/12,2)+('Simple Bill Insert Calc (2)'!M17*2)/12</f>
        <v>109.33267732</v>
      </c>
      <c r="Y70" s="156"/>
      <c r="AD70" s="57"/>
      <c r="AE70" s="57"/>
    </row>
    <row r="71" spans="2:31" x14ac:dyDescent="0.25">
      <c r="B71" s="48" t="s">
        <v>465</v>
      </c>
      <c r="C71" s="101">
        <f>C$22*MIN(K26,X26)+IF(X26-K26&gt;0,C$23*(X26-K26))+ROUND($C$25*365/12,2)+('Simple Bill Insert Calc (2)'!M17*2)/12</f>
        <v>203.38166101569362</v>
      </c>
      <c r="D71" s="101">
        <f>C$22*MIN(L26,Y26)+IF(Y26-L26&gt;0,C$23*(Y26-L26))+ROUND($C$25*365/12,2)+('Simple Bill Insert Calc (2)'!M17*2)/12</f>
        <v>143.48846370107515</v>
      </c>
      <c r="E71" s="101">
        <f>D$22*MIN(K26,X26)+IF(X26-K26&gt;0,D$23*(X26-K26))+ROUND($F$14*365/12,2)+('Simple Bill Insert Calc (2)'!M17*2)/12</f>
        <v>203.20804235714056</v>
      </c>
      <c r="F71" s="101">
        <f>D$22*MIN(L26,Y26)+IF(Y26-L26&gt;0,D$23*(Y26-L26))+ROUND($F$14*365/12,2)+('Simple Bill Insert Calc (2)'!M17*2)/12</f>
        <v>143.37068729490147</v>
      </c>
      <c r="G71" s="101">
        <f>E$22*MIN(K26,X26)+IF(X26-K26&gt;0,E$23*(X26-K26))+ROUND($F$14*365/12,2)+('Simple Bill Insert Calc (2)'!M17*2)/12</f>
        <v>203.20804235714056</v>
      </c>
      <c r="H71" s="101">
        <f>E$22*MIN(L26,Y26)+IF(Y26-L26&gt;0,E$23*(Y26-L26))+ROUND($F$14*365/12,2)+('Simple Bill Insert Calc (2)'!M17*2)/12</f>
        <v>143.37068729490147</v>
      </c>
      <c r="I71" s="62"/>
      <c r="J71" s="38" t="s">
        <v>465</v>
      </c>
      <c r="K71" s="57">
        <f>C$22*MIN(I26,$J$64)+IF($J$64-I26&gt;0,C$23*($J$64-I26))+ROUND($C$25*365/12,2)+('Simple Bill Insert Calc (2)'!M17*2)/12</f>
        <v>172.46</v>
      </c>
      <c r="L71" s="57">
        <f>C$22*MIN(J26,$J$64)+IF($J$64-J26&gt;0,C$23*($J$64-J26))+ROUND($C$25*365/12,2)+('Simple Bill Insert Calc (2)'!M17*2)/12</f>
        <v>185.79794064399999</v>
      </c>
      <c r="M71" s="57">
        <f>D$22*MIN(I26,$J$64)+IF($J$64-I26&gt;0,D$23*($J$64-I26))+ROUND($F$14*365/12,2)+('Simple Bill Insert Calc (2)'!M17*2)/12</f>
        <v>172.315</v>
      </c>
      <c r="N71" s="57">
        <f>D$22*MIN(J26,$J$64)+IF($J$64-J26&gt;0,D$23*($J$64-J26))+ROUND($F$14*365/12,2)+('Simple Bill Insert Calc (2)'!M17*2)/12</f>
        <v>185.64106475700001</v>
      </c>
      <c r="O71" s="57">
        <f>E$22*MIN(I26,$J$64)+IF($J$64-I26&gt;0,E$23*($J$64-I26))+ROUND($F$14*365/12,2)+('Simple Bill Insert Calc (2)'!M17*2)/12</f>
        <v>172.315</v>
      </c>
      <c r="P71" s="57">
        <f>E$22*MIN(J26,$J$64)+IF($J$64-J26&gt;0,E$23*($J$64-J26))+ROUND($F$14*365/12,2)+('Simple Bill Insert Calc (2)'!M17*2)/12</f>
        <v>185.64106475700001</v>
      </c>
      <c r="R71" s="38" t="s">
        <v>465</v>
      </c>
      <c r="S71" s="57">
        <f>C$28*MIN(I26,$J$64)+IF($J$64-I26&gt;0,C$29*($J$64-I26))+ROUND($C$31*365/12,2)+('Simple Bill Insert Calc (2)'!M17*2)/12</f>
        <v>100.25999999999999</v>
      </c>
      <c r="T71" s="57">
        <f>C$28*MIN(J26,$J$64)+IF($J$64-J26&gt;0,C$29*($J$64-J26))+ROUND($C$31*365/12,2)+('Simple Bill Insert Calc (2)'!M17*2)/12</f>
        <v>109.26192234599999</v>
      </c>
      <c r="U71" s="57">
        <f>D$28*MIN(I26,$J$64)+IF($J$64-I26&gt;0,D$29*($J$64-I26))+ROUND($P$14*365/12,2)+('Simple Bill Insert Calc (2)'!M17*2)/12</f>
        <v>100.13</v>
      </c>
      <c r="V71" s="57">
        <f>D$28*MIN(J26,$J$64)+IF($J$64-J26&gt;0,D$29*($J$64-J26))+ROUND($P$14*365/12,2)+('Simple Bill Insert Calc (2)'!M17*2)/12</f>
        <v>109.125324631</v>
      </c>
      <c r="W71" s="57">
        <f>E$28*MIN(I26,$J$64)+IF($J$64-I26&gt;0,E$29*($J$64-I26))+ROUND($P$14*365/12,2)+('Simple Bill Insert Calc (2)'!M17*2)/12</f>
        <v>100.13</v>
      </c>
      <c r="X71" s="57">
        <f>E$28*MIN(J26,$J$64)+IF($J$64-J26&gt;0,E$29*($J$64-J26))+ROUND($P$14*365/12,2)+('Simple Bill Insert Calc (2)'!M17*2)/12</f>
        <v>109.125324631</v>
      </c>
      <c r="AD71" s="57"/>
      <c r="AE71" s="57"/>
    </row>
    <row r="72" spans="2:31" x14ac:dyDescent="0.25">
      <c r="B72" s="48" t="s">
        <v>466</v>
      </c>
      <c r="C72" s="101">
        <f>C$22*MIN(K27,X27)+IF(X27-K27&gt;0,C$23*(X27-K27))+ROUND($C$25*365/12,2)+('Simple Bill Insert Calc (2)'!M17*2)/12</f>
        <v>296.89350260304388</v>
      </c>
      <c r="D72" s="101">
        <f>C$22*MIN(L27,Y27)+IF(Y27-L27&gt;0,C$23*(Y27-L27))+ROUND($C$25*365/12,2)+('Simple Bill Insert Calc (2)'!M17*2)/12</f>
        <v>185.65060964205938</v>
      </c>
      <c r="E72" s="101">
        <f>D$22*MIN(K27,X27)+IF(X27-K27&gt;0,D$23*(X27-K27))+ROUND($F$14*365/12,2)+('Simple Bill Insert Calc (2)'!M17*2)/12</f>
        <v>296.63220360888351</v>
      </c>
      <c r="F72" s="101">
        <f>D$22*MIN(L27,Y27)+IF(Y27-L27&gt;0,D$23*(Y27-L27))+ROUND($F$14*365/12,2)+('Simple Bill Insert Calc (2)'!M17*2)/12</f>
        <v>185.49321486273141</v>
      </c>
      <c r="G72" s="101">
        <f>E$22*MIN(K27,X27)+IF(X27-K27&gt;0,E$23*(X27-K27))+ROUND($F$14*365/12,2)+('Simple Bill Insert Calc (2)'!M17*2)/12</f>
        <v>296.63220360888351</v>
      </c>
      <c r="H72" s="101">
        <f>E$22*MIN(L27,Y27)+IF(Y27-L27&gt;0,E$23*(Y27-L27))+ROUND($F$14*365/12,2)+('Simple Bill Insert Calc (2)'!M17*2)/12</f>
        <v>185.49321486273141</v>
      </c>
      <c r="I72" s="62"/>
      <c r="J72" s="38" t="s">
        <v>466</v>
      </c>
      <c r="K72" s="57">
        <f>C$22*MIN(I27,$J$64)+IF($J$64-I27&gt;0,C$23*($J$64-I27))+ROUND($C$25*365/12,2)+('Simple Bill Insert Calc (2)'!M17*2)/12</f>
        <v>172.46</v>
      </c>
      <c r="L72" s="57">
        <f>C$22*MIN(J27,$J$64)+IF($J$64-J27&gt;0,C$23*($J$64-J27))+ROUND($C$25*365/12,2)+('Simple Bill Insert Calc (2)'!M17*2)/12</f>
        <v>185.490485608</v>
      </c>
      <c r="M72" s="57">
        <f>D$22*MIN(I27,$J$64)+IF($J$64-I27&gt;0,D$23*($J$64-I27))+ROUND($F$14*365/12,2)+('Simple Bill Insert Calc (2)'!M17*2)/12</f>
        <v>172.315</v>
      </c>
      <c r="N72" s="57">
        <f>D$22*MIN(J27,$J$64)+IF($J$64-J27&gt;0,D$23*($J$64-J27))+ROUND($F$14*365/12,2)+('Simple Bill Insert Calc (2)'!M17*2)/12</f>
        <v>185.333883474</v>
      </c>
      <c r="O72" s="57">
        <f>E$22*MIN(I27,$J$64)+IF($J$64-I27&gt;0,E$23*($J$64-I27))+ROUND($F$14*365/12,2)+('Simple Bill Insert Calc (2)'!M17*2)/12</f>
        <v>172.315</v>
      </c>
      <c r="P72" s="57">
        <f>E$22*MIN(J27,$J$64)+IF($J$64-J27&gt;0,E$23*($J$64-J27))+ROUND($F$14*365/12,2)+('Simple Bill Insert Calc (2)'!M17*2)/12</f>
        <v>185.333883474</v>
      </c>
      <c r="R72" s="38" t="s">
        <v>466</v>
      </c>
      <c r="S72" s="57">
        <f>C$28*MIN(I27,$J$64)+IF($J$64-I27&gt;0,C$29*($J$64-I27))+ROUND($C$31*365/12,2)+('Simple Bill Insert Calc (2)'!M17*2)/12</f>
        <v>100.25999999999999</v>
      </c>
      <c r="T72" s="57">
        <f>C$28*MIN(J27,$J$64)+IF($J$64-J27&gt;0,C$29*($J$64-J27))+ROUND($C$31*365/12,2)+('Simple Bill Insert Calc (2)'!M17*2)/12</f>
        <v>109.05441757199999</v>
      </c>
      <c r="U72" s="57">
        <f>D$28*MIN(I27,$J$64)+IF($J$64-I27&gt;0,D$29*($J$64-I27))+ROUND($P$14*365/12,2)+('Simple Bill Insert Calc (2)'!M17*2)/12</f>
        <v>100.13</v>
      </c>
      <c r="V72" s="57">
        <f>D$28*MIN(J27,$J$64)+IF($J$64-J27&gt;0,D$29*($J$64-J27))+ROUND($P$14*365/12,2)+('Simple Bill Insert Calc (2)'!M17*2)/12</f>
        <v>108.91797194199999</v>
      </c>
      <c r="W72" s="57">
        <f>E$28*MIN(I27,$J$64)+IF($J$64-I27&gt;0,E$29*($J$64-I27))+ROUND($P$14*365/12,2)+('Simple Bill Insert Calc (2)'!M17*2)/12</f>
        <v>100.13</v>
      </c>
      <c r="X72" s="57">
        <f>E$28*MIN(J27,$J$64)+IF($J$64-J27&gt;0,E$29*($J$64-J27))+ROUND($P$14*365/12,2)+('Simple Bill Insert Calc (2)'!M17*2)/12</f>
        <v>108.91797194199999</v>
      </c>
      <c r="AD72" s="57"/>
      <c r="AE72" s="57"/>
    </row>
    <row r="73" spans="2:31" x14ac:dyDescent="0.25">
      <c r="B73" s="48" t="s">
        <v>467</v>
      </c>
      <c r="C73" s="101">
        <f>C$22*MIN(K28,X28)+IF(X28-K28&gt;0,C$23*(X28-K28))+ROUND($C$25*365/12,2)+('Simple Bill Insert Calc (2)'!M17*2)/12</f>
        <v>236.82901582750557</v>
      </c>
      <c r="D73" s="101">
        <f>C$22*MIN(L28,Y28)+IF(Y28-L28&gt;0,C$23*(Y28-L28))+ROUND($C$25*365/12,2)+('Simple Bill Insert Calc (2)'!M17*2)/12</f>
        <v>172.80330444833189</v>
      </c>
      <c r="E73" s="101">
        <f>D$22*MIN(K28,X28)+IF(X28-K28&gt;0,D$23*(X28-K28))+ROUND($F$14*365/12,2)+('Simple Bill Insert Calc (2)'!M17*2)/12</f>
        <v>236.62407771843365</v>
      </c>
      <c r="F73" s="101">
        <f>D$22*MIN(L28,Y28)+IF(Y28-L28&gt;0,D$23*(Y28-L28))+ROUND($F$14*365/12,2)+('Simple Bill Insert Calc (2)'!M17*2)/12</f>
        <v>172.65798185650371</v>
      </c>
      <c r="G73" s="101">
        <f>E$22*MIN(K28,X28)+IF(X28-K28&gt;0,E$23*(X28-K28))+ROUND($F$14*365/12,2)+('Simple Bill Insert Calc (2)'!M17*2)/12</f>
        <v>236.62407771843365</v>
      </c>
      <c r="H73" s="101">
        <f>E$22*MIN(L28,Y28)+IF(Y28-L28&gt;0,E$23*(Y28-L28))+ROUND($F$14*365/12,2)+('Simple Bill Insert Calc (2)'!M17*2)/12</f>
        <v>172.65798185650371</v>
      </c>
      <c r="I73" s="62"/>
      <c r="J73" s="38" t="s">
        <v>467</v>
      </c>
      <c r="K73" s="57">
        <f>C$22*MIN(I28,$J$64)+IF($J$64-I28&gt;0,C$23*($J$64-I28))+ROUND($C$25*365/12,2)+('Simple Bill Insert Calc (2)'!M17*2)/12</f>
        <v>172.46</v>
      </c>
      <c r="L73" s="57">
        <f>C$22*MIN(J28,$J$64)+IF($J$64-J28&gt;0,C$23*($J$64-J28))+ROUND($C$25*365/12,2)+('Simple Bill Insert Calc (2)'!M17*2)/12</f>
        <v>186.41285071600001</v>
      </c>
      <c r="M73" s="57">
        <f>D$22*MIN(I28,$J$64)+IF($J$64-I28&gt;0,D$23*($J$64-I28))+ROUND($F$14*365/12,2)+('Simple Bill Insert Calc (2)'!M17*2)/12</f>
        <v>172.315</v>
      </c>
      <c r="N73" s="57">
        <f>D$22*MIN(J28,$J$64)+IF($J$64-J28&gt;0,D$23*($J$64-J28))+ROUND($F$14*365/12,2)+('Simple Bill Insert Calc (2)'!M17*2)/12</f>
        <v>186.25542732300002</v>
      </c>
      <c r="O73" s="57">
        <f>E$22*MIN(I28,$J$64)+IF($J$64-I28&gt;0,E$23*($J$64-I28))+ROUND($F$14*365/12,2)+('Simple Bill Insert Calc (2)'!M17*2)/12</f>
        <v>172.315</v>
      </c>
      <c r="P73" s="57">
        <f>E$22*MIN(J28,$J$64)+IF($J$64-J28&gt;0,E$23*($J$64-J28))+ROUND($F$14*365/12,2)+('Simple Bill Insert Calc (2)'!M17*2)/12</f>
        <v>186.25542732300002</v>
      </c>
      <c r="R73" s="38" t="s">
        <v>467</v>
      </c>
      <c r="S73" s="57">
        <f>C$28*MIN(I28,$J$64)+IF($J$64-I28&gt;0,C$29*($J$64-I28))+ROUND($C$31*365/12,2)+('Simple Bill Insert Calc (2)'!M17*2)/12</f>
        <v>100.25999999999999</v>
      </c>
      <c r="T73" s="57">
        <f>C$28*MIN(J28,$J$64)+IF($J$64-J28&gt;0,C$29*($J$64-J28))+ROUND($C$31*365/12,2)+('Simple Bill Insert Calc (2)'!M17*2)/12</f>
        <v>109.67693189399999</v>
      </c>
      <c r="U73" s="57">
        <f>D$28*MIN(I28,$J$64)+IF($J$64-I28&gt;0,D$29*($J$64-I28))+ROUND($P$14*365/12,2)+('Simple Bill Insert Calc (2)'!M17*2)/12</f>
        <v>100.13</v>
      </c>
      <c r="V73" s="57">
        <f>D$28*MIN(J28,$J$64)+IF($J$64-J28&gt;0,D$29*($J$64-J28))+ROUND($P$14*365/12,2)+('Simple Bill Insert Calc (2)'!M17*2)/12</f>
        <v>109.54003000900001</v>
      </c>
      <c r="W73" s="57">
        <f>E$28*MIN(I28,$J$64)+IF($J$64-I28&gt;0,E$29*($J$64-I28))+ROUND($P$14*365/12,2)+('Simple Bill Insert Calc (2)'!M17*2)/12</f>
        <v>100.13</v>
      </c>
      <c r="X73" s="57">
        <f>E$28*MIN(J28,$J$64)+IF($J$64-J28&gt;0,E$29*($J$64-J28))+ROUND($P$14*365/12,2)+('Simple Bill Insert Calc (2)'!M17*2)/12</f>
        <v>109.54003000900001</v>
      </c>
      <c r="AD73" s="57"/>
      <c r="AE73" s="57"/>
    </row>
    <row r="74" spans="2:31" x14ac:dyDescent="0.25">
      <c r="B74" s="48" t="s">
        <v>468</v>
      </c>
      <c r="C74" s="101">
        <f>C$22*MIN(K29,X29)+IF(X29-K29&gt;0,C$23*(X29-K29))+ROUND($C$25*365/12,2)+('Simple Bill Insert Calc (2)'!M17*2)/12</f>
        <v>277.43210248650541</v>
      </c>
      <c r="D74" s="101">
        <f>C$22*MIN(L29,Y29)+IF(Y29-L29&gt;0,C$23*(Y29-L29))+ROUND($C$25*365/12,2)+('Simple Bill Insert Calc (2)'!M17*2)/12</f>
        <v>151.05036799238007</v>
      </c>
      <c r="E74" s="101">
        <f>D$22*MIN(K29,X29)+IF(X29-K29&gt;0,D$23*(X29-K29))+ROUND($F$14*365/12,2)+('Simple Bill Insert Calc (2)'!M17*2)/12</f>
        <v>277.18887692330293</v>
      </c>
      <c r="F74" s="101">
        <f>D$22*MIN(L29,Y29)+IF(Y29-L29&gt;0,D$23*(Y29-L29))+ROUND($F$14*365/12,2)+('Simple Bill Insert Calc (2)'!M17*2)/12</f>
        <v>150.92548591501051</v>
      </c>
      <c r="G74" s="101">
        <f>E$22*MIN(K29,X29)+IF(X29-K29&gt;0,E$23*(X29-K29))+ROUND($F$14*365/12,2)+('Simple Bill Insert Calc (2)'!M17*2)/12</f>
        <v>277.18887692330293</v>
      </c>
      <c r="H74" s="101">
        <f>E$22*MIN(L29,Y29)+IF(Y29-L29&gt;0,E$23*(Y29-L29))+ROUND($F$14*365/12,2)+('Simple Bill Insert Calc (2)'!M17*2)/12</f>
        <v>150.92548591501051</v>
      </c>
      <c r="I74" s="62"/>
      <c r="J74" s="38" t="s">
        <v>468</v>
      </c>
      <c r="K74" s="57">
        <f>C$22*MIN(I29,$J$64)+IF($J$64-I29&gt;0,C$23*($J$64-I29))+ROUND($C$25*365/12,2)+('Simple Bill Insert Calc (2)'!M17*2)/12</f>
        <v>172.46</v>
      </c>
      <c r="L74" s="57">
        <f>C$22*MIN(J29,$J$64)+IF($J$64-J29&gt;0,C$23*($J$64-J29))+ROUND($C$25*365/12,2)+('Simple Bill Insert Calc (2)'!M17*2)/12</f>
        <v>193.17686150800003</v>
      </c>
      <c r="M74" s="57">
        <f>D$22*MIN(I29,$J$64)+IF($J$64-I29&gt;0,D$23*($J$64-I29))+ROUND($F$14*365/12,2)+('Simple Bill Insert Calc (2)'!M17*2)/12</f>
        <v>172.315</v>
      </c>
      <c r="N74" s="57">
        <f>D$22*MIN(J29,$J$64)+IF($J$64-J29&gt;0,D$23*($J$64-J29))+ROUND($F$14*365/12,2)+('Simple Bill Insert Calc (2)'!M17*2)/12</f>
        <v>193.013415549</v>
      </c>
      <c r="O74" s="57">
        <f>E$22*MIN(I29,$J$64)+IF($J$64-I29&gt;0,E$23*($J$64-I29))+ROUND($F$14*365/12,2)+('Simple Bill Insert Calc (2)'!M17*2)/12</f>
        <v>172.315</v>
      </c>
      <c r="P74" s="57">
        <f>E$22*MIN(J29,$J$64)+IF($J$64-J29&gt;0,E$23*($J$64-J29))+ROUND($F$14*365/12,2)+('Simple Bill Insert Calc (2)'!M17*2)/12</f>
        <v>193.013415549</v>
      </c>
      <c r="R74" s="38" t="s">
        <v>468</v>
      </c>
      <c r="S74" s="57">
        <f>C$28*MIN(I29,$J$64)+IF($J$64-I29&gt;0,C$29*($J$64-I29))+ROUND($C$31*365/12,2)+('Simple Bill Insert Calc (2)'!M17*2)/12</f>
        <v>100.25999999999999</v>
      </c>
      <c r="T74" s="57">
        <f>C$28*MIN(J29,$J$64)+IF($J$64-J29&gt;0,C$29*($J$64-J29))+ROUND($C$31*365/12,2)+('Simple Bill Insert Calc (2)'!M17*2)/12</f>
        <v>114.242036922</v>
      </c>
      <c r="U74" s="57">
        <f>D$28*MIN(I29,$J$64)+IF($J$64-I29&gt;0,D$29*($J$64-I29))+ROUND($P$14*365/12,2)+('Simple Bill Insert Calc (2)'!M17*2)/12</f>
        <v>100.13</v>
      </c>
      <c r="V74" s="57">
        <f>D$28*MIN(J29,$J$64)+IF($J$64-J29&gt;0,D$29*($J$64-J29))+ROUND($P$14*365/12,2)+('Simple Bill Insert Calc (2)'!M17*2)/12</f>
        <v>114.10178916700001</v>
      </c>
      <c r="W74" s="57">
        <f>E$28*MIN(I29,$J$64)+IF($J$64-I29&gt;0,E$29*($J$64-I29))+ROUND($P$14*365/12,2)+('Simple Bill Insert Calc (2)'!M17*2)/12</f>
        <v>100.13</v>
      </c>
      <c r="X74" s="57">
        <f>E$28*MIN(J29,$J$64)+IF($J$64-J29&gt;0,E$29*($J$64-J29))+ROUND($P$14*365/12,2)+('Simple Bill Insert Calc (2)'!M17*2)/12</f>
        <v>114.10178916700001</v>
      </c>
      <c r="AD74" s="57"/>
      <c r="AE74" s="57"/>
    </row>
    <row r="75" spans="2:31" x14ac:dyDescent="0.25">
      <c r="B75" s="48" t="s">
        <v>469</v>
      </c>
      <c r="C75" s="101">
        <f>C$22*MIN(K30,X30)+IF(X30-K30&gt;0,C$23*(X30-K30))+ROUND($C$25*365/12,2)+('Simple Bill Insert Calc (2)'!M17*2)/12</f>
        <v>142.34737122359584</v>
      </c>
      <c r="D75" s="101">
        <f>C$22*MIN(L30,Y30)+IF(Y30-L30&gt;0,C$23*(Y30-L30))+ROUND($C$25*365/12,2)+('Simple Bill Insert Calc (2)'!M17*2)/12</f>
        <v>173.2812333578164</v>
      </c>
      <c r="E75" s="101">
        <f>D$22*MIN(K30,X30)+IF(X30-K30&gt;0,D$23*(X30-K30))+ROUND($F$14*365/12,2)+('Simple Bill Insert Calc (2)'!M17*2)/12</f>
        <v>142.230667064258</v>
      </c>
      <c r="F75" s="101">
        <f>D$22*MIN(L30,Y30)+IF(Y30-L30&gt;0,D$23*(Y30-L30))+ROUND($F$14*365/12,2)+('Simple Bill Insert Calc (2)'!M17*2)/12</f>
        <v>173.13546167200937</v>
      </c>
      <c r="G75" s="101">
        <f>E$22*MIN(K30,X30)+IF(X30-K30&gt;0,E$23*(X30-K30))+ROUND($F$14*365/12,2)+('Simple Bill Insert Calc (2)'!M17*2)/12</f>
        <v>142.230667064258</v>
      </c>
      <c r="H75" s="101">
        <f>E$22*MIN(L30,Y30)+IF(Y30-L30&gt;0,E$23*(Y30-L30))+ROUND($F$14*365/12,2)+('Simple Bill Insert Calc (2)'!M17*2)/12</f>
        <v>173.13546167200937</v>
      </c>
      <c r="I75" s="62"/>
      <c r="J75" s="38" t="s">
        <v>469</v>
      </c>
      <c r="K75" s="57">
        <f>C$22*MIN(I30,$J$64)+IF($J$64-I30&gt;0,C$23*($J$64-I30))+ROUND($C$25*365/12,2)+('Simple Bill Insert Calc (2)'!M17*2)/12</f>
        <v>177.804109708</v>
      </c>
      <c r="L75" s="57">
        <f>C$22*MIN(J30,$J$64)+IF($J$64-J30&gt;0,C$23*($J$64-J30))+ROUND($C$25*365/12,2)+('Simple Bill Insert Calc (2)'!M17*2)/12</f>
        <v>184.87557553600001</v>
      </c>
      <c r="M75" s="57">
        <f>D$22*MIN(I30,$J$64)+IF($J$64-I30&gt;0,D$23*($J$64-I30))+ROUND($F$14*365/12,2)+('Simple Bill Insert Calc (2)'!M17*2)/12</f>
        <v>177.65435139900001</v>
      </c>
      <c r="N75" s="57">
        <f>D$22*MIN(J30,$J$64)+IF($J$64-J30&gt;0,D$23*($J$64-J30))+ROUND($F$14*365/12,2)+('Simple Bill Insert Calc (2)'!M17*2)/12</f>
        <v>184.71952090800002</v>
      </c>
      <c r="O75" s="57">
        <f>E$22*MIN(I30,$J$64)+IF($J$64-I30&gt;0,E$23*($J$64-I30))+ROUND($F$14*365/12,2)+('Simple Bill Insert Calc (2)'!M17*2)/12</f>
        <v>177.65435139900001</v>
      </c>
      <c r="P75" s="57">
        <f>E$22*MIN(J30,$J$64)+IF($J$64-J30&gt;0,E$23*($J$64-J30))+ROUND($F$14*365/12,2)+('Simple Bill Insert Calc (2)'!M17*2)/12</f>
        <v>184.71952090800002</v>
      </c>
      <c r="R75" s="38" t="s">
        <v>469</v>
      </c>
      <c r="S75" s="57">
        <f>C$28*MIN(I30,$J$64)+IF($J$64-I30&gt;0,C$29*($J$64-I30))+ROUND($C$31*365/12,2)+('Simple Bill Insert Calc (2)'!M17*2)/12</f>
        <v>103.86679822199999</v>
      </c>
      <c r="T75" s="57">
        <f>C$28*MIN(J30,$J$64)+IF($J$64-J30&gt;0,C$29*($J$64-J30))+ROUND($C$31*365/12,2)+('Simple Bill Insert Calc (2)'!M17*2)/12</f>
        <v>108.63940802399999</v>
      </c>
      <c r="U75" s="57">
        <f>D$28*MIN(I30,$J$64)+IF($J$64-I30&gt;0,D$29*($J$64-I30))+ROUND($P$14*365/12,2)+('Simple Bill Insert Calc (2)'!M17*2)/12</f>
        <v>103.73415471700001</v>
      </c>
      <c r="V75" s="57">
        <f>D$28*MIN(J30,$J$64)+IF($J$64-J30&gt;0,D$29*($J$64-J30))+ROUND($P$14*365/12,2)+('Simple Bill Insert Calc (2)'!M17*2)/12</f>
        <v>108.50326656399999</v>
      </c>
      <c r="W75" s="57">
        <f>E$28*MIN(I30,$J$64)+IF($J$64-I30&gt;0,E$29*($J$64-I30))+ROUND($P$14*365/12,2)+('Simple Bill Insert Calc (2)'!M17*2)/12</f>
        <v>103.73415471700001</v>
      </c>
      <c r="X75" s="57">
        <f>E$28*MIN(J30,$J$64)+IF($J$64-J30&gt;0,E$29*($J$64-J30))+ROUND($P$14*365/12,2)+('Simple Bill Insert Calc (2)'!M17*2)/12</f>
        <v>108.50326656399999</v>
      </c>
      <c r="AD75" s="57"/>
      <c r="AE75" s="57"/>
    </row>
    <row r="76" spans="2:31" x14ac:dyDescent="0.25">
      <c r="B76" s="195" t="s">
        <v>472</v>
      </c>
      <c r="C76" s="193">
        <f>SUMPRODUCT(C67:C75,$AB$22:$AB$30)</f>
        <v>171.55600143116789</v>
      </c>
      <c r="D76" s="193">
        <f>SUMPRODUCT(D67:D75,$AB$22:$AB$30)</f>
        <v>135.59280845968587</v>
      </c>
      <c r="E76" s="193">
        <f t="shared" ref="E76:H76" si="9">SUMPRODUCT(E67:E75,$AB$22:$AB$30)</f>
        <v>171.41224329040512</v>
      </c>
      <c r="F76" s="193">
        <f t="shared" si="9"/>
        <v>135.48245133943021</v>
      </c>
      <c r="G76" s="193">
        <f>SUMPRODUCT(G67:G75,$AB$22:$AB$30)</f>
        <v>171.41224329040512</v>
      </c>
      <c r="H76" s="193">
        <f t="shared" si="9"/>
        <v>135.48245133943021</v>
      </c>
      <c r="I76" s="62"/>
      <c r="J76" s="38" t="s">
        <v>472</v>
      </c>
      <c r="K76" s="131">
        <f t="shared" ref="K76:P76" si="10">SUMPRODUCT(K67:K75,$T$22:$T$30)</f>
        <v>177.75431979449158</v>
      </c>
      <c r="L76" s="131">
        <f t="shared" si="10"/>
        <v>187.89212375692517</v>
      </c>
      <c r="M76" s="131">
        <f t="shared" si="10"/>
        <v>177.60460581762663</v>
      </c>
      <c r="N76" s="131">
        <f t="shared" si="10"/>
        <v>187.73338324309333</v>
      </c>
      <c r="O76" s="131">
        <f t="shared" si="10"/>
        <v>177.60460581762663</v>
      </c>
      <c r="P76" s="131">
        <f t="shared" si="10"/>
        <v>187.73338324309333</v>
      </c>
      <c r="R76" s="38" t="s">
        <v>472</v>
      </c>
      <c r="S76" s="131">
        <f t="shared" ref="S76:X76" si="11">SUMPRODUCT(S67:S75,$U$22:$U$30)</f>
        <v>102.16999348133193</v>
      </c>
      <c r="T76" s="131">
        <f t="shared" si="11"/>
        <v>110.18645608459808</v>
      </c>
      <c r="U76" s="131">
        <f t="shared" si="11"/>
        <v>102.03859360337727</v>
      </c>
      <c r="V76" s="131">
        <f t="shared" si="11"/>
        <v>110.04918075765246</v>
      </c>
      <c r="W76" s="131">
        <f t="shared" si="11"/>
        <v>102.03859360337727</v>
      </c>
      <c r="X76" s="131">
        <f t="shared" si="11"/>
        <v>110.04918075765246</v>
      </c>
      <c r="AD76" s="131"/>
      <c r="AE76" s="131"/>
    </row>
    <row r="77" spans="2:31" x14ac:dyDescent="0.25">
      <c r="C77" s="101"/>
      <c r="D77" s="101"/>
      <c r="E77" s="101"/>
      <c r="F77" s="101"/>
      <c r="G77" s="101"/>
      <c r="H77" s="101"/>
    </row>
    <row r="78" spans="2:31" x14ac:dyDescent="0.25">
      <c r="C78" s="101"/>
      <c r="D78" s="101"/>
      <c r="E78" s="101"/>
      <c r="F78" s="101"/>
      <c r="G78" s="101"/>
      <c r="H78" s="101"/>
    </row>
    <row r="79" spans="2:31" x14ac:dyDescent="0.25">
      <c r="B79" s="48"/>
      <c r="C79" s="516" t="s">
        <v>79</v>
      </c>
      <c r="D79" s="516"/>
      <c r="E79" s="516"/>
      <c r="F79" s="516"/>
      <c r="G79" s="516"/>
      <c r="H79" s="516"/>
    </row>
    <row r="80" spans="2:31" x14ac:dyDescent="0.25">
      <c r="B80" s="48"/>
      <c r="C80" s="517" t="str">
        <f>C27</f>
        <v>Jan 2026</v>
      </c>
      <c r="D80" s="517"/>
      <c r="E80" s="518">
        <f>D27</f>
        <v>46174</v>
      </c>
      <c r="F80" s="517"/>
      <c r="G80" s="517" t="str">
        <f>E27</f>
        <v>Proposed</v>
      </c>
      <c r="H80" s="517"/>
    </row>
    <row r="81" spans="2:8" x14ac:dyDescent="0.25">
      <c r="B81" s="48"/>
      <c r="C81" s="101" t="s">
        <v>454</v>
      </c>
      <c r="D81" s="101" t="s">
        <v>455</v>
      </c>
      <c r="E81" s="101" t="s">
        <v>454</v>
      </c>
      <c r="F81" s="101" t="s">
        <v>455</v>
      </c>
      <c r="G81" s="101" t="s">
        <v>454</v>
      </c>
      <c r="H81" s="101" t="s">
        <v>455</v>
      </c>
    </row>
    <row r="82" spans="2:8" x14ac:dyDescent="0.25">
      <c r="B82" s="48" t="s">
        <v>459</v>
      </c>
      <c r="C82" s="101">
        <f>C$28*MIN(K22,Z22)+IF(Z22-K22&gt;0,C$29*(Z22-K22))+ROUND($C$31*365/12,2)+('Simple Bill Insert Calc (2)'!M17*2)/12</f>
        <v>69.953939085362222</v>
      </c>
      <c r="D82" s="101">
        <f>C$28*MIN(L22,AA22)+IF(AA22-L22&gt;0,C$29*(AA22-L22))+ROUND($C$31*365/12,2)+('Simple Bill Insert Calc (2)'!M17*2)/12</f>
        <v>86.489862944318446</v>
      </c>
      <c r="E82" s="101">
        <f>D$28*MIN(K22,Z22)+IF(Z22-K22&gt;0,D$29*(Z22-K22))+ROUND($P$14*365/12,2)+('Simple Bill Insert Calc (2)'!M17*2)/12</f>
        <v>69.854172585875645</v>
      </c>
      <c r="F82" s="101">
        <f>D$28*MIN(L22,AA22)+IF(AA22-L22&gt;0,D$29*(AA22-L22))+ROUND($P$14*365/12,2)+('Simple Bill Insert Calc (2)'!M17*2)/12</f>
        <v>86.373600112171289</v>
      </c>
      <c r="G82" s="101">
        <f>E$28*MIN(K22,Z22)+IF(Z22-K22&gt;0,E$29*(Z22-K22))+ROUND($P$14*365/12,2)+('Simple Bill Insert Calc (2)'!M17*2)/12</f>
        <v>69.854172585875645</v>
      </c>
      <c r="H82" s="101">
        <f>E$28*MIN(L22,AA22)+IF(AA22-L22&gt;0,E$29*(AA22-L22))+ROUND($P$14*365/12,2)+('Simple Bill Insert Calc (2)'!M17*2)/12</f>
        <v>86.373600112171289</v>
      </c>
    </row>
    <row r="83" spans="2:8" x14ac:dyDescent="0.25">
      <c r="B83" s="48" t="s">
        <v>461</v>
      </c>
      <c r="C83" s="101">
        <f>C$28*MIN(K23,Z23)+IF(Z23-K23&gt;0,C$29*(Z23-K23))+ROUND($C$31*365/12,2)+('Simple Bill Insert Calc (2)'!M17*2)/12</f>
        <v>79.029953999794117</v>
      </c>
      <c r="D83" s="101">
        <f>C$28*MIN(L23,AA23)+IF(AA23-L23&gt;0,C$29*(AA23-L23))+ROUND($C$31*365/12,2)+('Simple Bill Insert Calc (2)'!M17*2)/12</f>
        <v>74.054974548820155</v>
      </c>
      <c r="E83" s="101">
        <f>D$28*MIN(K23,Z23)+IF(Z23-K23&gt;0,D$29*(Z23-K23))+ROUND($P$14*365/12,2)+('Simple Bill Insert Calc (2)'!M17*2)/12</f>
        <v>78.922877552090554</v>
      </c>
      <c r="F83" s="101">
        <f>D$28*MIN(L23,AA23)+IF(AA23-L23&gt;0,D$29*(AA23-L23))+ROUND($P$14*365/12,2)+('Simple Bill Insert Calc (2)'!M17*2)/12</f>
        <v>73.951116832789822</v>
      </c>
      <c r="G83" s="101">
        <f>E$28*MIN(K23,Z23)+IF(Z23-K23&gt;0,E$29*(Z23-K23))+ROUND($P$14*365/12,2)+('Simple Bill Insert Calc (2)'!M17*2)/12</f>
        <v>78.922877552090554</v>
      </c>
      <c r="H83" s="101">
        <f>E$28*MIN(L23,AA23)+IF(AA23-L23&gt;0,E$29*(AA23-L23))+ROUND($P$14*365/12,2)+('Simple Bill Insert Calc (2)'!M17*2)/12</f>
        <v>73.951116832789822</v>
      </c>
    </row>
    <row r="84" spans="2:8" x14ac:dyDescent="0.25">
      <c r="B84" s="48" t="s">
        <v>462</v>
      </c>
      <c r="C84" s="101">
        <f>C$28*MIN(K24,Z24)+IF(Z24-K24&gt;0,C$29*(Z24-K24))+ROUND($C$31*365/12,2)+('Simple Bill Insert Calc (2)'!M17*2)/12</f>
        <v>88.015134634223344</v>
      </c>
      <c r="D84" s="101">
        <f>C$28*MIN(L24,AA24)+IF(AA24-L24&gt;0,C$29*(AA24-L24))+ROUND($C$31*365/12,2)+('Simple Bill Insert Calc (2)'!M17*2)/12</f>
        <v>73.815533308226421</v>
      </c>
      <c r="E84" s="101">
        <f>D$28*MIN(K24,Z24)+IF(Z24-K24&gt;0,D$29*(Z24-K24))+ROUND($P$14*365/12,2)+('Simple Bill Insert Calc (2)'!M17*2)/12</f>
        <v>87.899206580242875</v>
      </c>
      <c r="F84" s="101">
        <f>D$28*MIN(L24,AA24)+IF(AA24-L24&gt;0,D$29*(AA24-L24))+ROUND($P$14*365/12,2)+('Simple Bill Insert Calc (2)'!M17*2)/12</f>
        <v>73.711914460153579</v>
      </c>
      <c r="G84" s="101">
        <f>E$28*MIN(K24,Z24)+IF(Z24-K24&gt;0,E$29*(Z24-K24))+ROUND($P$14*365/12,2)+('Simple Bill Insert Calc (2)'!M17*2)/12</f>
        <v>87.899206580242875</v>
      </c>
      <c r="H84" s="101">
        <f>E$28*MIN(L24,AA24)+IF(AA24-L24&gt;0,E$29*(AA24-L24))+ROUND($P$14*365/12,2)+('Simple Bill Insert Calc (2)'!M17*2)/12</f>
        <v>73.711914460153579</v>
      </c>
    </row>
    <row r="85" spans="2:8" x14ac:dyDescent="0.25">
      <c r="B85" s="48" t="s">
        <v>8</v>
      </c>
      <c r="C85" s="101">
        <f>C$28*MIN(K25,Z25)+IF(Z25-K25&gt;0,C$29*(Z25-K25))+ROUND($C$31*365/12,2)+('Simple Bill Insert Calc (2)'!M17*2)/12</f>
        <v>104.65887126928337</v>
      </c>
      <c r="D85" s="101">
        <f>C$28*MIN(L25,AA25)+IF(AA25-L25&gt;0,C$29*(AA25-L25))+ROUND($C$31*365/12,2)+('Simple Bill Insert Calc (2)'!M17*2)/12</f>
        <v>74.469118104372967</v>
      </c>
      <c r="E85" s="101">
        <f>D$28*MIN(K25,Z25)+IF(Z25-K25&gt;0,D$29*(Z25-K25))+ROUND($P$14*365/12,2)+('Simple Bill Insert Calc (2)'!M17*2)/12</f>
        <v>104.52639234458178</v>
      </c>
      <c r="F85" s="101">
        <f>D$28*MIN(L25,AA25)+IF(AA25-L25&gt;0,D$29*(AA25-L25))+ROUND($P$14*365/12,2)+('Simple Bill Insert Calc (2)'!M17*2)/12</f>
        <v>74.364847236351849</v>
      </c>
      <c r="G85" s="101">
        <f>E$28*MIN(K25,Z25)+IF(Z25-K25&gt;0,E$29*(Z25-K25))+ROUND($P$14*365/12,2)+('Simple Bill Insert Calc (2)'!M17*2)/12</f>
        <v>104.52639234458178</v>
      </c>
      <c r="H85" s="101">
        <f>E$28*MIN(L25,AA25)+IF(AA25-L25&gt;0,E$29*(AA25-L25))+ROUND($P$14*365/12,2)+('Simple Bill Insert Calc (2)'!M17*2)/12</f>
        <v>74.364847236351849</v>
      </c>
    </row>
    <row r="86" spans="2:8" x14ac:dyDescent="0.25">
      <c r="B86" s="48" t="s">
        <v>465</v>
      </c>
      <c r="C86" s="101">
        <f>C$28*MIN(K26,Z26)+IF(Z26-K26&gt;0,C$29*(Z26-K26))+ROUND($C$31*365/12,2)+('Simple Bill Insert Calc (2)'!M17*2)/12</f>
        <v>132.33241717304293</v>
      </c>
      <c r="D86" s="101">
        <f>C$28*MIN(L26,AA26)+IF(AA26-L26&gt;0,C$29*(AA26-L26))+ROUND($C$31*365/12,2)+('Simple Bill Insert Calc (2)'!M17*2)/12</f>
        <v>83.247697451108394</v>
      </c>
      <c r="E86" s="101">
        <f>D$28*MIN(K26,Z26)+IF(Z26-K26&gt;0,D$29*(Z26-K26))+ROUND($P$14*365/12,2)+('Simple Bill Insert Calc (2)'!M17*2)/12</f>
        <v>132.17279735175802</v>
      </c>
      <c r="F86" s="101">
        <f>D$28*MIN(L26,AA26)+IF(AA26-L26&gt;0,D$29*(AA26-L26))+ROUND($P$14*365/12,2)+('Simple Bill Insert Calc (2)'!M17*2)/12</f>
        <v>83.134669021887433</v>
      </c>
      <c r="G86" s="101">
        <f>E$28*MIN(K26,Z26)+IF(Z26-K26&gt;0,E$29*(Z26-K26))+ROUND($P$14*365/12,2)+('Simple Bill Insert Calc (2)'!M17*2)/12</f>
        <v>132.17279735175802</v>
      </c>
      <c r="H86" s="101">
        <f>E$28*MIN(L26,AA26)+IF(AA26-L26&gt;0,E$29*(AA26-L26))+ROUND($P$14*365/12,2)+('Simple Bill Insert Calc (2)'!M17*2)/12</f>
        <v>83.134669021887433</v>
      </c>
    </row>
    <row r="87" spans="2:8" x14ac:dyDescent="0.25">
      <c r="B87" s="48" t="s">
        <v>466</v>
      </c>
      <c r="C87" s="101">
        <f>C$28*MIN(K27,Z27)+IF(Z27-K27&gt;0,C$29*(Z27-K27))+ROUND($C$31*365/12,2)+('Simple Bill Insert Calc (2)'!M17*2)/12</f>
        <v>190.33035722248653</v>
      </c>
      <c r="D87" s="101">
        <f>C$28*MIN(L27,AA27)+IF(AA27-L27&gt;0,C$29*(AA27-L27))+ROUND($C$31*365/12,2)+('Simple Bill Insert Calc (2)'!M17*2)/12</f>
        <v>107.57193910585686</v>
      </c>
      <c r="E87" s="101">
        <f>D$28*MIN(K27,Z27)+IF(Z27-K27&gt;0,D$29*(Z27-K27))+ROUND($P$14*365/12,2)+('Simple Bill Insert Calc (2)'!M17*2)/12</f>
        <v>190.11337456460186</v>
      </c>
      <c r="F87" s="101">
        <f>D$28*MIN(L27,AA27)+IF(AA27-L27&gt;0,D$29*(AA27-L27))+ROUND($P$14*365/12,2)+('Simple Bill Insert Calc (2)'!M17*2)/12</f>
        <v>107.43464467338893</v>
      </c>
      <c r="G87" s="101">
        <f>E$28*MIN(K27,Z27)+IF(Z27-K27&gt;0,E$29*(Z27-K27))+ROUND($P$14*365/12,2)+('Simple Bill Insert Calc (2)'!M17*2)/12</f>
        <v>190.11337456460186</v>
      </c>
      <c r="H87" s="101">
        <f>E$28*MIN(L27,AA27)+IF(AA27-L27&gt;0,E$29*(AA27-L27))+ROUND($P$14*365/12,2)+('Simple Bill Insert Calc (2)'!M17*2)/12</f>
        <v>107.43464467338893</v>
      </c>
    </row>
    <row r="88" spans="2:8" x14ac:dyDescent="0.25">
      <c r="B88" s="48" t="s">
        <v>467</v>
      </c>
      <c r="C88" s="101">
        <f>C$28*MIN(K28,Z28)+IF(Z28-K28&gt;0,C$29*(Z28-K28))+ROUND($C$31*365/12,2)+('Simple Bill Insert Calc (2)'!M17*2)/12</f>
        <v>182.0499766537406</v>
      </c>
      <c r="D88" s="101">
        <f>C$28*MIN(L28,AA28)+IF(AA28-L28&gt;0,C$29*(AA28-L28))+ROUND($C$31*365/12,2)+('Simple Bill Insert Calc (2)'!M17*2)/12</f>
        <v>123.29523536961517</v>
      </c>
      <c r="E88" s="101">
        <f>D$28*MIN(K28,Z28)+IF(Z28-K28&gt;0,D$29*(Z28-K28))+ROUND($P$14*365/12,2)+('Simple Bill Insert Calc (2)'!M17*2)/12</f>
        <v>181.84303388986478</v>
      </c>
      <c r="F88" s="101">
        <f>D$28*MIN(L28,AA28)+IF(AA28-L28&gt;0,D$29*(AA28-L28))+ROUND($P$14*365/12,2)+('Simple Bill Insert Calc (2)'!M17*2)/12</f>
        <v>123.14225528644516</v>
      </c>
      <c r="G88" s="101">
        <f>E$28*MIN(K28,Z28)+IF(Z28-K28&gt;0,E$29*(Z28-K28))+ROUND($P$14*365/12,2)+('Simple Bill Insert Calc (2)'!M17*2)/12</f>
        <v>181.84303388986478</v>
      </c>
      <c r="H88" s="101">
        <f>E$28*MIN(L28,AA28)+IF(AA28-L28&gt;0,E$29*(AA28-L28))+ROUND($P$14*365/12,2)+('Simple Bill Insert Calc (2)'!M17*2)/12</f>
        <v>123.14225528644516</v>
      </c>
    </row>
    <row r="89" spans="2:8" x14ac:dyDescent="0.25">
      <c r="B89" s="48" t="s">
        <v>468</v>
      </c>
      <c r="C89" s="101">
        <f>C$28*MIN(K29,Z29)+IF(Z29-K29&gt;0,C$29*(Z29-K29))+ROUND($C$31*365/12,2)+('Simple Bill Insert Calc (2)'!M17*2)/12</f>
        <v>220.53426031841158</v>
      </c>
      <c r="D89" s="101">
        <f>C$28*MIN(L29,AA29)+IF(AA29-L29&gt;0,C$29*(AA29-L29))+ROUND($C$31*365/12,2)+('Simple Bill Insert Calc (2)'!M17*2)/12</f>
        <v>98.493635242768775</v>
      </c>
      <c r="E89" s="101">
        <f>D$28*MIN(K29,Z29)+IF(Z29-K29&gt;0,D$29*(Z29-K29))+ROUND($P$14*365/12,2)+('Simple Bill Insert Calc (2)'!M17*2)/12</f>
        <v>220.28925773545808</v>
      </c>
      <c r="F89" s="101">
        <f>D$28*MIN(L29,AA29)+IF(AA29-L29&gt;0,D$29*(AA29-L29))+ROUND($P$14*365/12,2)+('Simple Bill Insert Calc (2)'!M17*2)/12</f>
        <v>98.365397378400502</v>
      </c>
      <c r="G89" s="101">
        <f>E$28*MIN(K29,Z29)+IF(Z29-K29&gt;0,E$29*(Z29-K29))+ROUND($P$14*365/12,2)+('Simple Bill Insert Calc (2)'!M17*2)/12</f>
        <v>220.28925773545808</v>
      </c>
      <c r="H89" s="101">
        <f>E$28*MIN(L29,AA29)+IF(AA29-L29&gt;0,E$29*(AA29-L29))+ROUND($P$14*365/12,2)+('Simple Bill Insert Calc (2)'!M17*2)/12</f>
        <v>98.365397378400502</v>
      </c>
    </row>
    <row r="90" spans="2:8" x14ac:dyDescent="0.25">
      <c r="B90" s="48" t="s">
        <v>469</v>
      </c>
      <c r="C90" s="101">
        <f>C$28*MIN(K30,Z30)+IF(Z30-K30&gt;0,C$29*(Z30-K30))+ROUND($C$31*365/12,2)+('Simple Bill Insert Calc (2)'!M17*2)/12</f>
        <v>146.95656071448295</v>
      </c>
      <c r="D90" s="101">
        <f>C$28*MIN(L30,AA30)+IF(AA30-L30&gt;0,C$29*(AA30-L30))+ROUND($C$31*365/12,2)+('Simple Bill Insert Calc (2)'!M17*2)/12</f>
        <v>109.94694048525133</v>
      </c>
      <c r="E90" s="101">
        <f>D$28*MIN(K30,Z30)+IF(Z30-K30&gt;0,D$29*(Z30-K30))+ROUND($P$14*365/12,2)+('Simple Bill Insert Calc (2)'!M17*2)/12</f>
        <v>146.78431799409358</v>
      </c>
      <c r="F90" s="101">
        <f>D$28*MIN(L30,AA30)+IF(AA30-L30&gt;0,D$29*(AA30-L30))+ROUND($P$14*365/12,2)+('Simple Bill Insert Calc (2)'!M17*2)/12</f>
        <v>109.80727673776006</v>
      </c>
      <c r="G90" s="101">
        <f>E$28*MIN(K30,Z30)+IF(Z30-K30&gt;0,E$29*(Z30-K30))+ROUND($P$14*365/12,2)+('Simple Bill Insert Calc (2)'!M17*2)/12</f>
        <v>146.78431799409358</v>
      </c>
      <c r="H90" s="101">
        <f>E$28*MIN(L30,AA30)+IF(AA30-L30&gt;0,E$29*(AA30-L30))+ROUND($P$14*365/12,2)+('Simple Bill Insert Calc (2)'!M17*2)/12</f>
        <v>109.80727673776006</v>
      </c>
    </row>
    <row r="91" spans="2:8" x14ac:dyDescent="0.25">
      <c r="B91" s="195" t="s">
        <v>472</v>
      </c>
      <c r="C91" s="193">
        <f>SUMPRODUCT(C82:C90,$AC$22:$AC$30)</f>
        <v>126.39912970895288</v>
      </c>
      <c r="D91" s="193">
        <f t="shared" ref="D91:H91" si="12">SUMPRODUCT(D82:D90,$AC$22:$AC$30)</f>
        <v>85.521069584549281</v>
      </c>
      <c r="E91" s="193">
        <f t="shared" si="12"/>
        <v>126.24559188163431</v>
      </c>
      <c r="F91" s="193">
        <f t="shared" si="12"/>
        <v>85.40577322622471</v>
      </c>
      <c r="G91" s="193">
        <f t="shared" si="12"/>
        <v>126.24559188163431</v>
      </c>
      <c r="H91" s="193">
        <f t="shared" si="12"/>
        <v>85.40577322622471</v>
      </c>
    </row>
  </sheetData>
  <mergeCells count="54">
    <mergeCell ref="S34:X34"/>
    <mergeCell ref="B2:D2"/>
    <mergeCell ref="E3:H3"/>
    <mergeCell ref="O3:R3"/>
    <mergeCell ref="I20:J20"/>
    <mergeCell ref="K20:L20"/>
    <mergeCell ref="T20:U20"/>
    <mergeCell ref="AB20:AC20"/>
    <mergeCell ref="P21:Q21"/>
    <mergeCell ref="R21:S21"/>
    <mergeCell ref="X21:Y21"/>
    <mergeCell ref="Z21:AA21"/>
    <mergeCell ref="Y35:Z35"/>
    <mergeCell ref="C49:H49"/>
    <mergeCell ref="K49:P49"/>
    <mergeCell ref="S49:X49"/>
    <mergeCell ref="C35:D35"/>
    <mergeCell ref="E35:F35"/>
    <mergeCell ref="G35:H35"/>
    <mergeCell ref="K35:L35"/>
    <mergeCell ref="M35:N35"/>
    <mergeCell ref="O35:P35"/>
    <mergeCell ref="Y50:Z50"/>
    <mergeCell ref="C64:H64"/>
    <mergeCell ref="K64:P64"/>
    <mergeCell ref="S64:X64"/>
    <mergeCell ref="C50:D50"/>
    <mergeCell ref="E50:F50"/>
    <mergeCell ref="G50:H50"/>
    <mergeCell ref="K50:L50"/>
    <mergeCell ref="M50:N50"/>
    <mergeCell ref="O50:P50"/>
    <mergeCell ref="C80:D80"/>
    <mergeCell ref="E80:F80"/>
    <mergeCell ref="G80:H80"/>
    <mergeCell ref="C65:D65"/>
    <mergeCell ref="E65:F65"/>
    <mergeCell ref="G65:H65"/>
    <mergeCell ref="B1:V1"/>
    <mergeCell ref="S65:T65"/>
    <mergeCell ref="U65:V65"/>
    <mergeCell ref="W65:X65"/>
    <mergeCell ref="C79:H79"/>
    <mergeCell ref="K65:L65"/>
    <mergeCell ref="M65:N65"/>
    <mergeCell ref="O65:P65"/>
    <mergeCell ref="S50:T50"/>
    <mergeCell ref="U50:V50"/>
    <mergeCell ref="W50:X50"/>
    <mergeCell ref="S35:T35"/>
    <mergeCell ref="U35:V35"/>
    <mergeCell ref="W35:X35"/>
    <mergeCell ref="C34:H34"/>
    <mergeCell ref="K34:P3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3F54-A068-4C4C-BB66-65D5FA0CBCA8}">
  <sheetPr codeName="Sheet12">
    <tabColor theme="8" tint="0.59999389629810485"/>
  </sheetPr>
  <dimension ref="B1:AA95"/>
  <sheetViews>
    <sheetView zoomScale="82" workbookViewId="0">
      <selection activeCell="B52" sqref="B52:C52"/>
    </sheetView>
  </sheetViews>
  <sheetFormatPr defaultColWidth="8.7109375" defaultRowHeight="15" x14ac:dyDescent="0.25"/>
  <cols>
    <col min="1" max="1" width="3.5703125" style="38" customWidth="1"/>
    <col min="2" max="3" width="19.42578125" style="38" customWidth="1"/>
    <col min="4" max="4" width="15.7109375" style="38" customWidth="1"/>
    <col min="5" max="5" width="10.5703125" style="38" customWidth="1"/>
    <col min="6" max="6" width="20.7109375" style="38" customWidth="1"/>
    <col min="7" max="15" width="15" style="38" customWidth="1"/>
    <col min="16" max="17" width="17" style="38" customWidth="1"/>
    <col min="18" max="18" width="20.5703125" style="38" customWidth="1"/>
    <col min="19" max="19" width="14" style="38" customWidth="1"/>
    <col min="20" max="20" width="16.42578125" style="38" customWidth="1"/>
    <col min="21" max="21" width="15.7109375" style="38" bestFit="1" customWidth="1"/>
    <col min="22" max="22" width="16.5703125" style="38" bestFit="1" customWidth="1"/>
    <col min="23" max="23" width="15.42578125" style="38" customWidth="1"/>
    <col min="24" max="24" width="16.5703125" style="38" bestFit="1" customWidth="1"/>
    <col min="25" max="25" width="15" style="38" bestFit="1" customWidth="1"/>
    <col min="26" max="26" width="10.5703125" style="38" bestFit="1" customWidth="1"/>
    <col min="27" max="16384" width="8.7109375" style="38"/>
  </cols>
  <sheetData>
    <row r="1" spans="2:25"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2:25" ht="15.75" x14ac:dyDescent="0.25">
      <c r="B2" s="112"/>
      <c r="C2" s="1" t="s">
        <v>510</v>
      </c>
      <c r="D2" s="1"/>
      <c r="E2" s="112"/>
      <c r="F2" s="112"/>
      <c r="G2" s="112"/>
      <c r="H2" s="112"/>
      <c r="I2" s="112"/>
      <c r="J2" s="112"/>
      <c r="K2" s="112"/>
      <c r="L2" s="112"/>
      <c r="M2" s="112"/>
      <c r="N2" s="112"/>
      <c r="O2" s="112"/>
      <c r="P2" s="112"/>
      <c r="Q2" s="112"/>
      <c r="R2" s="112"/>
      <c r="S2" s="112"/>
      <c r="T2" s="112"/>
      <c r="U2" s="112"/>
      <c r="V2" s="112"/>
    </row>
    <row r="3" spans="2:25" x14ac:dyDescent="0.25">
      <c r="B3" s="4"/>
      <c r="C3" s="114"/>
      <c r="D3" s="114"/>
      <c r="J3" s="132"/>
      <c r="P3" s="89"/>
      <c r="Q3" s="89"/>
      <c r="R3" s="89"/>
      <c r="S3" s="89"/>
      <c r="T3" s="89"/>
      <c r="U3" s="89"/>
      <c r="V3" s="89"/>
    </row>
    <row r="4" spans="2:25" ht="15.75" x14ac:dyDescent="0.25">
      <c r="B4" s="67" t="s">
        <v>142</v>
      </c>
      <c r="C4" s="5">
        <f>'Simple Bill Insert Calc (2)'!D8</f>
        <v>0</v>
      </c>
      <c r="D4" s="120"/>
      <c r="G4" s="512" t="s">
        <v>380</v>
      </c>
      <c r="H4" s="512"/>
      <c r="I4" s="512"/>
      <c r="J4" s="512"/>
      <c r="K4" s="512"/>
      <c r="L4" s="512"/>
      <c r="M4" s="512"/>
      <c r="N4" s="512"/>
      <c r="O4" s="512"/>
      <c r="P4" s="512"/>
      <c r="Q4" s="512"/>
      <c r="R4" s="512"/>
      <c r="S4" s="2"/>
      <c r="T4" s="2"/>
      <c r="U4" s="2"/>
      <c r="V4" s="2"/>
      <c r="W4" s="2"/>
      <c r="X4" s="2"/>
    </row>
    <row r="5" spans="2:25" ht="15.75" x14ac:dyDescent="0.25">
      <c r="B5" s="67" t="s">
        <v>147</v>
      </c>
      <c r="C5" s="5">
        <f>'Simple Bill Insert Calc (2)'!D9</f>
        <v>0</v>
      </c>
      <c r="D5" s="5"/>
      <c r="F5" s="9"/>
      <c r="G5" s="10" t="s">
        <v>142</v>
      </c>
      <c r="H5" s="10" t="s">
        <v>147</v>
      </c>
      <c r="I5" s="10" t="s">
        <v>381</v>
      </c>
      <c r="J5" s="10" t="s">
        <v>382</v>
      </c>
      <c r="K5" s="10" t="s">
        <v>228</v>
      </c>
      <c r="L5" s="10" t="s">
        <v>383</v>
      </c>
      <c r="M5" s="10" t="s">
        <v>384</v>
      </c>
      <c r="N5" s="10" t="s">
        <v>287</v>
      </c>
      <c r="O5" s="94" t="s">
        <v>385</v>
      </c>
      <c r="P5" s="94" t="s">
        <v>386</v>
      </c>
      <c r="Q5" s="94" t="s">
        <v>296</v>
      </c>
      <c r="R5" s="94" t="s">
        <v>387</v>
      </c>
    </row>
    <row r="6" spans="2:25" ht="15.75" x14ac:dyDescent="0.25">
      <c r="B6" s="67" t="s">
        <v>158</v>
      </c>
      <c r="C6" s="5">
        <f>'Simple Bill Insert Calc (2)'!D10</f>
        <v>0</v>
      </c>
      <c r="D6" s="5"/>
      <c r="F6" s="9" t="s">
        <v>475</v>
      </c>
      <c r="G6" s="149">
        <f>'SAR and AR (GS1)'!G37</f>
        <v>8.2708586417863272E-2</v>
      </c>
      <c r="H6" s="174">
        <v>6.9720996309070304E-2</v>
      </c>
      <c r="I6" s="149">
        <f>'SAR and AR (GS1)'!I37</f>
        <v>7.2663413241094474E-2</v>
      </c>
      <c r="J6" s="174">
        <v>7.2558120600207082E-2</v>
      </c>
      <c r="K6" s="149">
        <f>'SAR and AR (GS1)'!K37</f>
        <v>6.8722896352149648E-2</v>
      </c>
      <c r="L6" s="149">
        <f>'SAR and AR (GS1)'!L37</f>
        <v>7.3065791147950268E-2</v>
      </c>
      <c r="M6" s="149">
        <f>'SAR and AR (GS1)'!M37</f>
        <v>7.2661431359380038E-2</v>
      </c>
      <c r="N6" s="149">
        <f>'SAR and AR (GS1)'!N37</f>
        <v>7.2595615571127411E-2</v>
      </c>
      <c r="O6" s="149">
        <f>'SAR and AR (GS1)'!O37</f>
        <v>7.5243862185687738E-2</v>
      </c>
      <c r="P6" s="149">
        <f>'SAR and AR (GS1)'!P37</f>
        <v>8.1023901392294956E-2</v>
      </c>
      <c r="Q6" s="149">
        <f>'SAR and AR (GS1)'!Q37</f>
        <v>7.266341324109446E-2</v>
      </c>
      <c r="R6" s="149">
        <f>'SAR and AR (GS1)'!R37</f>
        <v>8.3368378070312263E-2</v>
      </c>
    </row>
    <row r="7" spans="2:25" ht="15.75" x14ac:dyDescent="0.25">
      <c r="B7" s="67" t="s">
        <v>157</v>
      </c>
      <c r="C7" s="5">
        <f>'Simple Bill Insert Calc (2)'!D11</f>
        <v>0</v>
      </c>
      <c r="D7" s="5"/>
      <c r="F7" s="9"/>
      <c r="G7" s="12"/>
      <c r="H7" s="12"/>
      <c r="I7" s="12"/>
      <c r="J7" s="12"/>
      <c r="L7" s="12"/>
      <c r="M7" s="12"/>
      <c r="N7" s="12"/>
      <c r="O7" s="12"/>
      <c r="P7" s="12"/>
      <c r="Q7" s="12"/>
      <c r="R7" s="12"/>
    </row>
    <row r="8" spans="2:25" ht="16.350000000000001" customHeight="1" x14ac:dyDescent="0.25">
      <c r="B8" s="67" t="s">
        <v>228</v>
      </c>
      <c r="C8" s="5">
        <f>'Simple Bill Insert Calc (2)'!D12</f>
        <v>0</v>
      </c>
      <c r="D8" s="5"/>
      <c r="F8" s="37"/>
      <c r="G8" s="512" t="s">
        <v>511</v>
      </c>
      <c r="H8" s="512"/>
      <c r="I8" s="512"/>
      <c r="J8" s="512"/>
      <c r="K8" s="512"/>
      <c r="L8" s="512"/>
      <c r="M8" s="512"/>
      <c r="N8" s="512"/>
      <c r="O8" s="512"/>
      <c r="P8" s="512"/>
      <c r="Q8" s="512"/>
      <c r="R8" s="512"/>
      <c r="S8" s="158"/>
      <c r="W8" s="9"/>
      <c r="X8" s="116"/>
      <c r="Y8" s="116"/>
    </row>
    <row r="9" spans="2:25" ht="15.75" customHeight="1" x14ac:dyDescent="0.25">
      <c r="B9" s="67" t="s">
        <v>145</v>
      </c>
      <c r="C9" s="5">
        <f>'Simple Bill Insert Calc (2)'!D13</f>
        <v>0</v>
      </c>
      <c r="D9" s="5"/>
      <c r="F9" s="115" t="s">
        <v>378</v>
      </c>
      <c r="G9" s="10" t="s">
        <v>142</v>
      </c>
      <c r="H9" s="10" t="s">
        <v>147</v>
      </c>
      <c r="I9" s="10" t="s">
        <v>381</v>
      </c>
      <c r="J9" s="10" t="s">
        <v>382</v>
      </c>
      <c r="K9" s="10" t="s">
        <v>228</v>
      </c>
      <c r="L9" s="10" t="s">
        <v>383</v>
      </c>
      <c r="M9" s="10" t="s">
        <v>384</v>
      </c>
      <c r="N9" s="10" t="s">
        <v>287</v>
      </c>
      <c r="O9" s="10" t="s">
        <v>385</v>
      </c>
      <c r="P9" s="10" t="s">
        <v>386</v>
      </c>
      <c r="Q9" s="94" t="s">
        <v>296</v>
      </c>
      <c r="R9" s="94" t="s">
        <v>387</v>
      </c>
      <c r="S9" s="10" t="s">
        <v>71</v>
      </c>
      <c r="T9" s="94" t="s">
        <v>390</v>
      </c>
      <c r="U9" s="33"/>
      <c r="W9" s="105" t="s">
        <v>391</v>
      </c>
      <c r="X9" s="217">
        <f>'SAR and AR (GS1)'!G58</f>
        <v>0</v>
      </c>
      <c r="Y9" s="214"/>
    </row>
    <row r="10" spans="2:25" ht="15.75" x14ac:dyDescent="0.25">
      <c r="B10" s="67" t="s">
        <v>283</v>
      </c>
      <c r="C10" s="5">
        <f>'Simple Bill Insert Calc (2)'!D14</f>
        <v>0</v>
      </c>
      <c r="D10" s="5"/>
      <c r="F10" s="9" t="s">
        <v>475</v>
      </c>
      <c r="G10" s="72">
        <f>G6*G11</f>
        <v>0</v>
      </c>
      <c r="H10" s="72">
        <f>H6*H11</f>
        <v>0</v>
      </c>
      <c r="I10" s="72">
        <f>I6*I11</f>
        <v>0</v>
      </c>
      <c r="J10" s="72">
        <f>J6*J11</f>
        <v>0</v>
      </c>
      <c r="K10" s="72">
        <f t="shared" ref="K10:Q10" si="0">K6*K11</f>
        <v>0</v>
      </c>
      <c r="L10" s="72">
        <f t="shared" si="0"/>
        <v>0</v>
      </c>
      <c r="M10" s="72">
        <f t="shared" si="0"/>
        <v>0</v>
      </c>
      <c r="N10" s="72">
        <f t="shared" si="0"/>
        <v>0</v>
      </c>
      <c r="O10" s="72">
        <f t="shared" si="0"/>
        <v>0</v>
      </c>
      <c r="P10" s="72">
        <f t="shared" si="0"/>
        <v>0</v>
      </c>
      <c r="Q10" s="72">
        <f t="shared" si="0"/>
        <v>0</v>
      </c>
      <c r="R10" s="72">
        <f>R6*R11</f>
        <v>0</v>
      </c>
      <c r="S10" s="72">
        <f>SUM(G10:R10)</f>
        <v>0</v>
      </c>
      <c r="T10" s="72">
        <f>X14</f>
        <v>0</v>
      </c>
      <c r="W10" s="105" t="s">
        <v>476</v>
      </c>
      <c r="X10" s="213">
        <f>'SAR and RAR'!X10</f>
        <v>0.32500000000000001</v>
      </c>
      <c r="Y10" s="214"/>
    </row>
    <row r="11" spans="2:25" ht="15.75" x14ac:dyDescent="0.25">
      <c r="B11" s="67" t="s">
        <v>287</v>
      </c>
      <c r="C11" s="5">
        <f>'Simple Bill Insert Calc (2)'!D15</f>
        <v>0</v>
      </c>
      <c r="D11" s="5"/>
      <c r="F11" s="9" t="s">
        <v>393</v>
      </c>
      <c r="G11" s="73">
        <f>C4</f>
        <v>0</v>
      </c>
      <c r="H11" s="73">
        <f>C5</f>
        <v>0</v>
      </c>
      <c r="I11" s="73">
        <f>C6</f>
        <v>0</v>
      </c>
      <c r="J11" s="73">
        <f>C7</f>
        <v>0</v>
      </c>
      <c r="K11" s="73">
        <f>C8</f>
        <v>0</v>
      </c>
      <c r="L11" s="73">
        <f>C9</f>
        <v>0</v>
      </c>
      <c r="M11" s="73">
        <f>C10</f>
        <v>0</v>
      </c>
      <c r="N11" s="73">
        <f>C11</f>
        <v>0</v>
      </c>
      <c r="O11" s="73">
        <f>C12</f>
        <v>0</v>
      </c>
      <c r="P11" s="73">
        <f>C14</f>
        <v>0</v>
      </c>
      <c r="Q11" s="73">
        <f>C15</f>
        <v>0</v>
      </c>
      <c r="R11" s="73">
        <f>C16</f>
        <v>0</v>
      </c>
      <c r="S11" s="72">
        <f>SUM(G11:R11)</f>
        <v>0</v>
      </c>
      <c r="T11" s="72">
        <v>0</v>
      </c>
      <c r="W11" s="105" t="s">
        <v>394</v>
      </c>
      <c r="X11" s="401">
        <f>'SAR and RAR (2)'!W11</f>
        <v>0</v>
      </c>
      <c r="Y11" s="73"/>
    </row>
    <row r="12" spans="2:25" ht="15.75" x14ac:dyDescent="0.25">
      <c r="B12" s="67" t="s">
        <v>173</v>
      </c>
      <c r="C12" s="5">
        <f>'Simple Bill Insert Calc (2)'!D16</f>
        <v>0</v>
      </c>
      <c r="D12" s="5"/>
      <c r="F12" s="115"/>
      <c r="W12" s="105" t="s">
        <v>477</v>
      </c>
      <c r="X12" s="73">
        <f>'SAR and AR (GS1)'!O58</f>
        <v>5845430.9507900001</v>
      </c>
      <c r="Y12" s="73"/>
    </row>
    <row r="13" spans="2:25" ht="15.75" customHeight="1" x14ac:dyDescent="0.25">
      <c r="B13" s="43" t="s">
        <v>156</v>
      </c>
      <c r="C13" s="5">
        <v>0</v>
      </c>
      <c r="D13" s="5"/>
      <c r="F13" s="9"/>
      <c r="G13" s="72"/>
      <c r="H13" s="72"/>
      <c r="I13" s="72"/>
      <c r="J13" s="72"/>
      <c r="K13" s="72"/>
      <c r="L13" s="72"/>
      <c r="M13" s="72"/>
      <c r="N13" s="72"/>
      <c r="O13" s="72"/>
      <c r="P13" s="72"/>
      <c r="Q13" s="72"/>
      <c r="R13" s="72"/>
      <c r="S13" s="72"/>
      <c r="T13" s="72"/>
      <c r="W13" s="105" t="s">
        <v>396</v>
      </c>
      <c r="X13" s="73">
        <f>'SAR and AR (GS1)'!G64</f>
        <v>71720228.921294004</v>
      </c>
      <c r="Y13" s="73"/>
    </row>
    <row r="14" spans="2:25" ht="15.75" customHeight="1" x14ac:dyDescent="0.25">
      <c r="B14" s="67" t="s">
        <v>277</v>
      </c>
      <c r="C14" s="5">
        <f>'Simple Bill Insert Calc (2)'!D17</f>
        <v>0</v>
      </c>
      <c r="D14" s="5"/>
      <c r="F14" s="37"/>
      <c r="G14" s="514" t="s">
        <v>400</v>
      </c>
      <c r="H14" s="514"/>
      <c r="I14" s="514"/>
      <c r="J14" s="514"/>
      <c r="K14" s="514"/>
      <c r="L14" s="514"/>
      <c r="M14" s="514"/>
      <c r="N14" s="514"/>
      <c r="O14" s="514"/>
      <c r="P14" s="514"/>
      <c r="Q14" s="514"/>
      <c r="R14" s="535"/>
      <c r="S14" s="157" t="s">
        <v>401</v>
      </c>
      <c r="T14" s="186"/>
      <c r="W14" s="105" t="s">
        <v>397</v>
      </c>
      <c r="X14" s="73">
        <f>X11*X12/X13</f>
        <v>0</v>
      </c>
      <c r="Y14" s="73"/>
    </row>
    <row r="15" spans="2:25" ht="15.75" x14ac:dyDescent="0.25">
      <c r="B15" s="67" t="s">
        <v>296</v>
      </c>
      <c r="C15" s="5">
        <f>'Simple Bill Insert Calc (2)'!D18</f>
        <v>0</v>
      </c>
      <c r="D15" s="5"/>
      <c r="G15" s="94" t="s">
        <v>142</v>
      </c>
      <c r="H15" s="10" t="s">
        <v>147</v>
      </c>
      <c r="I15" s="10" t="s">
        <v>381</v>
      </c>
      <c r="J15" s="10" t="s">
        <v>382</v>
      </c>
      <c r="K15" s="10" t="s">
        <v>228</v>
      </c>
      <c r="L15" s="10" t="s">
        <v>383</v>
      </c>
      <c r="M15" s="10" t="s">
        <v>384</v>
      </c>
      <c r="N15" s="10" t="s">
        <v>287</v>
      </c>
      <c r="O15" s="10" t="s">
        <v>385</v>
      </c>
      <c r="P15" s="10" t="s">
        <v>386</v>
      </c>
      <c r="Q15" s="94" t="s">
        <v>296</v>
      </c>
      <c r="R15" s="94" t="s">
        <v>387</v>
      </c>
      <c r="S15" s="106" t="s">
        <v>71</v>
      </c>
      <c r="T15" s="144"/>
    </row>
    <row r="16" spans="2:25" ht="15.75" x14ac:dyDescent="0.25">
      <c r="B16" s="67" t="s">
        <v>387</v>
      </c>
      <c r="C16" s="65">
        <f>'Simple Bill Insert Calc (2)'!D19</f>
        <v>0</v>
      </c>
      <c r="D16" s="65"/>
      <c r="F16" s="9" t="s">
        <v>475</v>
      </c>
      <c r="G16" s="159">
        <f>'SAR and AR (GS1)'!G44</f>
        <v>0.93332787929053829</v>
      </c>
      <c r="H16" s="159">
        <f>'SAR and AR (GS1)'!H44</f>
        <v>0.65936340757050238</v>
      </c>
      <c r="I16" s="159">
        <f>'SAR and AR (GS1)'!I44</f>
        <v>0.65714070766497867</v>
      </c>
      <c r="J16" s="159">
        <f>'SAR and AR (GS1)'!J44</f>
        <v>0.65714070766497867</v>
      </c>
      <c r="K16" s="159">
        <f>'SAR and AR (GS1)'!K44</f>
        <v>0.65714070766497867</v>
      </c>
      <c r="L16" s="159">
        <f>'SAR and AR (GS1)'!L44</f>
        <v>0.65714070766497867</v>
      </c>
      <c r="M16" s="159">
        <f>'SAR and AR (GS1)'!M44</f>
        <v>0.65714070766497878</v>
      </c>
      <c r="N16" s="159">
        <f>'SAR and AR (GS1)'!N44</f>
        <v>0.65714070766497867</v>
      </c>
      <c r="O16" s="159">
        <f>'SAR and AR (GS1)'!O44</f>
        <v>0.68047085176321509</v>
      </c>
      <c r="P16" s="159">
        <f>'SAR and AR (GS1)'!P44</f>
        <v>0.65714070766497878</v>
      </c>
      <c r="Q16" s="159">
        <f>'SAR and AR (GS1)'!Q44</f>
        <v>0.65714070766497878</v>
      </c>
      <c r="R16" s="159">
        <f>'SAR and AR (GS1)'!R44</f>
        <v>0.65714070766497867</v>
      </c>
      <c r="S16" s="107">
        <f>SUMPRODUCT(G10:R10,G16:R16)+T10*H16</f>
        <v>0</v>
      </c>
      <c r="T16" s="108"/>
      <c r="U16" s="115"/>
    </row>
    <row r="17" spans="2:27" ht="15.75" x14ac:dyDescent="0.25">
      <c r="B17" s="67" t="s">
        <v>71</v>
      </c>
      <c r="C17" s="66">
        <f>SUM(C4:C16)</f>
        <v>0</v>
      </c>
      <c r="D17" s="66"/>
      <c r="F17" s="9" t="s">
        <v>393</v>
      </c>
      <c r="G17" s="159">
        <f>'SAR and AR (GS1)'!G50</f>
        <v>0.92577705930122733</v>
      </c>
      <c r="H17" s="159">
        <f>'SAR and AR (GS1)'!H50</f>
        <v>0.6582513662307431</v>
      </c>
      <c r="I17" s="159">
        <f>'SAR and AR (GS1)'!I50</f>
        <v>0.63884781761044163</v>
      </c>
      <c r="J17" s="159">
        <f>'SAR and AR (GS1)'!J50</f>
        <v>0.64896038306051473</v>
      </c>
      <c r="K17" s="159">
        <f>'SAR and AR (GS1)'!K50</f>
        <v>0.65202373338515018</v>
      </c>
      <c r="L17" s="159">
        <f>'SAR and AR (GS1)'!L50</f>
        <v>0.64852684011010642</v>
      </c>
      <c r="M17" s="159">
        <f>'SAR and AR (GS1)'!M50</f>
        <v>0.6706488897125521</v>
      </c>
      <c r="N17" s="159">
        <f>'SAR and AR (GS1)'!N50</f>
        <v>0.63598061936817685</v>
      </c>
      <c r="O17" s="159">
        <f>'SAR and AR (GS1)'!O50</f>
        <v>0.68066315360358887</v>
      </c>
      <c r="P17" s="159">
        <f>'SAR and AR (GS1)'!P50</f>
        <v>0.62517281715196638</v>
      </c>
      <c r="Q17" s="159">
        <f>'SAR and AR (GS1)'!Q50</f>
        <v>0.63884781761044174</v>
      </c>
      <c r="R17" s="159">
        <f>'SAR and AR (GS1)'!R50</f>
        <v>0.63537665490889106</v>
      </c>
      <c r="S17" s="107">
        <f>SUMPRODUCT(G11:R11,G17:R17)</f>
        <v>0</v>
      </c>
      <c r="T17" s="108"/>
      <c r="U17" s="9"/>
      <c r="X17" s="9"/>
      <c r="Y17" s="116"/>
      <c r="Z17" s="116"/>
    </row>
    <row r="18" spans="2:27" ht="15.75" x14ac:dyDescent="0.25">
      <c r="B18" s="11"/>
      <c r="C18" s="5"/>
      <c r="E18" s="37"/>
      <c r="G18" s="103"/>
      <c r="H18" s="103"/>
      <c r="I18" s="103"/>
      <c r="J18" s="103"/>
      <c r="L18" s="103"/>
      <c r="M18" s="103"/>
      <c r="N18" s="103"/>
      <c r="O18" s="103"/>
      <c r="P18" s="103"/>
      <c r="Q18" s="103"/>
      <c r="R18" s="103"/>
      <c r="T18" s="9"/>
      <c r="U18" s="33"/>
      <c r="X18" s="145"/>
      <c r="Y18" s="134"/>
      <c r="Z18" s="134"/>
    </row>
    <row r="19" spans="2:27" ht="15.75" x14ac:dyDescent="0.25">
      <c r="B19" s="11"/>
      <c r="C19" s="5"/>
      <c r="F19" s="2"/>
      <c r="G19" s="188"/>
      <c r="H19" s="188"/>
      <c r="I19" s="188"/>
      <c r="J19" s="188"/>
      <c r="K19" s="188"/>
      <c r="L19" s="188"/>
      <c r="M19" s="188"/>
      <c r="N19" s="188"/>
      <c r="O19" s="188"/>
      <c r="P19" s="188"/>
      <c r="Q19" s="188"/>
      <c r="R19" s="188"/>
      <c r="S19" s="108">
        <f>O10*O16</f>
        <v>0</v>
      </c>
      <c r="T19" s="108"/>
      <c r="U19" s="108"/>
      <c r="X19" s="145"/>
      <c r="Y19" s="134"/>
      <c r="Z19" s="134"/>
      <c r="AA19" s="103"/>
    </row>
    <row r="20" spans="2:27" ht="15.75" x14ac:dyDescent="0.25">
      <c r="B20" s="11"/>
      <c r="C20" s="11"/>
      <c r="U20" s="108"/>
      <c r="X20" s="145"/>
      <c r="Y20" s="73"/>
      <c r="Z20" s="73"/>
      <c r="AA20" s="103"/>
    </row>
    <row r="21" spans="2:27" ht="15.75" x14ac:dyDescent="0.25">
      <c r="B21" s="11"/>
      <c r="C21" s="11"/>
      <c r="X21" s="145"/>
      <c r="Y21" s="138"/>
      <c r="Z21" s="73"/>
      <c r="AA21" s="9"/>
    </row>
    <row r="22" spans="2:27" ht="15.75" x14ac:dyDescent="0.25">
      <c r="B22" s="11"/>
      <c r="C22" s="11"/>
      <c r="E22" s="9"/>
      <c r="F22" s="507" t="s">
        <v>405</v>
      </c>
      <c r="G22" s="508"/>
      <c r="H22" s="508"/>
      <c r="I22" s="509"/>
      <c r="J22" s="248"/>
      <c r="K22" s="9"/>
      <c r="M22" s="9"/>
      <c r="N22" s="507" t="s">
        <v>406</v>
      </c>
      <c r="O22" s="508"/>
      <c r="P22" s="508"/>
      <c r="Q22" s="509"/>
      <c r="R22" s="9"/>
      <c r="S22" s="9"/>
      <c r="T22" s="9"/>
      <c r="U22" s="9"/>
      <c r="W22" s="145"/>
      <c r="X22" s="73"/>
      <c r="Y22" s="73"/>
      <c r="Z22" s="103"/>
    </row>
    <row r="23" spans="2:27" ht="47.25" x14ac:dyDescent="0.25">
      <c r="B23" s="11"/>
      <c r="C23" s="11"/>
      <c r="E23" s="9"/>
      <c r="F23" s="10" t="str">
        <f>'SAR and RAR (2)'!E23</f>
        <v>2026 Sales</v>
      </c>
      <c r="G23" s="10" t="str">
        <f>'SAR and RAR (2)'!F23</f>
        <v>6/1/2026 Avg Rates</v>
      </c>
      <c r="H23" s="10" t="s">
        <v>408</v>
      </c>
      <c r="I23" s="10" t="s">
        <v>410</v>
      </c>
      <c r="K23" s="10"/>
      <c r="M23" s="9"/>
      <c r="N23" s="10" t="str">
        <f>F23</f>
        <v>2026 Sales</v>
      </c>
      <c r="O23" s="10" t="str">
        <f>G23</f>
        <v>6/1/2026 Avg Rates</v>
      </c>
      <c r="P23" s="10" t="s">
        <v>408</v>
      </c>
      <c r="Q23" s="10" t="s">
        <v>410</v>
      </c>
      <c r="S23" s="10"/>
      <c r="T23" s="90"/>
      <c r="U23" s="90"/>
      <c r="W23" s="279"/>
      <c r="X23" s="279"/>
      <c r="Z23" s="279"/>
      <c r="AA23" s="279"/>
    </row>
    <row r="24" spans="2:27" ht="15.75" x14ac:dyDescent="0.25">
      <c r="B24" s="11"/>
      <c r="C24" s="11"/>
      <c r="E24" s="13" t="s">
        <v>475</v>
      </c>
      <c r="F24" s="72">
        <f>'SAR and AR (GS1)'!K58</f>
        <v>3841270.6316</v>
      </c>
      <c r="G24" s="146">
        <f>IF('Simple Bill Insert Calc (2)'!$D$6="Y",'SAR and AR (GS1)'!W31,'SAR and AR (GS1)'!X31)</f>
        <v>30.467204932187947</v>
      </c>
      <c r="H24" s="137">
        <f>S16/F24*100+G24</f>
        <v>30.467204932187947</v>
      </c>
      <c r="I24" s="15">
        <f>H24/G24-1</f>
        <v>0</v>
      </c>
      <c r="K24" s="15"/>
      <c r="M24" s="13" t="s">
        <v>475</v>
      </c>
      <c r="N24" s="72">
        <f>'SAR and AR (GS1)'!O58</f>
        <v>5845430.9507900001</v>
      </c>
      <c r="O24" s="146">
        <f>IF('Simple Bill Insert Calc (2)'!$D$6="Y",'SAR and AR (GS1)'!Z31,'SAR and AR (GS1)'!AA31)</f>
        <v>27.082441027793188</v>
      </c>
      <c r="P24" s="137">
        <f>SUM(S10:T10)/N24*100+O24</f>
        <v>27.082441027793188</v>
      </c>
      <c r="Q24" s="15">
        <f>P24/O24-1</f>
        <v>0</v>
      </c>
      <c r="S24" s="15"/>
      <c r="T24" s="91"/>
      <c r="U24" s="91"/>
      <c r="V24" s="207"/>
      <c r="W24" s="92"/>
      <c r="X24" s="219"/>
      <c r="Y24" s="13"/>
      <c r="Z24" s="219"/>
      <c r="AA24" s="219"/>
    </row>
    <row r="25" spans="2:27" ht="15.75" x14ac:dyDescent="0.25">
      <c r="B25" s="11"/>
      <c r="C25" s="11"/>
      <c r="E25" s="13" t="s">
        <v>417</v>
      </c>
      <c r="F25" s="72">
        <f>'SAR and AR (GS1)'!K64</f>
        <v>51392312.0224078</v>
      </c>
      <c r="G25" s="146">
        <f>IF('Simple Bill Insert Calc (2)'!$D$6="Y",'SAR and RAR'!W33,'SAR and RAR'!X33)</f>
        <v>28.827784535157313</v>
      </c>
      <c r="H25" s="137">
        <f>S17/F25*100+G25</f>
        <v>28.827784535157313</v>
      </c>
      <c r="I25" s="15">
        <f>H25/G25-1</f>
        <v>0</v>
      </c>
      <c r="K25" s="15"/>
      <c r="M25" s="13" t="s">
        <v>393</v>
      </c>
      <c r="N25" s="72">
        <f>'SAR and AR (GS1)'!O64</f>
        <v>80445312.022437811</v>
      </c>
      <c r="O25" s="146">
        <f>IF('Simple Bill Insert Calc (2)'!$D$6="Y",'SAR and RAR'!Z33,'SAR and RAR'!AA33)</f>
        <v>25.162700793487694</v>
      </c>
      <c r="P25" s="137">
        <f>S11/N25*100+O25</f>
        <v>25.162700793487694</v>
      </c>
      <c r="Q25" s="15">
        <f>P25/O25-1</f>
        <v>0</v>
      </c>
      <c r="S25" s="15"/>
      <c r="T25" s="9"/>
      <c r="U25" s="92"/>
      <c r="V25" s="207"/>
      <c r="W25" s="92"/>
      <c r="X25" s="219"/>
      <c r="Y25" s="13"/>
      <c r="Z25" s="219"/>
      <c r="AA25" s="219"/>
    </row>
    <row r="26" spans="2:27" ht="15.75" x14ac:dyDescent="0.25">
      <c r="B26" s="11"/>
      <c r="C26" s="11"/>
      <c r="E26" s="38" t="str">
        <f>M25</f>
        <v>Total System</v>
      </c>
      <c r="F26" s="188">
        <f>N25</f>
        <v>80445312.022437811</v>
      </c>
      <c r="U26" s="92"/>
    </row>
    <row r="27" spans="2:27" ht="15.75" x14ac:dyDescent="0.25">
      <c r="B27" s="11"/>
      <c r="C27" s="11"/>
      <c r="U27" s="92"/>
    </row>
    <row r="28" spans="2:27" ht="15.75" x14ac:dyDescent="0.25">
      <c r="B28" s="11"/>
      <c r="C28" s="11"/>
      <c r="D28" s="9"/>
      <c r="U28" s="93"/>
    </row>
    <row r="29" spans="2:27" ht="15.75" x14ac:dyDescent="0.25">
      <c r="B29" s="11"/>
      <c r="C29" s="11"/>
      <c r="P29" s="9"/>
      <c r="Q29" s="9"/>
      <c r="R29" s="113"/>
      <c r="S29" s="91"/>
      <c r="T29" s="113"/>
      <c r="U29" s="92"/>
      <c r="W29" s="103"/>
    </row>
    <row r="30" spans="2:27" ht="15.75" x14ac:dyDescent="0.25">
      <c r="F30" s="138"/>
      <c r="G30" s="146"/>
      <c r="H30" s="146"/>
      <c r="I30" s="146"/>
      <c r="J30" s="146"/>
      <c r="K30" s="146"/>
      <c r="L30" s="146"/>
      <c r="M30" s="146"/>
      <c r="N30" s="146"/>
      <c r="O30" s="146"/>
      <c r="P30" s="146"/>
      <c r="Q30" s="146"/>
      <c r="R30" s="146"/>
      <c r="S30" s="162"/>
      <c r="T30" s="147"/>
      <c r="U30" s="93"/>
    </row>
    <row r="31" spans="2:27" ht="15.75" x14ac:dyDescent="0.25">
      <c r="E31" s="9"/>
      <c r="F31" s="138"/>
      <c r="G31" s="146"/>
      <c r="H31" s="146"/>
      <c r="I31" s="146"/>
      <c r="J31" s="146"/>
      <c r="K31" s="146"/>
      <c r="L31" s="146"/>
      <c r="M31" s="146"/>
      <c r="N31" s="146"/>
      <c r="O31" s="146"/>
      <c r="P31" s="146"/>
      <c r="Q31" s="146"/>
      <c r="R31" s="146"/>
      <c r="S31" s="162"/>
      <c r="T31" s="147"/>
      <c r="U31" s="93"/>
      <c r="V31" s="93"/>
      <c r="W31" s="92"/>
    </row>
    <row r="32" spans="2:27" ht="15.75" x14ac:dyDescent="0.25">
      <c r="B32" s="11"/>
      <c r="C32" s="11"/>
      <c r="D32" s="9"/>
      <c r="E32" s="33"/>
      <c r="F32" s="10"/>
      <c r="G32" s="176"/>
      <c r="H32" s="176"/>
      <c r="I32" s="176"/>
      <c r="J32" s="176"/>
      <c r="K32" s="176"/>
      <c r="L32" s="176"/>
      <c r="M32" s="176"/>
      <c r="N32" s="176"/>
      <c r="O32" s="176"/>
      <c r="P32" s="176"/>
      <c r="Q32" s="176"/>
      <c r="R32" s="176"/>
      <c r="S32" s="91"/>
      <c r="T32" s="113"/>
      <c r="U32" s="92"/>
      <c r="V32" s="93"/>
      <c r="W32" s="92"/>
    </row>
    <row r="33" spans="2:24" ht="15.75" x14ac:dyDescent="0.25">
      <c r="B33" s="11"/>
      <c r="C33" s="11"/>
      <c r="D33" s="9"/>
      <c r="E33" s="9"/>
      <c r="F33" s="14"/>
      <c r="G33" s="16"/>
      <c r="H33" s="17"/>
      <c r="I33" s="33"/>
      <c r="J33" s="33"/>
      <c r="K33" s="33"/>
      <c r="L33" s="9"/>
      <c r="M33" s="9"/>
      <c r="N33" s="9"/>
      <c r="O33" s="9"/>
      <c r="P33" s="9"/>
      <c r="Q33" s="9"/>
      <c r="R33" s="113"/>
      <c r="S33" s="91"/>
      <c r="T33" s="91"/>
      <c r="U33" s="90"/>
      <c r="V33" s="93"/>
      <c r="W33" s="92"/>
    </row>
    <row r="34" spans="2:24" ht="15.75" x14ac:dyDescent="0.25">
      <c r="B34" s="11"/>
      <c r="C34" s="11"/>
      <c r="D34" s="2"/>
      <c r="F34" s="14"/>
      <c r="G34" s="16"/>
      <c r="H34" s="16"/>
      <c r="I34" s="16"/>
      <c r="J34" s="16"/>
      <c r="K34" s="16"/>
      <c r="L34" s="16"/>
      <c r="M34" s="16"/>
      <c r="N34" s="16"/>
      <c r="O34" s="16"/>
      <c r="P34" s="16"/>
      <c r="Q34" s="16"/>
      <c r="R34" s="16"/>
      <c r="S34" s="91"/>
      <c r="T34" s="113"/>
      <c r="U34" s="92"/>
      <c r="V34" s="93"/>
      <c r="W34" s="93"/>
    </row>
    <row r="35" spans="2:24" ht="15.75" x14ac:dyDescent="0.25">
      <c r="B35" s="11"/>
      <c r="C35" s="11"/>
      <c r="F35" s="133"/>
      <c r="G35" s="10"/>
      <c r="H35" s="10"/>
      <c r="I35" s="10"/>
      <c r="J35" s="10"/>
      <c r="K35" s="10"/>
      <c r="L35" s="10"/>
      <c r="M35" s="10"/>
      <c r="N35" s="10"/>
      <c r="O35" s="10"/>
      <c r="P35" s="10"/>
      <c r="Q35" s="10"/>
      <c r="R35" s="10"/>
      <c r="S35" s="91"/>
      <c r="T35" s="91"/>
      <c r="U35" s="91"/>
      <c r="V35" s="93"/>
      <c r="W35" s="92"/>
    </row>
    <row r="36" spans="2:24" ht="15.75" x14ac:dyDescent="0.25">
      <c r="B36" s="11"/>
      <c r="C36" s="11"/>
      <c r="D36" s="103"/>
      <c r="F36" s="9"/>
      <c r="G36" s="242"/>
      <c r="H36" s="242"/>
      <c r="I36" s="242"/>
      <c r="J36" s="242"/>
      <c r="K36" s="242"/>
      <c r="L36" s="242"/>
      <c r="M36" s="242"/>
      <c r="N36" s="242"/>
      <c r="O36" s="242"/>
      <c r="P36" s="242"/>
      <c r="Q36" s="242"/>
      <c r="R36" s="242"/>
      <c r="S36" s="91"/>
      <c r="T36" s="113"/>
      <c r="U36" s="93"/>
      <c r="V36" s="92"/>
      <c r="W36" s="92"/>
    </row>
    <row r="37" spans="2:24" ht="15.75" x14ac:dyDescent="0.25">
      <c r="B37" s="11"/>
      <c r="C37" s="11"/>
      <c r="E37" s="9"/>
      <c r="F37" s="9"/>
      <c r="G37" s="242"/>
      <c r="H37" s="242"/>
      <c r="I37" s="242"/>
      <c r="J37" s="242"/>
      <c r="K37" s="242"/>
      <c r="L37" s="242"/>
      <c r="M37" s="242"/>
      <c r="N37" s="242"/>
      <c r="O37" s="242"/>
      <c r="P37" s="242"/>
      <c r="Q37" s="242"/>
      <c r="R37" s="242"/>
      <c r="S37" s="91"/>
      <c r="T37" s="113"/>
      <c r="U37" s="93"/>
      <c r="V37" s="93"/>
      <c r="W37" s="93"/>
    </row>
    <row r="38" spans="2:24" ht="15.75" x14ac:dyDescent="0.25">
      <c r="B38" s="11"/>
      <c r="C38" s="11"/>
      <c r="E38" s="9"/>
      <c r="F38" s="9"/>
      <c r="G38" s="242"/>
      <c r="H38" s="242"/>
      <c r="I38" s="242"/>
      <c r="J38" s="242"/>
      <c r="K38" s="242"/>
      <c r="L38" s="242"/>
      <c r="M38" s="242"/>
      <c r="N38" s="242"/>
      <c r="O38" s="242"/>
      <c r="P38" s="242"/>
      <c r="Q38" s="242"/>
      <c r="R38" s="242"/>
      <c r="S38" s="91"/>
      <c r="T38" s="113"/>
      <c r="U38" s="93"/>
      <c r="V38" s="93"/>
      <c r="W38" s="92"/>
    </row>
    <row r="39" spans="2:24" ht="15.75" x14ac:dyDescent="0.25">
      <c r="B39" s="11"/>
      <c r="C39" s="11"/>
      <c r="E39" s="9"/>
      <c r="F39" s="9"/>
      <c r="G39" s="242"/>
      <c r="H39" s="242"/>
      <c r="I39" s="242"/>
      <c r="J39" s="242"/>
      <c r="K39" s="242"/>
      <c r="L39" s="242"/>
      <c r="M39" s="242"/>
      <c r="N39" s="242"/>
      <c r="O39" s="242"/>
      <c r="P39" s="242"/>
      <c r="Q39" s="242"/>
      <c r="R39" s="242"/>
      <c r="S39" s="91"/>
      <c r="T39" s="113"/>
      <c r="U39" s="93"/>
      <c r="V39" s="93"/>
      <c r="W39" s="92"/>
    </row>
    <row r="40" spans="2:24" ht="15.75" x14ac:dyDescent="0.25">
      <c r="B40" s="11"/>
      <c r="C40" s="11"/>
      <c r="E40" s="9"/>
      <c r="F40" s="9"/>
      <c r="G40" s="242"/>
      <c r="H40" s="242"/>
      <c r="I40" s="242"/>
      <c r="J40" s="242"/>
      <c r="K40" s="242"/>
      <c r="L40" s="242"/>
      <c r="M40" s="242"/>
      <c r="N40" s="242"/>
      <c r="O40" s="242"/>
      <c r="P40" s="242"/>
      <c r="Q40" s="242"/>
      <c r="R40" s="242"/>
      <c r="S40" s="91"/>
      <c r="T40" s="113"/>
      <c r="U40" s="93"/>
      <c r="V40" s="93"/>
      <c r="W40" s="92"/>
    </row>
    <row r="41" spans="2:24" ht="15.75" x14ac:dyDescent="0.25">
      <c r="B41" s="11"/>
      <c r="C41" s="11"/>
      <c r="D41" s="9"/>
      <c r="F41" s="9"/>
      <c r="G41" s="242"/>
      <c r="H41" s="242"/>
      <c r="I41" s="242"/>
      <c r="J41" s="242"/>
      <c r="K41" s="242"/>
      <c r="L41" s="242"/>
      <c r="M41" s="242"/>
      <c r="N41" s="242"/>
      <c r="O41" s="242"/>
      <c r="P41" s="242"/>
      <c r="Q41" s="242"/>
      <c r="R41" s="242"/>
      <c r="S41" s="91"/>
      <c r="T41" s="113"/>
      <c r="U41" s="93"/>
      <c r="V41" s="92"/>
      <c r="W41" s="92"/>
    </row>
    <row r="42" spans="2:24" ht="15.75" x14ac:dyDescent="0.25">
      <c r="B42" s="11"/>
      <c r="C42" s="11"/>
      <c r="D42" s="9"/>
      <c r="F42" s="133"/>
      <c r="G42" s="148"/>
      <c r="H42" s="148"/>
      <c r="I42" s="148"/>
      <c r="J42" s="148"/>
      <c r="K42" s="148"/>
      <c r="L42" s="148"/>
      <c r="M42" s="148"/>
      <c r="N42" s="148"/>
      <c r="O42" s="148"/>
      <c r="P42" s="148"/>
      <c r="Q42" s="148"/>
      <c r="R42" s="148"/>
      <c r="S42" s="91"/>
      <c r="T42" s="113"/>
      <c r="U42" s="93"/>
      <c r="V42" s="90"/>
      <c r="W42" s="90"/>
    </row>
    <row r="43" spans="2:24" ht="15.75" x14ac:dyDescent="0.25">
      <c r="B43" s="11"/>
      <c r="C43" s="11"/>
      <c r="E43" s="13"/>
      <c r="F43" s="9"/>
      <c r="G43" s="189"/>
      <c r="H43" s="189"/>
      <c r="I43" s="189"/>
      <c r="J43" s="189"/>
      <c r="K43" s="189"/>
      <c r="L43" s="189"/>
      <c r="M43" s="189"/>
      <c r="N43" s="189"/>
      <c r="O43" s="189"/>
      <c r="P43" s="189"/>
      <c r="Q43" s="189"/>
      <c r="R43" s="189"/>
      <c r="S43" s="243"/>
      <c r="T43" s="243"/>
      <c r="U43" s="170"/>
      <c r="V43" s="189"/>
      <c r="W43" s="243"/>
      <c r="X43" s="170"/>
    </row>
    <row r="44" spans="2:24" ht="15.75" x14ac:dyDescent="0.25">
      <c r="B44" s="11"/>
      <c r="C44" s="11"/>
      <c r="E44" s="13"/>
      <c r="F44" s="9"/>
      <c r="G44" s="189"/>
      <c r="H44" s="189"/>
      <c r="I44" s="189"/>
      <c r="J44" s="189"/>
      <c r="K44" s="189"/>
      <c r="L44" s="189"/>
      <c r="M44" s="189"/>
      <c r="N44" s="189"/>
      <c r="O44" s="189"/>
      <c r="P44" s="189"/>
      <c r="Q44" s="189"/>
      <c r="R44" s="189"/>
      <c r="S44" s="243"/>
      <c r="T44" s="243"/>
      <c r="U44" s="170"/>
      <c r="V44" s="189"/>
      <c r="W44" s="243"/>
      <c r="X44" s="170"/>
    </row>
    <row r="45" spans="2:24" ht="15.75" x14ac:dyDescent="0.25">
      <c r="B45" s="11"/>
      <c r="C45" s="11"/>
      <c r="E45" s="13"/>
      <c r="F45" s="9"/>
      <c r="G45" s="189"/>
      <c r="H45" s="189"/>
      <c r="I45" s="189"/>
      <c r="J45" s="189"/>
      <c r="K45" s="189"/>
      <c r="L45" s="189"/>
      <c r="M45" s="189"/>
      <c r="N45" s="189"/>
      <c r="O45" s="189"/>
      <c r="P45" s="189"/>
      <c r="Q45" s="189"/>
      <c r="R45" s="189"/>
      <c r="S45" s="243"/>
      <c r="T45" s="243"/>
      <c r="U45" s="170"/>
      <c r="V45" s="189"/>
      <c r="W45" s="243"/>
      <c r="X45" s="170"/>
    </row>
    <row r="46" spans="2:24" ht="15.75" x14ac:dyDescent="0.25">
      <c r="B46" s="11"/>
      <c r="C46" s="11"/>
      <c r="E46" s="13"/>
      <c r="F46" s="9"/>
      <c r="G46" s="189"/>
      <c r="H46" s="189"/>
      <c r="I46" s="189"/>
      <c r="J46" s="189"/>
      <c r="K46" s="189"/>
      <c r="L46" s="189"/>
      <c r="M46" s="189"/>
      <c r="N46" s="189"/>
      <c r="O46" s="189"/>
      <c r="P46" s="189"/>
      <c r="Q46" s="189"/>
      <c r="R46" s="189"/>
      <c r="S46" s="243"/>
      <c r="T46" s="243"/>
      <c r="U46" s="170"/>
      <c r="V46" s="189"/>
      <c r="W46" s="243"/>
      <c r="X46" s="170"/>
    </row>
    <row r="47" spans="2:24" ht="15.75" x14ac:dyDescent="0.25">
      <c r="B47" s="11"/>
      <c r="C47" s="11"/>
      <c r="E47" s="13"/>
      <c r="F47" s="9"/>
      <c r="G47" s="189"/>
      <c r="H47" s="189"/>
      <c r="I47" s="189"/>
      <c r="J47" s="189"/>
      <c r="K47" s="189"/>
      <c r="L47" s="189"/>
      <c r="M47" s="189"/>
      <c r="N47" s="189"/>
      <c r="O47" s="189"/>
      <c r="P47" s="189"/>
      <c r="Q47" s="189"/>
      <c r="R47" s="189"/>
      <c r="S47" s="243"/>
      <c r="T47" s="243"/>
      <c r="U47" s="170"/>
      <c r="V47" s="189"/>
      <c r="W47" s="243"/>
      <c r="X47" s="170"/>
    </row>
    <row r="48" spans="2:24" ht="15.75" x14ac:dyDescent="0.25">
      <c r="B48" s="11"/>
      <c r="C48" s="11"/>
      <c r="E48" s="13"/>
      <c r="F48" s="9"/>
      <c r="G48" s="189"/>
      <c r="H48" s="189"/>
      <c r="I48" s="189"/>
      <c r="J48" s="189"/>
      <c r="K48" s="189"/>
      <c r="L48" s="189"/>
      <c r="M48" s="189"/>
      <c r="N48" s="189"/>
      <c r="O48" s="189"/>
      <c r="P48" s="189"/>
      <c r="Q48" s="189"/>
      <c r="R48" s="189"/>
      <c r="S48" s="243"/>
      <c r="T48" s="243"/>
      <c r="U48" s="170"/>
      <c r="V48" s="189"/>
      <c r="W48" s="243"/>
      <c r="X48" s="170"/>
    </row>
    <row r="49" spans="2:25" ht="15.75" x14ac:dyDescent="0.25">
      <c r="B49" s="11"/>
      <c r="C49" s="11"/>
      <c r="E49" s="13"/>
      <c r="F49" s="9"/>
      <c r="G49" s="189"/>
      <c r="H49" s="189"/>
      <c r="I49" s="189"/>
      <c r="J49" s="189"/>
      <c r="K49" s="189"/>
      <c r="L49" s="189"/>
      <c r="M49" s="189"/>
      <c r="N49" s="189"/>
      <c r="O49" s="189"/>
      <c r="P49" s="189"/>
      <c r="Q49" s="189"/>
      <c r="R49" s="189"/>
      <c r="S49" s="244"/>
      <c r="T49" s="243"/>
      <c r="U49" s="170"/>
      <c r="V49" s="189"/>
      <c r="W49" s="245"/>
      <c r="X49" s="170"/>
      <c r="Y49" s="172"/>
    </row>
    <row r="50" spans="2:25" ht="15.75" x14ac:dyDescent="0.25">
      <c r="B50" s="11"/>
      <c r="C50" s="11"/>
      <c r="D50" s="9"/>
      <c r="E50" s="13"/>
      <c r="F50" s="9"/>
      <c r="G50" s="189"/>
      <c r="H50" s="189"/>
      <c r="I50" s="189"/>
      <c r="J50" s="189"/>
      <c r="K50" s="189"/>
      <c r="L50" s="189"/>
      <c r="M50" s="189"/>
      <c r="N50" s="189"/>
      <c r="O50" s="189"/>
      <c r="P50" s="189"/>
      <c r="Q50" s="189"/>
      <c r="R50" s="189"/>
      <c r="S50" s="244"/>
      <c r="T50" s="243"/>
      <c r="U50" s="170"/>
      <c r="V50" s="189"/>
      <c r="W50" s="245"/>
      <c r="X50" s="170"/>
    </row>
    <row r="51" spans="2:25" ht="15.75" x14ac:dyDescent="0.25">
      <c r="B51" s="11"/>
      <c r="C51" s="11"/>
      <c r="D51" s="9"/>
      <c r="E51" s="13"/>
      <c r="F51" s="9"/>
      <c r="G51" s="189"/>
      <c r="H51" s="189"/>
      <c r="I51" s="189"/>
      <c r="J51" s="189"/>
      <c r="K51" s="189"/>
      <c r="L51" s="189"/>
      <c r="M51" s="189"/>
      <c r="N51" s="189"/>
      <c r="O51" s="189"/>
      <c r="P51" s="189"/>
      <c r="Q51" s="189"/>
      <c r="R51" s="189"/>
      <c r="S51" s="244"/>
      <c r="T51" s="243"/>
      <c r="U51" s="170"/>
      <c r="V51" s="189"/>
      <c r="W51" s="245"/>
      <c r="X51" s="170"/>
    </row>
    <row r="52" spans="2:25" ht="15.75" x14ac:dyDescent="0.25">
      <c r="B52" s="11"/>
      <c r="C52" s="11"/>
      <c r="D52" s="9"/>
      <c r="E52" s="13"/>
      <c r="F52" s="9"/>
      <c r="G52" s="189"/>
      <c r="H52" s="189"/>
      <c r="I52" s="189"/>
      <c r="J52" s="189"/>
      <c r="K52" s="189"/>
      <c r="L52" s="189"/>
      <c r="M52" s="189"/>
      <c r="N52" s="189"/>
      <c r="O52" s="189"/>
      <c r="P52" s="189"/>
      <c r="Q52" s="189"/>
      <c r="R52" s="189"/>
      <c r="S52" s="244"/>
      <c r="T52" s="243"/>
      <c r="U52" s="170"/>
      <c r="V52" s="189"/>
      <c r="W52" s="245"/>
      <c r="X52" s="170"/>
    </row>
    <row r="53" spans="2:25" ht="15.75" x14ac:dyDescent="0.25">
      <c r="B53" s="11"/>
      <c r="C53" s="11"/>
      <c r="D53" s="9"/>
      <c r="E53" s="13"/>
      <c r="F53" s="9"/>
      <c r="G53" s="189"/>
      <c r="H53" s="189"/>
      <c r="I53" s="189"/>
      <c r="J53" s="189"/>
      <c r="K53" s="189"/>
      <c r="L53" s="189"/>
      <c r="M53" s="189"/>
      <c r="N53" s="189"/>
      <c r="O53" s="189"/>
      <c r="P53" s="189"/>
      <c r="Q53" s="189"/>
      <c r="R53" s="189"/>
      <c r="S53" s="244"/>
      <c r="T53" s="243"/>
      <c r="U53" s="170"/>
      <c r="V53" s="189"/>
      <c r="W53" s="245"/>
      <c r="X53" s="170"/>
    </row>
    <row r="54" spans="2:25" ht="15.75" x14ac:dyDescent="0.25">
      <c r="B54" s="11"/>
      <c r="C54" s="11"/>
      <c r="D54" s="9"/>
      <c r="E54" s="13"/>
      <c r="F54" s="9"/>
      <c r="G54" s="189"/>
      <c r="H54" s="189"/>
      <c r="I54" s="189"/>
      <c r="J54" s="189"/>
      <c r="K54" s="189"/>
      <c r="L54" s="189"/>
      <c r="M54" s="189"/>
      <c r="N54" s="189"/>
      <c r="O54" s="189"/>
      <c r="P54" s="189"/>
      <c r="Q54" s="189"/>
      <c r="R54" s="189"/>
      <c r="S54" s="244"/>
      <c r="T54" s="243"/>
      <c r="U54" s="170"/>
      <c r="V54" s="189"/>
      <c r="W54" s="245"/>
      <c r="X54" s="170"/>
    </row>
    <row r="55" spans="2:25" ht="15.75" x14ac:dyDescent="0.25">
      <c r="B55" s="11"/>
      <c r="C55" s="11"/>
      <c r="R55" s="113"/>
    </row>
    <row r="56" spans="2:25" ht="15.75" x14ac:dyDescent="0.25">
      <c r="B56" s="9"/>
      <c r="C56" s="9"/>
      <c r="E56" s="9"/>
      <c r="F56" s="133"/>
      <c r="G56" s="33"/>
      <c r="H56" s="33"/>
      <c r="I56" s="9"/>
      <c r="J56" s="133"/>
      <c r="K56" s="33"/>
      <c r="L56" s="33"/>
      <c r="M56" s="9"/>
      <c r="N56" s="133"/>
      <c r="O56" s="72"/>
      <c r="P56" s="9"/>
      <c r="Q56" s="9"/>
    </row>
    <row r="57" spans="2:25" ht="15.75" x14ac:dyDescent="0.25">
      <c r="B57" s="9"/>
      <c r="C57" s="9"/>
      <c r="E57" s="13"/>
      <c r="F57" s="9"/>
      <c r="G57" s="138"/>
      <c r="I57" s="13"/>
      <c r="J57" s="9"/>
      <c r="K57" s="138"/>
      <c r="L57" s="246"/>
      <c r="M57" s="13"/>
      <c r="N57" s="9"/>
      <c r="O57" s="138"/>
      <c r="P57" s="163"/>
      <c r="Q57" s="163"/>
      <c r="R57" s="247"/>
      <c r="S57" s="91"/>
      <c r="T57" s="113"/>
      <c r="U57" s="93"/>
      <c r="V57" s="93"/>
      <c r="W57" s="92"/>
    </row>
    <row r="58" spans="2:25" ht="15.75" x14ac:dyDescent="0.25">
      <c r="B58" s="9"/>
      <c r="C58" s="9"/>
      <c r="E58" s="13"/>
      <c r="F58" s="9"/>
      <c r="G58" s="138"/>
      <c r="I58" s="13"/>
      <c r="J58" s="9"/>
      <c r="K58" s="138"/>
      <c r="L58" s="246"/>
      <c r="M58" s="13"/>
      <c r="N58" s="9"/>
      <c r="O58" s="138"/>
      <c r="P58" s="163"/>
      <c r="Q58" s="163"/>
      <c r="R58" s="113"/>
      <c r="S58" s="91"/>
      <c r="T58" s="91"/>
      <c r="U58" s="90"/>
      <c r="V58" s="90"/>
      <c r="W58" s="90"/>
    </row>
    <row r="59" spans="2:25" ht="15.75" x14ac:dyDescent="0.25">
      <c r="B59" s="9"/>
      <c r="C59" s="9"/>
      <c r="E59" s="13"/>
      <c r="F59" s="9"/>
      <c r="G59" s="138"/>
      <c r="I59" s="13"/>
      <c r="J59" s="9"/>
      <c r="K59" s="138"/>
      <c r="L59" s="246"/>
      <c r="M59" s="13"/>
      <c r="N59" s="9"/>
      <c r="O59" s="138"/>
      <c r="P59" s="163"/>
      <c r="Q59" s="163"/>
      <c r="R59" s="113"/>
      <c r="S59" s="91"/>
      <c r="T59" s="113"/>
      <c r="U59" s="92"/>
      <c r="V59" s="93"/>
      <c r="W59" s="92"/>
    </row>
    <row r="60" spans="2:25" ht="15.75" x14ac:dyDescent="0.25">
      <c r="B60" s="9"/>
      <c r="C60" s="9"/>
      <c r="E60" s="13"/>
      <c r="F60" s="9"/>
      <c r="G60" s="138"/>
      <c r="I60" s="13"/>
      <c r="J60" s="9"/>
      <c r="K60" s="138"/>
      <c r="L60" s="246"/>
      <c r="M60" s="13"/>
      <c r="N60" s="9"/>
      <c r="O60" s="138"/>
      <c r="P60" s="163"/>
      <c r="Q60" s="163"/>
      <c r="R60" s="113"/>
      <c r="S60" s="91"/>
      <c r="T60" s="113"/>
      <c r="U60" s="92"/>
      <c r="V60" s="93"/>
      <c r="W60" s="92"/>
    </row>
    <row r="61" spans="2:25" ht="15.75" x14ac:dyDescent="0.25">
      <c r="B61" s="9"/>
      <c r="C61" s="9"/>
      <c r="E61" s="13"/>
      <c r="F61" s="9"/>
      <c r="G61" s="138"/>
      <c r="I61" s="13"/>
      <c r="J61" s="9"/>
      <c r="K61" s="138"/>
      <c r="L61" s="246"/>
      <c r="M61" s="13"/>
      <c r="N61" s="9"/>
      <c r="O61" s="138"/>
      <c r="P61" s="163"/>
      <c r="Q61" s="163"/>
      <c r="R61" s="113"/>
      <c r="S61" s="91"/>
      <c r="T61" s="113"/>
      <c r="U61" s="92"/>
      <c r="V61" s="93"/>
      <c r="W61" s="92"/>
    </row>
    <row r="62" spans="2:25" ht="15.75" x14ac:dyDescent="0.25">
      <c r="B62" s="9"/>
      <c r="C62" s="9"/>
      <c r="E62" s="13"/>
      <c r="F62" s="9"/>
      <c r="G62" s="138"/>
      <c r="I62" s="13"/>
      <c r="J62" s="9"/>
      <c r="K62" s="138"/>
      <c r="L62" s="246"/>
      <c r="M62" s="13"/>
      <c r="N62" s="9"/>
      <c r="O62" s="138"/>
      <c r="P62" s="163"/>
      <c r="Q62" s="163"/>
      <c r="R62" s="113"/>
      <c r="S62" s="91"/>
      <c r="T62" s="113"/>
      <c r="U62" s="92"/>
      <c r="V62" s="93"/>
      <c r="W62" s="92"/>
    </row>
    <row r="63" spans="2:25" ht="15.75" x14ac:dyDescent="0.25">
      <c r="B63" s="11"/>
      <c r="C63" s="11"/>
      <c r="D63" s="9"/>
      <c r="E63" s="13"/>
      <c r="F63" s="9"/>
      <c r="G63" s="138"/>
      <c r="I63" s="13"/>
      <c r="J63" s="9"/>
      <c r="K63" s="138"/>
      <c r="L63" s="246"/>
      <c r="M63" s="13"/>
      <c r="N63" s="9"/>
      <c r="O63" s="138"/>
      <c r="P63" s="9"/>
      <c r="Q63" s="9"/>
      <c r="R63" s="113"/>
      <c r="S63" s="506"/>
      <c r="T63" s="506"/>
      <c r="U63" s="91"/>
      <c r="V63" s="90"/>
      <c r="W63" s="90"/>
    </row>
    <row r="64" spans="2:25" ht="15.75" x14ac:dyDescent="0.25">
      <c r="B64" s="11"/>
      <c r="C64" s="11"/>
      <c r="D64" s="9"/>
      <c r="E64" s="13"/>
      <c r="F64" s="9"/>
      <c r="G64" s="138"/>
      <c r="I64" s="13"/>
      <c r="J64" s="9"/>
      <c r="K64" s="138"/>
      <c r="L64" s="246"/>
      <c r="M64" s="13"/>
      <c r="N64" s="9"/>
      <c r="O64" s="138"/>
      <c r="P64" s="9"/>
      <c r="Q64" s="9"/>
      <c r="R64" s="113"/>
      <c r="S64" s="91"/>
      <c r="T64" s="113"/>
      <c r="U64" s="93"/>
      <c r="V64" s="92"/>
      <c r="W64" s="92"/>
    </row>
    <row r="65" spans="2:23" ht="15.75" x14ac:dyDescent="0.25">
      <c r="B65" s="9"/>
      <c r="C65" s="9"/>
      <c r="D65" s="9"/>
      <c r="E65" s="13"/>
      <c r="F65" s="9"/>
      <c r="G65" s="138"/>
      <c r="I65" s="13"/>
      <c r="J65" s="9"/>
      <c r="K65" s="138"/>
      <c r="L65" s="246"/>
      <c r="M65" s="13"/>
      <c r="N65" s="9"/>
      <c r="O65" s="138"/>
      <c r="P65" s="9"/>
      <c r="Q65" s="9"/>
      <c r="R65" s="113"/>
      <c r="S65" s="91"/>
      <c r="T65" s="113"/>
      <c r="U65" s="93"/>
      <c r="V65" s="91"/>
      <c r="W65" s="91"/>
    </row>
    <row r="66" spans="2:23" ht="15.75" x14ac:dyDescent="0.25">
      <c r="B66" s="9"/>
      <c r="C66" s="9"/>
      <c r="D66" s="9"/>
      <c r="E66" s="13"/>
      <c r="F66" s="9"/>
      <c r="G66" s="138"/>
      <c r="H66" s="33"/>
      <c r="I66" s="13"/>
      <c r="J66" s="9"/>
      <c r="K66" s="138"/>
      <c r="L66" s="246"/>
      <c r="M66" s="13"/>
      <c r="N66" s="9"/>
      <c r="O66" s="138"/>
      <c r="P66" s="9"/>
      <c r="Q66" s="9"/>
      <c r="R66" s="113"/>
      <c r="S66" s="91"/>
      <c r="T66" s="113"/>
      <c r="U66" s="92"/>
      <c r="V66" s="91"/>
      <c r="W66" s="91"/>
    </row>
    <row r="67" spans="2:23" ht="15.75" x14ac:dyDescent="0.25">
      <c r="B67" s="9"/>
      <c r="C67" s="9"/>
      <c r="D67" s="9"/>
      <c r="E67" s="13"/>
      <c r="F67" s="9"/>
      <c r="G67" s="138"/>
      <c r="H67" s="33"/>
      <c r="I67" s="13"/>
      <c r="J67" s="9"/>
      <c r="K67" s="138"/>
      <c r="L67" s="246"/>
      <c r="M67" s="13"/>
      <c r="N67" s="9"/>
      <c r="O67" s="138"/>
      <c r="P67" s="9"/>
      <c r="Q67" s="9"/>
      <c r="R67" s="113"/>
      <c r="S67" s="91"/>
      <c r="T67" s="113"/>
      <c r="U67" s="92"/>
      <c r="V67" s="91"/>
      <c r="W67" s="91"/>
    </row>
    <row r="68" spans="2:23" ht="15.75" x14ac:dyDescent="0.25">
      <c r="B68" s="9"/>
      <c r="C68" s="9"/>
      <c r="D68" s="9"/>
      <c r="E68" s="13"/>
      <c r="F68" s="9"/>
      <c r="G68" s="138"/>
      <c r="H68" s="33"/>
      <c r="I68" s="13"/>
      <c r="J68" s="9"/>
      <c r="K68" s="138"/>
      <c r="L68" s="246"/>
      <c r="M68" s="13"/>
      <c r="N68" s="9"/>
      <c r="O68" s="138"/>
      <c r="P68" s="9"/>
      <c r="Q68" s="9"/>
      <c r="R68" s="113"/>
      <c r="S68" s="91"/>
      <c r="T68" s="113"/>
      <c r="U68" s="92"/>
      <c r="V68" s="91"/>
      <c r="W68" s="91"/>
    </row>
    <row r="69" spans="2:23" ht="15.75" x14ac:dyDescent="0.25">
      <c r="B69" s="9"/>
      <c r="C69" s="9"/>
      <c r="D69" s="9"/>
      <c r="R69" s="113"/>
      <c r="S69" s="91"/>
      <c r="T69" s="113"/>
      <c r="U69" s="93"/>
      <c r="V69" s="93"/>
      <c r="W69" s="92"/>
    </row>
    <row r="70" spans="2:23" ht="15.75" x14ac:dyDescent="0.25">
      <c r="B70" s="9"/>
      <c r="C70" s="9"/>
      <c r="D70" s="9"/>
      <c r="J70" s="133"/>
      <c r="K70" s="138"/>
      <c r="N70" s="133"/>
      <c r="O70" s="138"/>
      <c r="R70" s="113"/>
      <c r="S70" s="91"/>
      <c r="T70" s="113"/>
      <c r="U70" s="93"/>
      <c r="V70" s="93"/>
      <c r="W70" s="92"/>
    </row>
    <row r="71" spans="2:23" ht="15.75" x14ac:dyDescent="0.25">
      <c r="B71" s="9"/>
      <c r="C71" s="9"/>
      <c r="D71" s="9"/>
      <c r="G71" s="243"/>
      <c r="H71" s="243"/>
      <c r="I71" s="243"/>
      <c r="J71" s="133"/>
      <c r="L71" s="243"/>
      <c r="M71" s="243"/>
      <c r="N71" s="133"/>
      <c r="P71" s="243"/>
      <c r="Q71" s="243"/>
      <c r="R71" s="243"/>
      <c r="S71" s="113"/>
      <c r="T71" s="93"/>
      <c r="U71" s="90"/>
      <c r="V71" s="90"/>
      <c r="W71" s="90"/>
    </row>
    <row r="72" spans="2:23" ht="15.75" x14ac:dyDescent="0.25">
      <c r="B72" s="9"/>
      <c r="C72" s="9"/>
      <c r="D72" s="9"/>
      <c r="G72" s="243"/>
      <c r="H72" s="243"/>
      <c r="I72" s="243"/>
      <c r="J72" s="9"/>
      <c r="K72" s="200"/>
      <c r="L72" s="243"/>
      <c r="M72" s="243"/>
      <c r="N72" s="9"/>
      <c r="O72" s="200"/>
      <c r="P72" s="243"/>
      <c r="Q72" s="243"/>
      <c r="R72" s="243"/>
      <c r="U72" s="189"/>
      <c r="V72" s="93"/>
      <c r="W72" s="92"/>
    </row>
    <row r="73" spans="2:23" ht="15.75" x14ac:dyDescent="0.25">
      <c r="B73" s="9"/>
      <c r="C73" s="9"/>
      <c r="D73" s="9"/>
      <c r="E73" s="9"/>
      <c r="F73" s="33"/>
      <c r="G73" s="243"/>
      <c r="H73" s="243"/>
      <c r="I73" s="243"/>
      <c r="J73" s="9"/>
      <c r="K73" s="200"/>
      <c r="L73" s="243"/>
      <c r="M73" s="243"/>
      <c r="N73" s="9"/>
      <c r="O73" s="200"/>
      <c r="P73" s="243"/>
      <c r="Q73" s="243"/>
      <c r="R73" s="243"/>
      <c r="S73" s="243"/>
      <c r="T73" s="170"/>
      <c r="U73" s="189"/>
      <c r="V73" s="91"/>
      <c r="W73" s="91"/>
    </row>
    <row r="74" spans="2:23" ht="15.75" x14ac:dyDescent="0.25">
      <c r="B74" s="9"/>
      <c r="C74" s="9"/>
      <c r="D74" s="9"/>
      <c r="G74" s="243"/>
      <c r="H74" s="243"/>
      <c r="I74" s="243"/>
      <c r="J74" s="9"/>
      <c r="K74" s="200"/>
      <c r="L74" s="243"/>
      <c r="M74" s="243"/>
      <c r="N74" s="9"/>
      <c r="O74" s="200"/>
      <c r="P74" s="243"/>
      <c r="Q74" s="243"/>
      <c r="R74" s="243"/>
      <c r="S74" s="243"/>
      <c r="T74" s="170"/>
      <c r="U74" s="189"/>
      <c r="V74" s="93"/>
      <c r="W74" s="92"/>
    </row>
    <row r="75" spans="2:23" ht="15.75" x14ac:dyDescent="0.25">
      <c r="B75" s="9"/>
      <c r="C75" s="9"/>
      <c r="D75" s="9"/>
      <c r="G75" s="243"/>
      <c r="H75" s="243"/>
      <c r="I75" s="243"/>
      <c r="J75" s="9"/>
      <c r="K75" s="200"/>
      <c r="L75" s="243"/>
      <c r="M75" s="243"/>
      <c r="N75" s="9"/>
      <c r="O75" s="200"/>
      <c r="P75" s="243"/>
      <c r="Q75" s="243"/>
      <c r="R75" s="243"/>
      <c r="S75" s="243"/>
      <c r="T75" s="170"/>
      <c r="U75" s="189"/>
      <c r="V75" s="93"/>
      <c r="W75" s="92"/>
    </row>
    <row r="76" spans="2:23" ht="15.75" x14ac:dyDescent="0.25">
      <c r="B76" s="9"/>
      <c r="C76" s="9"/>
      <c r="D76" s="9"/>
      <c r="G76" s="243"/>
      <c r="H76" s="243"/>
      <c r="I76" s="243"/>
      <c r="J76" s="9"/>
      <c r="K76" s="200"/>
      <c r="L76" s="243"/>
      <c r="M76" s="243"/>
      <c r="N76" s="9"/>
      <c r="O76" s="200"/>
      <c r="P76" s="243"/>
      <c r="Q76" s="243"/>
      <c r="R76" s="243"/>
      <c r="S76" s="243"/>
      <c r="T76" s="170"/>
      <c r="U76" s="189"/>
      <c r="V76" s="93"/>
      <c r="W76" s="92"/>
    </row>
    <row r="77" spans="2:23" ht="15.75" x14ac:dyDescent="0.25">
      <c r="B77" s="9"/>
      <c r="C77" s="9"/>
      <c r="D77" s="9"/>
      <c r="G77" s="243"/>
      <c r="H77" s="243"/>
      <c r="I77" s="243"/>
      <c r="J77" s="9"/>
      <c r="K77" s="200"/>
      <c r="L77" s="243"/>
      <c r="M77" s="243"/>
      <c r="N77" s="9"/>
      <c r="O77" s="200"/>
      <c r="P77" s="243"/>
      <c r="Q77" s="243"/>
      <c r="R77" s="243"/>
      <c r="S77" s="243"/>
      <c r="T77" s="170"/>
      <c r="U77" s="189"/>
      <c r="V77" s="93"/>
      <c r="W77" s="93"/>
    </row>
    <row r="78" spans="2:23" ht="15.75" x14ac:dyDescent="0.25">
      <c r="B78" s="9"/>
      <c r="C78" s="9"/>
      <c r="D78" s="9"/>
      <c r="G78" s="243"/>
      <c r="H78" s="243"/>
      <c r="I78" s="243"/>
      <c r="J78" s="243"/>
      <c r="K78" s="243"/>
      <c r="L78" s="243"/>
      <c r="M78" s="243"/>
      <c r="N78" s="243"/>
      <c r="O78" s="243"/>
      <c r="P78" s="243"/>
      <c r="Q78" s="243"/>
      <c r="R78" s="243"/>
      <c r="S78" s="243"/>
      <c r="T78" s="170"/>
      <c r="U78" s="189"/>
      <c r="V78" s="93"/>
      <c r="W78" s="93"/>
    </row>
    <row r="79" spans="2:23" ht="15.75" x14ac:dyDescent="0.25">
      <c r="B79" s="9"/>
      <c r="C79" s="9"/>
      <c r="D79" s="9"/>
      <c r="G79" s="243"/>
      <c r="H79" s="243"/>
      <c r="I79" s="243"/>
      <c r="J79" s="243"/>
      <c r="K79" s="243"/>
      <c r="L79" s="243"/>
      <c r="M79" s="243"/>
      <c r="N79" s="243"/>
      <c r="O79" s="243"/>
      <c r="P79" s="243"/>
      <c r="Q79" s="243"/>
      <c r="R79" s="243"/>
      <c r="S79" s="243"/>
      <c r="T79" s="170"/>
      <c r="U79" s="189"/>
      <c r="V79" s="90"/>
      <c r="W79" s="90"/>
    </row>
    <row r="80" spans="2:23" ht="15.75" x14ac:dyDescent="0.25">
      <c r="B80" s="9"/>
      <c r="C80" s="9"/>
      <c r="D80" s="9"/>
      <c r="G80" s="243"/>
      <c r="H80" s="243"/>
      <c r="I80" s="243"/>
      <c r="J80" s="243"/>
      <c r="K80" s="243"/>
      <c r="L80" s="243"/>
      <c r="M80" s="243"/>
      <c r="N80" s="243"/>
      <c r="O80" s="243"/>
      <c r="P80" s="243"/>
      <c r="Q80" s="243"/>
      <c r="R80" s="243"/>
      <c r="V80" s="93"/>
      <c r="W80" s="92"/>
    </row>
    <row r="81" spans="2:23" ht="15.75" x14ac:dyDescent="0.25">
      <c r="B81" s="9"/>
      <c r="C81" s="9"/>
      <c r="D81" s="9"/>
      <c r="G81" s="167"/>
      <c r="H81" s="167"/>
      <c r="I81" s="167"/>
      <c r="J81" s="167"/>
      <c r="K81" s="167"/>
      <c r="L81" s="167"/>
      <c r="M81" s="167"/>
      <c r="N81" s="167"/>
      <c r="O81" s="167"/>
      <c r="P81" s="167"/>
      <c r="Q81" s="167"/>
      <c r="R81" s="167"/>
      <c r="S81" s="91"/>
      <c r="T81" s="91"/>
      <c r="U81" s="91"/>
      <c r="V81" s="91"/>
      <c r="W81" s="91"/>
    </row>
    <row r="82" spans="2:23" ht="15.75" x14ac:dyDescent="0.25">
      <c r="B82" s="9"/>
      <c r="C82" s="9"/>
      <c r="D82" s="9"/>
      <c r="E82" s="9"/>
      <c r="F82" s="33"/>
      <c r="G82" s="167"/>
      <c r="H82" s="167"/>
      <c r="I82" s="167"/>
      <c r="J82" s="167"/>
      <c r="K82" s="167"/>
      <c r="L82" s="167"/>
      <c r="M82" s="167"/>
      <c r="N82" s="167"/>
      <c r="O82" s="167"/>
      <c r="P82" s="167"/>
      <c r="Q82" s="167"/>
      <c r="R82" s="167"/>
      <c r="S82" s="91"/>
      <c r="T82" s="91"/>
      <c r="U82" s="90"/>
      <c r="V82" s="91"/>
      <c r="W82" s="91"/>
    </row>
    <row r="83" spans="2:23" ht="15.75" x14ac:dyDescent="0.25">
      <c r="B83" s="9"/>
      <c r="C83" s="9"/>
      <c r="D83" s="9"/>
      <c r="E83" s="9"/>
      <c r="F83" s="33"/>
      <c r="G83" s="167"/>
      <c r="H83" s="167"/>
      <c r="I83" s="167"/>
      <c r="J83" s="167"/>
      <c r="K83" s="167"/>
      <c r="L83" s="167"/>
      <c r="M83" s="167"/>
      <c r="N83" s="167"/>
      <c r="O83" s="167"/>
      <c r="P83" s="167"/>
      <c r="Q83" s="167"/>
      <c r="R83" s="167"/>
      <c r="S83" s="113"/>
      <c r="T83" s="91"/>
      <c r="U83" s="92"/>
      <c r="V83" s="92"/>
      <c r="W83" s="92"/>
    </row>
    <row r="84" spans="2:23" ht="15.75" x14ac:dyDescent="0.25">
      <c r="B84" s="9"/>
      <c r="C84" s="9"/>
      <c r="D84" s="9"/>
      <c r="E84" s="9"/>
      <c r="F84" s="33"/>
      <c r="G84" s="167"/>
      <c r="H84" s="167"/>
      <c r="I84" s="167"/>
      <c r="J84" s="167"/>
      <c r="K84" s="167"/>
      <c r="L84" s="167"/>
      <c r="M84" s="167"/>
      <c r="N84" s="167"/>
      <c r="O84" s="167"/>
      <c r="P84" s="167"/>
      <c r="Q84" s="167"/>
      <c r="R84" s="167"/>
      <c r="S84" s="9"/>
      <c r="T84" s="91"/>
      <c r="U84" s="9"/>
      <c r="V84" s="90"/>
      <c r="W84" s="90"/>
    </row>
    <row r="85" spans="2:23" ht="15.75" x14ac:dyDescent="0.25">
      <c r="B85" s="9"/>
      <c r="C85" s="9"/>
      <c r="D85" s="9"/>
      <c r="G85" s="167"/>
      <c r="H85" s="167"/>
      <c r="I85" s="167"/>
      <c r="J85" s="167"/>
      <c r="K85" s="167"/>
      <c r="L85" s="167"/>
      <c r="M85" s="167"/>
      <c r="N85" s="167"/>
      <c r="O85" s="167"/>
      <c r="P85" s="167"/>
      <c r="Q85" s="167"/>
      <c r="R85" s="167"/>
      <c r="T85" s="91"/>
      <c r="V85" s="91"/>
      <c r="W85" s="91"/>
    </row>
    <row r="86" spans="2:23" ht="15.75" x14ac:dyDescent="0.25">
      <c r="B86" s="9"/>
      <c r="C86" s="9"/>
      <c r="D86" s="9"/>
      <c r="G86" s="167"/>
      <c r="H86" s="167"/>
      <c r="I86" s="167"/>
      <c r="J86" s="167"/>
      <c r="K86" s="167"/>
      <c r="L86" s="167"/>
      <c r="M86" s="167"/>
      <c r="N86" s="167"/>
      <c r="O86" s="167"/>
      <c r="P86" s="167"/>
      <c r="Q86" s="167"/>
      <c r="R86" s="167"/>
      <c r="T86" s="91"/>
      <c r="V86" s="91"/>
      <c r="W86" s="91"/>
    </row>
    <row r="87" spans="2:23" ht="15.75" x14ac:dyDescent="0.25">
      <c r="B87" s="9"/>
      <c r="C87" s="9"/>
      <c r="D87" s="9"/>
      <c r="G87" s="167"/>
      <c r="H87" s="167"/>
      <c r="I87" s="167"/>
      <c r="J87" s="167"/>
      <c r="K87" s="167"/>
      <c r="L87" s="167"/>
      <c r="M87" s="167"/>
      <c r="N87" s="167"/>
      <c r="O87" s="167"/>
      <c r="P87" s="167"/>
      <c r="Q87" s="167"/>
      <c r="R87" s="167"/>
      <c r="T87" s="91"/>
      <c r="V87" s="91"/>
      <c r="W87" s="91"/>
    </row>
    <row r="88" spans="2:23" ht="15.75" x14ac:dyDescent="0.25">
      <c r="B88" s="9"/>
      <c r="C88" s="9"/>
      <c r="D88" s="9"/>
      <c r="G88" s="167"/>
      <c r="H88" s="167"/>
      <c r="I88" s="167"/>
      <c r="J88" s="167"/>
      <c r="K88" s="167"/>
      <c r="L88" s="167"/>
      <c r="M88" s="167"/>
      <c r="N88" s="167"/>
      <c r="O88" s="167"/>
      <c r="P88" s="167"/>
      <c r="Q88" s="167"/>
      <c r="R88" s="167"/>
      <c r="T88" s="91"/>
      <c r="V88" s="90"/>
      <c r="W88" s="90"/>
    </row>
    <row r="89" spans="2:23" ht="15.75" x14ac:dyDescent="0.25">
      <c r="B89" s="9"/>
      <c r="C89" s="9"/>
      <c r="D89" s="9"/>
      <c r="G89" s="167"/>
      <c r="H89" s="167"/>
      <c r="I89" s="167"/>
      <c r="J89" s="167"/>
      <c r="K89" s="167"/>
      <c r="L89" s="167"/>
      <c r="M89" s="167"/>
      <c r="N89" s="167"/>
      <c r="O89" s="167"/>
      <c r="P89" s="167"/>
      <c r="Q89" s="167"/>
      <c r="R89" s="167"/>
      <c r="V89" s="91"/>
      <c r="W89" s="91"/>
    </row>
    <row r="90" spans="2:23" ht="15.75" x14ac:dyDescent="0.25">
      <c r="B90" s="9"/>
      <c r="C90" s="9"/>
      <c r="D90" s="9"/>
      <c r="G90" s="167"/>
      <c r="H90" s="167"/>
      <c r="I90" s="167"/>
      <c r="J90" s="167"/>
      <c r="K90" s="167"/>
      <c r="L90" s="167"/>
      <c r="M90" s="167"/>
      <c r="N90" s="167"/>
      <c r="O90" s="167"/>
      <c r="P90" s="167"/>
      <c r="Q90" s="167"/>
      <c r="R90" s="167"/>
      <c r="V90" s="91"/>
      <c r="W90" s="91"/>
    </row>
    <row r="91" spans="2:23" ht="15.75" x14ac:dyDescent="0.25">
      <c r="B91" s="9"/>
      <c r="C91" s="9"/>
      <c r="D91" s="9"/>
      <c r="G91" s="167"/>
      <c r="H91" s="167"/>
      <c r="I91" s="167"/>
      <c r="J91" s="167"/>
      <c r="K91" s="167"/>
      <c r="L91" s="167"/>
      <c r="M91" s="167"/>
      <c r="N91" s="167"/>
      <c r="O91" s="167"/>
      <c r="P91" s="167"/>
      <c r="Q91" s="167"/>
      <c r="R91" s="167"/>
      <c r="V91" s="90"/>
      <c r="W91" s="90"/>
    </row>
    <row r="92" spans="2:23" ht="15.75" x14ac:dyDescent="0.25">
      <c r="B92" s="9"/>
      <c r="C92" s="9"/>
      <c r="D92" s="9"/>
      <c r="G92" s="167"/>
      <c r="H92" s="167"/>
      <c r="I92" s="167"/>
      <c r="J92" s="167"/>
      <c r="K92" s="167"/>
      <c r="L92" s="167"/>
      <c r="M92" s="167"/>
      <c r="N92" s="167"/>
      <c r="O92" s="167"/>
      <c r="P92" s="167"/>
      <c r="Q92" s="167"/>
      <c r="R92" s="167"/>
      <c r="V92" s="92"/>
      <c r="W92" s="92"/>
    </row>
    <row r="93" spans="2:23" ht="15.75" x14ac:dyDescent="0.25">
      <c r="B93" s="9"/>
      <c r="C93" s="9"/>
      <c r="D93" s="9"/>
      <c r="G93" s="167"/>
      <c r="H93" s="167"/>
      <c r="I93" s="167"/>
      <c r="J93" s="167"/>
      <c r="K93" s="167"/>
      <c r="L93" s="167"/>
      <c r="M93" s="167"/>
      <c r="N93" s="167"/>
      <c r="O93" s="167"/>
      <c r="P93" s="167"/>
      <c r="Q93" s="167"/>
      <c r="R93" s="167"/>
      <c r="V93" s="9"/>
      <c r="W93" s="9"/>
    </row>
    <row r="94" spans="2:23" ht="15.75" x14ac:dyDescent="0.25">
      <c r="B94" s="9"/>
      <c r="C94" s="9"/>
      <c r="D94" s="9"/>
      <c r="G94" s="167"/>
      <c r="H94" s="167"/>
      <c r="I94" s="167"/>
      <c r="J94" s="167"/>
      <c r="K94" s="167"/>
      <c r="L94" s="167"/>
      <c r="M94" s="167"/>
      <c r="N94" s="167"/>
      <c r="O94" s="167"/>
      <c r="P94" s="167"/>
      <c r="Q94" s="167"/>
      <c r="R94" s="167"/>
    </row>
    <row r="95" spans="2:23" x14ac:dyDescent="0.25">
      <c r="G95" s="167"/>
      <c r="H95" s="167"/>
      <c r="I95" s="167"/>
      <c r="J95" s="167"/>
      <c r="K95" s="167"/>
      <c r="L95" s="167"/>
      <c r="M95" s="167"/>
      <c r="N95" s="167"/>
      <c r="O95" s="167"/>
      <c r="P95" s="167"/>
      <c r="Q95" s="167"/>
      <c r="R95" s="167"/>
    </row>
  </sheetData>
  <mergeCells count="7">
    <mergeCell ref="S63:T63"/>
    <mergeCell ref="B1:V1"/>
    <mergeCell ref="G14:R14"/>
    <mergeCell ref="G8:R8"/>
    <mergeCell ref="G4:R4"/>
    <mergeCell ref="F22:I22"/>
    <mergeCell ref="N22:Q2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83AD-E806-43DC-9892-F21293E79E0B}">
  <sheetPr codeName="Sheet13">
    <tabColor theme="8" tint="0.59999389629810485"/>
  </sheetPr>
  <dimension ref="A1:W65"/>
  <sheetViews>
    <sheetView workbookViewId="0">
      <selection activeCell="B52" sqref="B52:C52"/>
    </sheetView>
  </sheetViews>
  <sheetFormatPr defaultColWidth="8.7109375" defaultRowHeight="15" x14ac:dyDescent="0.25"/>
  <cols>
    <col min="1" max="1" width="7.42578125" style="38" customWidth="1"/>
    <col min="2" max="2" width="14.42578125" style="38" customWidth="1"/>
    <col min="3" max="4" width="13" style="38" customWidth="1"/>
    <col min="5" max="5" width="15.5703125" style="38" customWidth="1"/>
    <col min="6" max="6" width="13.5703125" style="38" customWidth="1"/>
    <col min="7" max="7" width="13.7109375" style="38" customWidth="1"/>
    <col min="8" max="8" width="14" style="38" customWidth="1"/>
    <col min="9" max="9" width="15" style="38" customWidth="1"/>
    <col min="10" max="10" width="14" style="38" customWidth="1"/>
    <col min="11" max="12" width="13" style="38" customWidth="1"/>
    <col min="13" max="13" width="14" style="38" customWidth="1"/>
    <col min="14" max="14" width="18.7109375" style="38" bestFit="1" customWidth="1"/>
    <col min="15" max="15" width="12.5703125" style="38" bestFit="1" customWidth="1"/>
    <col min="16" max="16" width="13.42578125" style="38" bestFit="1" customWidth="1"/>
    <col min="17" max="17" width="13" style="38" bestFit="1" customWidth="1"/>
    <col min="18" max="18" width="13.42578125" style="38" bestFit="1" customWidth="1"/>
    <col min="19" max="19" width="13" style="38" bestFit="1" customWidth="1"/>
    <col min="20" max="20" width="18.5703125" style="38" bestFit="1" customWidth="1"/>
    <col min="21" max="21" width="9.7109375" style="38" bestFit="1" customWidth="1"/>
    <col min="22" max="16384" width="8.7109375" style="38"/>
  </cols>
  <sheetData>
    <row r="1" spans="1:23"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1:23" x14ac:dyDescent="0.25">
      <c r="A2" s="37"/>
      <c r="B2" s="525"/>
      <c r="C2" s="525"/>
      <c r="D2" s="525"/>
      <c r="F2" s="37"/>
    </row>
    <row r="3" spans="1:23" x14ac:dyDescent="0.25">
      <c r="E3" s="526" t="s">
        <v>486</v>
      </c>
      <c r="F3" s="526"/>
      <c r="G3" s="526"/>
      <c r="H3" s="526"/>
      <c r="I3" s="526"/>
      <c r="J3" s="526"/>
      <c r="K3" s="128"/>
      <c r="M3" s="117"/>
    </row>
    <row r="4" spans="1:23" ht="15.75" customHeight="1" x14ac:dyDescent="0.25">
      <c r="D4" s="9"/>
      <c r="E4" s="28">
        <f>'Bill Impact (GS1)'!E4</f>
        <v>2026</v>
      </c>
      <c r="F4" s="29">
        <f>'Bill Impact (GS1)'!F4</f>
        <v>46174</v>
      </c>
      <c r="G4" s="28" t="s">
        <v>431</v>
      </c>
      <c r="H4" s="28" t="s">
        <v>431</v>
      </c>
      <c r="I4" s="28"/>
      <c r="J4" s="28"/>
      <c r="K4" s="33"/>
    </row>
    <row r="5" spans="1:23" ht="30.75" customHeight="1" x14ac:dyDescent="0.25">
      <c r="D5" s="9"/>
      <c r="E5" s="28" t="s">
        <v>10</v>
      </c>
      <c r="F5" s="28" t="s">
        <v>432</v>
      </c>
      <c r="G5" s="28" t="s">
        <v>432</v>
      </c>
      <c r="H5" s="28" t="s">
        <v>522</v>
      </c>
      <c r="I5" s="28"/>
      <c r="J5" s="28"/>
      <c r="K5" s="10"/>
      <c r="L5" s="69"/>
      <c r="M5" s="69"/>
    </row>
    <row r="6" spans="1:23" ht="42" customHeight="1" x14ac:dyDescent="0.25">
      <c r="B6" s="21"/>
      <c r="D6" s="21"/>
      <c r="E6" s="9"/>
      <c r="F6" s="9"/>
      <c r="I6" s="33"/>
      <c r="J6" s="33"/>
      <c r="K6" s="33"/>
    </row>
    <row r="7" spans="1:23" ht="15.75" x14ac:dyDescent="0.25">
      <c r="D7" s="218" t="s">
        <v>487</v>
      </c>
      <c r="E7" s="102">
        <f>'Bill Impact (GS1)'!F44</f>
        <v>247.53491121498919</v>
      </c>
      <c r="F7" s="23">
        <f>'Bill Impact (GS1)'!F7</f>
        <v>0.64825999999999995</v>
      </c>
      <c r="G7" s="31">
        <f>F7/$F$12*$G$12</f>
        <v>0.64825999999999995</v>
      </c>
      <c r="H7" s="30">
        <f t="shared" ref="H7:H12" si="0">E7*G7</f>
        <v>160.46698154422887</v>
      </c>
      <c r="I7" s="31"/>
      <c r="J7" s="30"/>
      <c r="K7" s="153"/>
      <c r="N7" s="43" t="s">
        <v>488</v>
      </c>
      <c r="O7" s="219"/>
    </row>
    <row r="8" spans="1:23" ht="15.75" x14ac:dyDescent="0.25">
      <c r="D8" s="25" t="s">
        <v>489</v>
      </c>
      <c r="E8" s="102">
        <f>'Bill Impact (GS1)'!F45</f>
        <v>87.88773548127017</v>
      </c>
      <c r="F8" s="23">
        <f>'Bill Impact (GS1)'!F8</f>
        <v>0.33690999999999999</v>
      </c>
      <c r="G8" s="31">
        <f t="shared" ref="G8:G10" si="1">F8/$F$12*$G$12</f>
        <v>0.33690999999999999</v>
      </c>
      <c r="H8" s="30">
        <f t="shared" si="0"/>
        <v>29.610256960994732</v>
      </c>
      <c r="I8" s="31"/>
      <c r="J8" s="30"/>
      <c r="K8" s="153"/>
      <c r="N8" s="43" t="s">
        <v>518</v>
      </c>
      <c r="O8" s="47">
        <f>SUMPRODUCT(E7:E12,F7:F12)+(E14*F14*365/12/10^6)</f>
        <v>1169.1840806545845</v>
      </c>
    </row>
    <row r="9" spans="1:23" ht="15.75" x14ac:dyDescent="0.25">
      <c r="D9" s="218" t="s">
        <v>490</v>
      </c>
      <c r="E9" s="102">
        <f>'Bill Impact (GS1)'!F46</f>
        <v>1098.8771247106631</v>
      </c>
      <c r="F9" s="23">
        <f>'Bill Impact (GS1)'!F9</f>
        <v>0.25056</v>
      </c>
      <c r="G9" s="31">
        <f t="shared" si="1"/>
        <v>0.25056</v>
      </c>
      <c r="H9" s="30">
        <f t="shared" si="0"/>
        <v>275.33465236750374</v>
      </c>
      <c r="I9" s="31"/>
      <c r="J9" s="30"/>
      <c r="K9" s="153"/>
      <c r="N9" s="43" t="s">
        <v>519</v>
      </c>
      <c r="O9" s="47">
        <f>'SAR and AR (GS1) (2)'!S16/1000-'SAR and AR (GS1) (2)'!S19/1000</f>
        <v>0</v>
      </c>
    </row>
    <row r="10" spans="1:23" ht="15.75" x14ac:dyDescent="0.25">
      <c r="D10" s="25" t="s">
        <v>489</v>
      </c>
      <c r="E10" s="102">
        <f>'Bill Impact (GS1)'!F47</f>
        <v>551.54616942859298</v>
      </c>
      <c r="F10" s="23">
        <f>'Bill Impact (GS1)'!F10</f>
        <v>0.39539000000000002</v>
      </c>
      <c r="G10" s="31">
        <f t="shared" si="1"/>
        <v>0.39539000000000002</v>
      </c>
      <c r="H10" s="30">
        <f t="shared" si="0"/>
        <v>218.07583993037139</v>
      </c>
      <c r="I10" s="31"/>
      <c r="J10" s="30"/>
      <c r="K10" s="153"/>
      <c r="N10" s="43" t="s">
        <v>520</v>
      </c>
      <c r="O10" s="47">
        <f>SUM(O8:O9)</f>
        <v>1169.1840806545845</v>
      </c>
    </row>
    <row r="11" spans="1:23" ht="15.75" x14ac:dyDescent="0.25">
      <c r="D11" s="218" t="s">
        <v>490</v>
      </c>
      <c r="E11" s="102">
        <f>'Bill Impact (GS1)'!F48</f>
        <v>931.6695149035238</v>
      </c>
      <c r="F11" s="23">
        <f>'Bill Impact (GS1)'!F11</f>
        <v>0.26504</v>
      </c>
      <c r="G11" s="31">
        <f>F11/$F$12*$G$12</f>
        <v>0.26504</v>
      </c>
      <c r="H11" s="30">
        <f t="shared" si="0"/>
        <v>246.92968823002994</v>
      </c>
      <c r="I11" s="31"/>
      <c r="J11" s="30"/>
      <c r="K11" s="153"/>
      <c r="O11" s="47">
        <f>O10-SUM(H7:H14)</f>
        <v>0</v>
      </c>
    </row>
    <row r="12" spans="1:23" ht="15.75" x14ac:dyDescent="0.25">
      <c r="D12" s="25" t="s">
        <v>491</v>
      </c>
      <c r="E12" s="102">
        <f>'Bill Impact (GS1)'!F49</f>
        <v>923.75517588817581</v>
      </c>
      <c r="F12" s="23">
        <f>'Bill Impact (GS1)'!F12</f>
        <v>0.19445000000000001</v>
      </c>
      <c r="G12" s="31">
        <f>(O10-G14*E14*365/12/10^6)/SUM(E12,F11/F12*E11,F10/F12*E10,F9/F12*E9,F8/F12*E8,F7/F12*E7)</f>
        <v>0.19445000000000001</v>
      </c>
      <c r="H12" s="30">
        <f t="shared" si="0"/>
        <v>179.62419395145579</v>
      </c>
      <c r="I12" s="31"/>
      <c r="J12" s="30"/>
      <c r="K12" s="153"/>
    </row>
    <row r="13" spans="1:23" ht="15.75" x14ac:dyDescent="0.25">
      <c r="D13" s="25"/>
      <c r="E13" s="102"/>
      <c r="F13" s="23"/>
      <c r="G13" s="9"/>
      <c r="H13" s="26"/>
      <c r="I13" s="9"/>
      <c r="J13" s="26"/>
      <c r="K13" s="24"/>
    </row>
    <row r="14" spans="1:23" ht="15.75" x14ac:dyDescent="0.25">
      <c r="D14" s="25" t="s">
        <v>474</v>
      </c>
      <c r="E14" s="139">
        <f>'Bill Impact (GS1)'!F51</f>
        <v>4154722</v>
      </c>
      <c r="F14" s="142">
        <v>0.46800000000000003</v>
      </c>
      <c r="G14" s="142">
        <f>F14</f>
        <v>0.46800000000000003</v>
      </c>
      <c r="H14" s="68">
        <f>G14*E14*365/12/10^6</f>
        <v>59.142467670000009</v>
      </c>
      <c r="I14" s="142"/>
      <c r="J14" s="68"/>
      <c r="K14" s="153"/>
    </row>
    <row r="15" spans="1:23" ht="15.75" x14ac:dyDescent="0.25">
      <c r="D15" s="27"/>
      <c r="E15" s="139"/>
      <c r="F15" s="142"/>
      <c r="G15" s="142"/>
      <c r="H15" s="68"/>
      <c r="I15" s="142"/>
      <c r="J15" s="68"/>
      <c r="K15" s="153"/>
    </row>
    <row r="16" spans="1:23" ht="15.75" x14ac:dyDescent="0.25">
      <c r="K16" s="153"/>
    </row>
    <row r="17" spans="2:21" ht="15.75" x14ac:dyDescent="0.25">
      <c r="H17" s="46"/>
      <c r="J17" s="46"/>
      <c r="K17" s="153"/>
    </row>
    <row r="18" spans="2:21" ht="15.75" x14ac:dyDescent="0.25">
      <c r="K18" s="153"/>
    </row>
    <row r="19" spans="2:21" ht="15.75" x14ac:dyDescent="0.25">
      <c r="B19" s="48"/>
      <c r="K19" s="153"/>
      <c r="N19" s="38" t="str">
        <f>'Bill Impact (GS1)'!N19</f>
        <v>2025 Recorded Data</v>
      </c>
      <c r="T19" s="155"/>
    </row>
    <row r="20" spans="2:21" x14ac:dyDescent="0.25">
      <c r="B20" s="49" t="s">
        <v>493</v>
      </c>
      <c r="C20" s="49"/>
      <c r="F20" s="51"/>
      <c r="H20" s="179"/>
      <c r="I20" s="527"/>
      <c r="J20" s="527"/>
      <c r="K20" s="527"/>
      <c r="L20" s="527"/>
      <c r="M20" s="49"/>
      <c r="N20" s="63" t="s">
        <v>494</v>
      </c>
      <c r="O20" s="220" t="s">
        <v>454</v>
      </c>
      <c r="P20" s="221"/>
      <c r="Q20" s="222"/>
      <c r="R20" s="220" t="s">
        <v>455</v>
      </c>
      <c r="S20" s="221"/>
      <c r="T20" s="222"/>
    </row>
    <row r="21" spans="2:21" x14ac:dyDescent="0.25">
      <c r="B21" s="52" t="s">
        <v>432</v>
      </c>
      <c r="C21" s="71" t="str">
        <f>'Bill Impact (GS1)'!C21</f>
        <v>Jan 2026</v>
      </c>
      <c r="D21" s="71">
        <f>Summary!N3</f>
        <v>46174</v>
      </c>
      <c r="E21" s="53" t="s">
        <v>431</v>
      </c>
      <c r="F21" s="53"/>
      <c r="N21" s="39"/>
      <c r="O21" s="223" t="s">
        <v>495</v>
      </c>
      <c r="P21" s="223" t="s">
        <v>496</v>
      </c>
      <c r="Q21" s="216" t="s">
        <v>497</v>
      </c>
      <c r="R21" s="223" t="s">
        <v>496</v>
      </c>
      <c r="S21" s="216" t="s">
        <v>497</v>
      </c>
      <c r="T21" s="223" t="s">
        <v>498</v>
      </c>
      <c r="U21" s="223" t="s">
        <v>499</v>
      </c>
    </row>
    <row r="22" spans="2:21" x14ac:dyDescent="0.25">
      <c r="B22" s="55" t="s">
        <v>487</v>
      </c>
      <c r="C22" s="100">
        <f>'Bill Impact (GS1)'!C22</f>
        <v>0.64774999999999994</v>
      </c>
      <c r="D22" s="100">
        <f>F7</f>
        <v>0.64825999999999995</v>
      </c>
      <c r="E22" s="56">
        <f>G7</f>
        <v>0.64825999999999995</v>
      </c>
      <c r="F22" s="56"/>
      <c r="I22" s="47"/>
      <c r="J22" s="47"/>
      <c r="K22" s="47"/>
      <c r="L22" s="47"/>
      <c r="M22" s="47"/>
      <c r="N22" s="224" t="s">
        <v>82</v>
      </c>
      <c r="O22" s="226">
        <f>'Bill Impact (GS1)'!O22</f>
        <v>463.27078776320599</v>
      </c>
      <c r="P22" s="226">
        <f>'Bill Impact (GS1)'!P22</f>
        <v>187.44613581719747</v>
      </c>
      <c r="Q22" s="226">
        <f>'Bill Impact (GS1)'!Q22</f>
        <v>2273.2575645648699</v>
      </c>
      <c r="R22" s="226">
        <f>'Bill Impact (GS1)'!R22</f>
        <v>1288.8993306423179</v>
      </c>
      <c r="S22" s="226">
        <f>'Bill Impact (GS1)'!S22</f>
        <v>2637.8399982907022</v>
      </c>
      <c r="T22" s="226">
        <f>'Bill Impact (GS1)'!T22</f>
        <v>1549.457052679425</v>
      </c>
      <c r="U22" s="226">
        <f>SUM(O22:T22)</f>
        <v>8400.1708697577196</v>
      </c>
    </row>
    <row r="23" spans="2:21" x14ac:dyDescent="0.25">
      <c r="B23" s="55" t="s">
        <v>489</v>
      </c>
      <c r="C23" s="100">
        <f>'Bill Impact (GS1)'!C23</f>
        <v>0.33639999999999998</v>
      </c>
      <c r="D23" s="100">
        <f t="shared" ref="D23:E27" si="2">F8</f>
        <v>0.33690999999999999</v>
      </c>
      <c r="E23" s="56">
        <f t="shared" si="2"/>
        <v>0.33690999999999999</v>
      </c>
      <c r="F23" s="56"/>
      <c r="I23" s="47"/>
      <c r="J23" s="47"/>
      <c r="K23" s="47"/>
      <c r="L23" s="47"/>
      <c r="M23" s="47"/>
      <c r="N23" s="224" t="s">
        <v>83</v>
      </c>
      <c r="O23" s="175">
        <f>'Bill Impact (GS1)'!O23</f>
        <v>815.56341446505189</v>
      </c>
      <c r="P23" s="175">
        <f>'Bill Impact (GS1)'!P23</f>
        <v>214.74360772538921</v>
      </c>
      <c r="Q23" s="175">
        <f>'Bill Impact (GS1)'!Q23</f>
        <v>3678.292013950585</v>
      </c>
      <c r="R23" s="175">
        <f>'Bill Impact (GS1)'!R23</f>
        <v>1417.8310462236172</v>
      </c>
      <c r="S23" s="175">
        <f>'Bill Impact (GS1)'!S23</f>
        <v>1998.9254996332891</v>
      </c>
      <c r="T23" s="175">
        <f>'Bill Impact (GS1)'!T23</f>
        <v>3531.6128088817536</v>
      </c>
      <c r="U23" s="175">
        <f t="shared" ref="U23:U24" si="3">SUM(O23:T23)</f>
        <v>11656.968390879685</v>
      </c>
    </row>
    <row r="24" spans="2:21" x14ac:dyDescent="0.25">
      <c r="B24" s="55" t="s">
        <v>490</v>
      </c>
      <c r="C24" s="100">
        <f>'Bill Impact (GS1)'!C24</f>
        <v>0.25139999999999996</v>
      </c>
      <c r="D24" s="100">
        <f t="shared" si="2"/>
        <v>0.25056</v>
      </c>
      <c r="E24" s="56">
        <f t="shared" si="2"/>
        <v>0.25056</v>
      </c>
      <c r="F24" s="56"/>
      <c r="I24" s="47"/>
      <c r="J24" s="47"/>
      <c r="K24" s="47"/>
      <c r="L24" s="47"/>
      <c r="M24" s="47"/>
      <c r="N24" s="228" t="s">
        <v>84</v>
      </c>
      <c r="O24" s="96">
        <f>'Bill Impact (GS1)'!O24</f>
        <v>2442.4663784525833</v>
      </c>
      <c r="P24" s="96">
        <f>'Bill Impact (GS1)'!P24</f>
        <v>1069.081042702531</v>
      </c>
      <c r="Q24" s="96">
        <f>'Bill Impact (GS1)'!Q24</f>
        <v>9593.6749899077295</v>
      </c>
      <c r="R24" s="96">
        <f>'Bill Impact (GS1)'!R24</f>
        <v>5256.4964266891475</v>
      </c>
      <c r="S24" s="96">
        <f>'Bill Impact (GS1)'!S24</f>
        <v>6812.0649747699763</v>
      </c>
      <c r="T24" s="96">
        <f>'Bill Impact (GS1)'!T24</f>
        <v>8251.5095430137426</v>
      </c>
      <c r="U24" s="96">
        <f t="shared" si="3"/>
        <v>33425.293355535709</v>
      </c>
    </row>
    <row r="25" spans="2:21" x14ac:dyDescent="0.25">
      <c r="B25" s="43" t="s">
        <v>489</v>
      </c>
      <c r="C25" s="100">
        <f>'Bill Impact (GS1)'!C25</f>
        <v>0.39488000000000001</v>
      </c>
      <c r="D25" s="100">
        <f t="shared" si="2"/>
        <v>0.39539000000000002</v>
      </c>
      <c r="E25" s="230">
        <f t="shared" si="2"/>
        <v>0.39539000000000002</v>
      </c>
      <c r="F25" s="230"/>
      <c r="I25" s="47"/>
      <c r="J25" s="47"/>
      <c r="K25" s="47"/>
      <c r="L25" s="47"/>
      <c r="M25" s="47"/>
    </row>
    <row r="26" spans="2:21" x14ac:dyDescent="0.25">
      <c r="B26" s="43" t="s">
        <v>490</v>
      </c>
      <c r="C26" s="100">
        <f>'Bill Impact (GS1)'!C26</f>
        <v>0.26588000000000001</v>
      </c>
      <c r="D26" s="100">
        <f t="shared" si="2"/>
        <v>0.26504</v>
      </c>
      <c r="E26" s="230">
        <f t="shared" si="2"/>
        <v>0.26504</v>
      </c>
      <c r="F26" s="230"/>
      <c r="I26" s="47"/>
      <c r="J26" s="47"/>
      <c r="K26" s="47"/>
      <c r="L26" s="47"/>
      <c r="M26" s="47"/>
    </row>
    <row r="27" spans="2:21" x14ac:dyDescent="0.25">
      <c r="B27" s="43" t="s">
        <v>500</v>
      </c>
      <c r="C27" s="100">
        <f>'Bill Impact (GS1)'!C27</f>
        <v>0.19592999999999999</v>
      </c>
      <c r="D27" s="100">
        <f t="shared" si="2"/>
        <v>0.19445000000000001</v>
      </c>
      <c r="E27" s="230">
        <f t="shared" si="2"/>
        <v>0.19445000000000001</v>
      </c>
      <c r="F27" s="230"/>
      <c r="I27" s="47"/>
      <c r="J27" s="47"/>
      <c r="K27" s="47"/>
      <c r="L27" s="47"/>
      <c r="M27" s="47"/>
    </row>
    <row r="28" spans="2:21" x14ac:dyDescent="0.25">
      <c r="B28" s="55"/>
      <c r="C28" s="231"/>
      <c r="D28" s="231"/>
      <c r="E28" s="231"/>
      <c r="F28" s="231"/>
      <c r="I28" s="47"/>
      <c r="J28" s="47"/>
      <c r="K28" s="47"/>
      <c r="L28" s="47"/>
      <c r="M28" s="47"/>
    </row>
    <row r="29" spans="2:21" x14ac:dyDescent="0.25">
      <c r="B29" s="55"/>
      <c r="C29" s="231"/>
      <c r="D29" s="231"/>
      <c r="E29" s="231"/>
      <c r="F29" s="231"/>
      <c r="I29" s="47"/>
      <c r="J29" s="47"/>
      <c r="K29" s="47"/>
      <c r="L29" s="47"/>
      <c r="M29" s="47"/>
    </row>
    <row r="30" spans="2:21" x14ac:dyDescent="0.25">
      <c r="B30" s="55"/>
      <c r="C30" s="231"/>
      <c r="D30" s="231"/>
      <c r="E30" s="231"/>
      <c r="F30" s="231"/>
      <c r="I30" s="47"/>
      <c r="J30" s="47"/>
      <c r="K30" s="47"/>
      <c r="L30" s="47"/>
      <c r="M30" s="47"/>
    </row>
    <row r="31" spans="2:21" x14ac:dyDescent="0.25">
      <c r="B31" s="48"/>
      <c r="C31" s="57"/>
      <c r="D31" s="101"/>
      <c r="E31" s="58"/>
      <c r="F31" s="58"/>
    </row>
    <row r="32" spans="2:21" x14ac:dyDescent="0.25">
      <c r="B32" s="48"/>
      <c r="C32" s="43" t="s">
        <v>470</v>
      </c>
      <c r="D32" s="38">
        <v>30.417000000000002</v>
      </c>
      <c r="E32" s="58"/>
      <c r="F32" s="58"/>
      <c r="I32" s="47"/>
    </row>
    <row r="33" spans="1:14" x14ac:dyDescent="0.25">
      <c r="B33" s="48"/>
      <c r="C33" s="57"/>
      <c r="D33" s="57"/>
      <c r="E33" s="58"/>
      <c r="F33" s="58"/>
      <c r="I33" s="47"/>
    </row>
    <row r="34" spans="1:14" ht="19.5" customHeight="1" x14ac:dyDescent="0.25">
      <c r="B34" s="48"/>
      <c r="C34" s="516" t="s">
        <v>501</v>
      </c>
      <c r="D34" s="516"/>
      <c r="E34" s="516"/>
      <c r="F34" s="516"/>
      <c r="G34" s="516"/>
      <c r="H34" s="516"/>
      <c r="I34" s="516"/>
      <c r="J34" s="516"/>
    </row>
    <row r="35" spans="1:14" ht="24" customHeight="1" x14ac:dyDescent="0.25">
      <c r="B35" s="48"/>
      <c r="C35" s="519" t="str">
        <f>C21</f>
        <v>Jan 2026</v>
      </c>
      <c r="D35" s="519"/>
      <c r="E35" s="519">
        <f>D21</f>
        <v>46174</v>
      </c>
      <c r="F35" s="519"/>
      <c r="G35" s="519" t="str">
        <f>E21</f>
        <v>Proposed</v>
      </c>
      <c r="H35" s="519"/>
      <c r="I35" s="524"/>
      <c r="J35" s="519"/>
    </row>
    <row r="36" spans="1:14" x14ac:dyDescent="0.25">
      <c r="B36" s="48"/>
      <c r="C36" s="57" t="s">
        <v>454</v>
      </c>
      <c r="D36" s="57" t="s">
        <v>455</v>
      </c>
      <c r="E36" s="57" t="s">
        <v>454</v>
      </c>
      <c r="F36" s="57" t="s">
        <v>455</v>
      </c>
      <c r="G36" s="57" t="s">
        <v>454</v>
      </c>
      <c r="H36" s="57" t="s">
        <v>455</v>
      </c>
      <c r="I36" s="57"/>
      <c r="J36" s="57"/>
    </row>
    <row r="37" spans="1:14" x14ac:dyDescent="0.25">
      <c r="B37" s="38" t="s">
        <v>82</v>
      </c>
      <c r="C37" s="57">
        <f>SUM(SUM($O$22*$C$22,$P$22*$C$23,$Q$22*$C$24)+SUM($F$14*365/12*4))/4</f>
        <v>247.89437114853254</v>
      </c>
      <c r="D37" s="57">
        <f>SUM(SUM($R$22*$C$25,$S$22*$C$26,$T$22*$C$27)+SUM($F$14*365/12*8))/8</f>
        <v>203.47182334513127</v>
      </c>
      <c r="E37" s="57">
        <f>SUM(SUM($O$22*$D$22,$P$22*$D$23,$Q$22*$D$24)+SUM($F$14*365/12*4))/4</f>
        <v>247.49995346773042</v>
      </c>
      <c r="F37" s="57">
        <f>SUM(SUM($R$22*$D$25,$S$22*$D$26,$T$22*$D$27)+SUM($F$14*365/12*8))/8</f>
        <v>202.99036792289351</v>
      </c>
      <c r="G37" s="57">
        <f>SUM(SUM($O$22*$E$22,$P$22*$E$23,$Q$22*$E$24)+SUM($G$14*365/12*4))/4</f>
        <v>247.49995346773042</v>
      </c>
      <c r="H37" s="57">
        <f>SUM(SUM($R$22*$E$25,$S$22*$E$26,$T$22*$E$27)+SUM($G$14*365/12*8))/8</f>
        <v>202.99036792289351</v>
      </c>
      <c r="I37" s="57"/>
      <c r="J37" s="57"/>
    </row>
    <row r="38" spans="1:14" x14ac:dyDescent="0.25">
      <c r="B38" s="38" t="s">
        <v>83</v>
      </c>
      <c r="C38" s="57">
        <f>SUM(SUM($O$23*$C$22,$P$23*$C$23,$Q$23*$C$24)+SUM($F$14*365/12*4))/4</f>
        <v>395.54589091643379</v>
      </c>
      <c r="D38" s="57">
        <f>SUM(SUM($R$23*$C$25,$S$23*$C$26,$T$23*$C$27)+SUM($F$14*365/12*8))/8</f>
        <v>237.14704162743536</v>
      </c>
      <c r="E38" s="57">
        <f>SUM(SUM($O$23*$D$22,$P$23*$D$23,$Q$23*$D$24)+SUM($F$14*365/12*4))/4</f>
        <v>394.90481373883347</v>
      </c>
      <c r="F38" s="57">
        <f>SUM(SUM($R$23*$D$25,$S$23*$D$26,$T$23*$D$27)+SUM($F$14*365/12*8))/8</f>
        <v>236.37419280952753</v>
      </c>
      <c r="G38" s="57">
        <f>SUM(SUM($O$23*$E$22,$P$23*$E$23,$Q$23*$E$24)+SUM($F$14*365/12*4))/4</f>
        <v>394.90481373883347</v>
      </c>
      <c r="H38" s="57">
        <f>SUM(SUM($R$23*$E$25,$S$23*$E$26,$T$23*$E$27)+SUM($F$14*365/12*8))/8</f>
        <v>236.37419280952753</v>
      </c>
      <c r="I38" s="57"/>
      <c r="J38" s="57"/>
    </row>
    <row r="39" spans="1:14" x14ac:dyDescent="0.25">
      <c r="B39" s="38" t="s">
        <v>84</v>
      </c>
      <c r="C39" s="57">
        <f>SUM(SUM($O$24*$C$22,$P$24*$C$23,$Q$24*$C$24)+SUM($F$14*365/12*4))/4</f>
        <v>1102.6340879676486</v>
      </c>
      <c r="D39" s="57">
        <f>SUM(SUM($R$24*$C$25,$S$24*$C$26,$T$24*$C$27)+SUM($F$14*365/12*8))/8</f>
        <v>702.18442615319179</v>
      </c>
      <c r="E39" s="57">
        <f>SUM(SUM($O$24*$D$22,$P$24*$D$23,$Q$24*$D$24)+SUM($F$14*365/12*4))/4</f>
        <v>1101.0671385159653</v>
      </c>
      <c r="F39" s="57">
        <f>SUM(SUM($R$24*$D$25,$S$24*$D$26,$T$24*$D$27)+SUM($F$14*365/12*8))/8</f>
        <v>700.27773171258491</v>
      </c>
      <c r="G39" s="57">
        <f>SUM(SUM($O$24*$E$22,$P$24*$E$23,$Q$24*$E$24)+SUM($F$14*365/12*4))/4</f>
        <v>1101.0671385159653</v>
      </c>
      <c r="H39" s="57">
        <f>SUM(SUM($R$24*$E$25,$S$24*$E$26,$T$24*$E$27)+SUM($F$14*365/12*8))/8</f>
        <v>700.27773171258491</v>
      </c>
      <c r="I39" s="57"/>
      <c r="J39" s="57"/>
    </row>
    <row r="40" spans="1:14" x14ac:dyDescent="0.25">
      <c r="B40" s="48"/>
    </row>
    <row r="41" spans="1:14" x14ac:dyDescent="0.25">
      <c r="B41" s="48"/>
    </row>
    <row r="42" spans="1:14" x14ac:dyDescent="0.25">
      <c r="B42" s="48"/>
      <c r="D42" s="190"/>
      <c r="E42" s="190"/>
      <c r="F42" s="99"/>
      <c r="G42" s="99"/>
      <c r="H42" s="99"/>
      <c r="I42" s="99"/>
      <c r="J42" s="99"/>
      <c r="K42" s="272"/>
      <c r="L42" s="99"/>
      <c r="M42" s="99"/>
    </row>
    <row r="43" spans="1:14" ht="15" customHeight="1" x14ac:dyDescent="0.25">
      <c r="B43" s="135"/>
      <c r="F43" s="99"/>
      <c r="G43" s="99"/>
      <c r="H43" s="99"/>
      <c r="I43" s="99"/>
      <c r="J43" s="99"/>
      <c r="K43" s="99"/>
      <c r="L43" s="99"/>
      <c r="M43" s="99"/>
      <c r="N43" s="182"/>
    </row>
    <row r="44" spans="1:14" ht="15" customHeight="1" x14ac:dyDescent="0.25">
      <c r="B44" s="135"/>
      <c r="D44" s="218"/>
      <c r="E44" s="22"/>
      <c r="F44" s="102"/>
      <c r="G44" s="102"/>
      <c r="H44" s="102"/>
      <c r="I44" s="102"/>
      <c r="J44" s="102"/>
      <c r="K44" s="102"/>
      <c r="M44" s="102"/>
      <c r="N44" s="156"/>
    </row>
    <row r="45" spans="1:14" ht="15.75" x14ac:dyDescent="0.25">
      <c r="B45" s="50"/>
      <c r="D45" s="25"/>
      <c r="E45" s="25"/>
      <c r="F45" s="102"/>
      <c r="G45" s="102"/>
      <c r="H45" s="102"/>
      <c r="I45" s="102"/>
      <c r="J45" s="102"/>
      <c r="K45" s="102"/>
      <c r="M45" s="102"/>
      <c r="N45" s="156"/>
    </row>
    <row r="46" spans="1:14" s="59" customFormat="1" ht="15.75" x14ac:dyDescent="0.25">
      <c r="A46" s="38"/>
      <c r="B46" s="60"/>
      <c r="D46" s="218"/>
      <c r="E46" s="22"/>
      <c r="F46" s="102"/>
      <c r="G46" s="102"/>
      <c r="H46" s="102"/>
      <c r="I46" s="102"/>
      <c r="J46" s="102"/>
      <c r="K46" s="102"/>
      <c r="L46" s="38"/>
      <c r="M46" s="102"/>
      <c r="N46" s="156"/>
    </row>
    <row r="47" spans="1:14" ht="15.75" x14ac:dyDescent="0.25">
      <c r="B47" s="48"/>
      <c r="D47" s="25"/>
      <c r="E47" s="25"/>
      <c r="F47" s="102"/>
      <c r="G47" s="102"/>
      <c r="H47" s="102"/>
      <c r="I47" s="102"/>
      <c r="J47" s="102"/>
      <c r="K47" s="102"/>
      <c r="M47" s="102"/>
      <c r="N47" s="156"/>
    </row>
    <row r="48" spans="1:14" ht="15.75" x14ac:dyDescent="0.25">
      <c r="B48" s="48"/>
      <c r="D48" s="218"/>
      <c r="E48" s="22"/>
      <c r="F48" s="102"/>
      <c r="G48" s="102"/>
      <c r="H48" s="102"/>
      <c r="I48" s="102"/>
      <c r="J48" s="102"/>
      <c r="K48" s="102"/>
      <c r="M48" s="102"/>
      <c r="N48" s="156"/>
    </row>
    <row r="49" spans="2:15" ht="15.75" x14ac:dyDescent="0.25">
      <c r="B49" s="48"/>
      <c r="D49" s="25"/>
      <c r="E49" s="25"/>
      <c r="F49" s="102"/>
      <c r="G49" s="102"/>
      <c r="H49" s="102"/>
      <c r="I49" s="102"/>
      <c r="J49" s="102"/>
      <c r="K49" s="102"/>
      <c r="M49" s="102"/>
      <c r="N49" s="156"/>
    </row>
    <row r="50" spans="2:15" ht="15.75" x14ac:dyDescent="0.25">
      <c r="B50" s="48"/>
      <c r="D50" s="25"/>
      <c r="E50" s="25"/>
      <c r="F50" s="102"/>
      <c r="G50" s="102"/>
      <c r="H50" s="102"/>
      <c r="I50" s="102"/>
      <c r="J50" s="102"/>
      <c r="M50" s="102"/>
      <c r="N50" s="156"/>
    </row>
    <row r="51" spans="2:15" ht="15.75" x14ac:dyDescent="0.25">
      <c r="B51" s="48"/>
      <c r="D51" s="25"/>
      <c r="E51" s="25"/>
      <c r="F51" s="139"/>
      <c r="G51" s="139"/>
      <c r="H51" s="139"/>
      <c r="I51" s="139"/>
      <c r="J51" s="139"/>
      <c r="K51" s="139"/>
      <c r="M51" s="139"/>
      <c r="N51" s="156"/>
    </row>
    <row r="52" spans="2:15" ht="15.75" x14ac:dyDescent="0.25">
      <c r="B52" s="48"/>
      <c r="D52" s="27"/>
      <c r="E52" s="27"/>
      <c r="F52" s="139"/>
      <c r="G52" s="139"/>
      <c r="H52" s="139"/>
      <c r="I52" s="139"/>
      <c r="J52" s="139"/>
      <c r="K52" s="139"/>
      <c r="M52" s="139"/>
      <c r="N52" s="156"/>
    </row>
    <row r="53" spans="2:15" x14ac:dyDescent="0.25">
      <c r="B53" s="48"/>
      <c r="C53" s="101"/>
      <c r="D53" s="101"/>
      <c r="E53" s="101"/>
      <c r="F53" s="101"/>
      <c r="G53" s="62"/>
      <c r="H53" s="62"/>
      <c r="N53" s="156"/>
      <c r="O53" s="156"/>
    </row>
    <row r="54" spans="2:15" ht="15.75" x14ac:dyDescent="0.25">
      <c r="B54" s="48"/>
      <c r="C54" s="101"/>
      <c r="D54" s="22"/>
      <c r="E54" s="25"/>
      <c r="F54" s="46"/>
      <c r="G54" s="271"/>
      <c r="H54" s="271"/>
      <c r="I54" s="271"/>
      <c r="J54" s="271"/>
      <c r="K54" s="271"/>
      <c r="M54" s="187"/>
    </row>
    <row r="55" spans="2:15" ht="15.75" x14ac:dyDescent="0.25">
      <c r="B55" s="48"/>
      <c r="C55" s="101"/>
      <c r="D55" s="25"/>
      <c r="E55" s="25"/>
      <c r="F55" s="187"/>
      <c r="G55" s="271"/>
      <c r="H55" s="271"/>
      <c r="I55" s="271"/>
      <c r="J55" s="271"/>
      <c r="K55" s="271"/>
      <c r="M55" s="187"/>
      <c r="N55" s="182"/>
      <c r="O55" s="182"/>
    </row>
    <row r="56" spans="2:15" ht="15.75" x14ac:dyDescent="0.25">
      <c r="B56" s="48"/>
      <c r="C56" s="57"/>
      <c r="D56" s="22"/>
      <c r="E56" s="70"/>
      <c r="F56" s="70"/>
      <c r="G56" s="70"/>
      <c r="H56" s="70"/>
      <c r="I56" s="70"/>
      <c r="J56" s="70"/>
      <c r="K56" s="70"/>
      <c r="L56" s="70"/>
      <c r="M56" s="70"/>
      <c r="N56" s="156"/>
    </row>
    <row r="57" spans="2:15" ht="15.75" x14ac:dyDescent="0.25">
      <c r="B57" s="48"/>
      <c r="C57" s="57"/>
      <c r="D57" s="25"/>
      <c r="E57" s="70"/>
      <c r="F57" s="70"/>
      <c r="G57" s="70"/>
      <c r="H57" s="70"/>
      <c r="I57" s="70"/>
      <c r="J57" s="70"/>
      <c r="K57" s="70"/>
      <c r="L57" s="70"/>
      <c r="M57" s="70"/>
      <c r="N57" s="156"/>
    </row>
    <row r="58" spans="2:15" ht="15.75" x14ac:dyDescent="0.25">
      <c r="B58" s="48"/>
      <c r="C58" s="57"/>
      <c r="D58" s="22"/>
      <c r="E58" s="70"/>
      <c r="F58" s="70"/>
      <c r="G58" s="70"/>
      <c r="H58" s="70"/>
      <c r="I58" s="70"/>
      <c r="J58" s="70"/>
      <c r="K58" s="70"/>
      <c r="L58" s="70"/>
      <c r="M58" s="70"/>
      <c r="N58" s="156"/>
    </row>
    <row r="59" spans="2:15" ht="15.75" x14ac:dyDescent="0.25">
      <c r="B59" s="48"/>
      <c r="C59" s="57"/>
      <c r="D59" s="25"/>
      <c r="E59" s="70"/>
      <c r="F59" s="70"/>
      <c r="G59" s="70"/>
      <c r="H59" s="70"/>
      <c r="I59" s="70"/>
      <c r="J59" s="70"/>
      <c r="K59" s="70"/>
      <c r="L59" s="70"/>
      <c r="M59" s="70"/>
      <c r="N59" s="156"/>
    </row>
    <row r="60" spans="2:15" ht="15.75" x14ac:dyDescent="0.25">
      <c r="B60" s="48"/>
      <c r="C60" s="57"/>
      <c r="D60" s="25"/>
      <c r="E60" s="70"/>
      <c r="F60" s="70"/>
      <c r="G60" s="70"/>
      <c r="H60" s="70"/>
      <c r="I60" s="70"/>
      <c r="J60" s="70"/>
      <c r="K60" s="70"/>
      <c r="L60" s="70"/>
      <c r="M60" s="70"/>
      <c r="N60" s="156"/>
    </row>
    <row r="61" spans="2:15" ht="15.75" x14ac:dyDescent="0.25">
      <c r="B61" s="48"/>
      <c r="C61" s="57"/>
      <c r="D61" s="25"/>
      <c r="E61" s="70"/>
      <c r="F61" s="70"/>
      <c r="G61" s="70"/>
      <c r="H61" s="70"/>
      <c r="I61" s="70"/>
      <c r="J61" s="70"/>
      <c r="K61" s="70"/>
      <c r="L61" s="70"/>
      <c r="M61" s="70"/>
      <c r="N61" s="156"/>
    </row>
    <row r="62" spans="2:15" ht="15.75" x14ac:dyDescent="0.25">
      <c r="D62" s="27"/>
      <c r="E62" s="70"/>
      <c r="F62" s="70"/>
      <c r="G62" s="70"/>
      <c r="H62" s="70"/>
      <c r="I62" s="70"/>
      <c r="J62" s="70"/>
      <c r="K62" s="70"/>
      <c r="L62" s="70"/>
      <c r="M62" s="70"/>
      <c r="N62" s="156"/>
    </row>
    <row r="63" spans="2:15" x14ac:dyDescent="0.25">
      <c r="N63" s="156"/>
    </row>
    <row r="64" spans="2:15" x14ac:dyDescent="0.25">
      <c r="N64" s="156"/>
    </row>
    <row r="65" spans="14:14" x14ac:dyDescent="0.25">
      <c r="N65" s="156"/>
    </row>
  </sheetData>
  <mergeCells count="10">
    <mergeCell ref="C34:J34"/>
    <mergeCell ref="C35:D35"/>
    <mergeCell ref="E35:F35"/>
    <mergeCell ref="G35:H35"/>
    <mergeCell ref="I35:J35"/>
    <mergeCell ref="B2:D2"/>
    <mergeCell ref="E3:J3"/>
    <mergeCell ref="I20:J20"/>
    <mergeCell ref="B1:V1"/>
    <mergeCell ref="K20:L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52D1-11EE-4C76-AE44-E9F3884658D0}">
  <sheetPr codeName="Sheet2"/>
  <dimension ref="A1:W56"/>
  <sheetViews>
    <sheetView showGridLines="0" workbookViewId="0">
      <selection activeCell="N4" sqref="N4"/>
    </sheetView>
  </sheetViews>
  <sheetFormatPr defaultRowHeight="15" x14ac:dyDescent="0.25"/>
  <cols>
    <col min="1" max="1" width="3.7109375" customWidth="1"/>
    <col min="2" max="2" width="5" customWidth="1"/>
    <col min="3" max="3" width="18" customWidth="1"/>
    <col min="5" max="8" width="8" customWidth="1"/>
    <col min="9" max="9" width="6.7109375" customWidth="1"/>
    <col min="10" max="10" width="5.7109375" customWidth="1"/>
    <col min="11" max="11" width="9" customWidth="1"/>
    <col min="12" max="14" width="13" customWidth="1"/>
    <col min="15" max="15" width="11" bestFit="1" customWidth="1"/>
    <col min="16" max="17" width="0" style="330" hidden="1" customWidth="1"/>
    <col min="18" max="18" width="12.7109375" style="330" hidden="1" customWidth="1"/>
    <col min="19" max="21" width="0" hidden="1" customWidth="1"/>
    <col min="22" max="22" width="10" bestFit="1" customWidth="1"/>
  </cols>
  <sheetData>
    <row r="1" spans="1:21" x14ac:dyDescent="0.25">
      <c r="A1" t="s">
        <v>87</v>
      </c>
      <c r="N1" s="329"/>
    </row>
    <row r="2" spans="1:21" ht="14.65" customHeight="1" x14ac:dyDescent="0.25">
      <c r="B2" s="504"/>
      <c r="C2" s="504"/>
      <c r="D2" s="504"/>
      <c r="E2" s="504"/>
      <c r="F2" s="504"/>
      <c r="G2" s="504"/>
      <c r="H2" s="504"/>
      <c r="I2" s="504"/>
      <c r="J2" s="504"/>
      <c r="K2" s="504"/>
      <c r="L2" s="504"/>
      <c r="M2" s="279"/>
      <c r="N2" s="329" t="s">
        <v>88</v>
      </c>
    </row>
    <row r="3" spans="1:21" x14ac:dyDescent="0.25">
      <c r="B3" s="504"/>
      <c r="C3" s="504"/>
      <c r="D3" s="504"/>
      <c r="E3" s="504"/>
      <c r="F3" s="504"/>
      <c r="G3" s="504"/>
      <c r="H3" s="504"/>
      <c r="I3" s="504"/>
      <c r="J3" s="504"/>
      <c r="K3" s="504"/>
      <c r="L3" s="504"/>
      <c r="M3" s="279"/>
      <c r="N3" s="329" t="s">
        <v>89</v>
      </c>
    </row>
    <row r="4" spans="1:21" x14ac:dyDescent="0.25">
      <c r="N4" s="331" t="s">
        <v>90</v>
      </c>
    </row>
    <row r="5" spans="1:21" x14ac:dyDescent="0.25">
      <c r="A5">
        <v>1</v>
      </c>
      <c r="B5" s="332" t="s">
        <v>91</v>
      </c>
      <c r="N5" s="333">
        <f>'Authorized Rev Req'!J102</f>
        <v>19339861.87672767</v>
      </c>
      <c r="O5" s="399"/>
    </row>
    <row r="7" spans="1:21" x14ac:dyDescent="0.25">
      <c r="B7" s="334" t="s">
        <v>92</v>
      </c>
      <c r="C7" t="s">
        <v>93</v>
      </c>
      <c r="N7" s="333">
        <f>N5*0.01</f>
        <v>193398.6187672767</v>
      </c>
    </row>
    <row r="8" spans="1:21" x14ac:dyDescent="0.25">
      <c r="A8" s="336"/>
      <c r="B8" s="329"/>
      <c r="E8" s="299"/>
      <c r="F8" s="299"/>
      <c r="G8" s="299"/>
      <c r="H8" s="299"/>
      <c r="I8" s="299"/>
      <c r="J8" s="299"/>
      <c r="K8" s="299"/>
      <c r="L8" s="299"/>
      <c r="M8" s="299"/>
      <c r="N8" s="300"/>
    </row>
    <row r="9" spans="1:21" ht="17.25" x14ac:dyDescent="0.25">
      <c r="A9">
        <v>2</v>
      </c>
      <c r="B9" s="335" t="s">
        <v>94</v>
      </c>
      <c r="N9" t="s">
        <v>95</v>
      </c>
    </row>
    <row r="10" spans="1:21" x14ac:dyDescent="0.25">
      <c r="B10" s="335"/>
    </row>
    <row r="11" spans="1:21" x14ac:dyDescent="0.25">
      <c r="B11" s="329" t="s">
        <v>92</v>
      </c>
      <c r="C11" t="s">
        <v>96</v>
      </c>
      <c r="D11" t="s">
        <v>31</v>
      </c>
      <c r="N11" s="333">
        <v>145266</v>
      </c>
      <c r="O11" t="s">
        <v>97</v>
      </c>
    </row>
    <row r="12" spans="1:21" x14ac:dyDescent="0.25">
      <c r="B12" s="104"/>
    </row>
    <row r="14" spans="1:21" ht="15" customHeight="1" x14ac:dyDescent="0.25">
      <c r="A14">
        <v>3</v>
      </c>
      <c r="B14" t="s">
        <v>98</v>
      </c>
    </row>
    <row r="15" spans="1:21" x14ac:dyDescent="0.25">
      <c r="B15" s="329" t="s">
        <v>92</v>
      </c>
      <c r="C15" s="336" t="s">
        <v>99</v>
      </c>
      <c r="N15" s="337">
        <f>'Incremental Rev Req'!$T$86</f>
        <v>19445187.095945172</v>
      </c>
      <c r="O15" s="338"/>
    </row>
    <row r="16" spans="1:21" x14ac:dyDescent="0.25">
      <c r="B16" s="329" t="s">
        <v>100</v>
      </c>
      <c r="C16" s="336" t="s">
        <v>101</v>
      </c>
      <c r="N16" s="337">
        <f>'Incremental Rev Req'!$U$86</f>
        <v>18424211.908029594</v>
      </c>
      <c r="O16" s="390"/>
      <c r="S16" s="299"/>
      <c r="T16" s="299"/>
      <c r="U16" s="299"/>
    </row>
    <row r="17" spans="1:23" x14ac:dyDescent="0.25">
      <c r="B17" s="329" t="s">
        <v>102</v>
      </c>
      <c r="C17" s="336" t="s">
        <v>103</v>
      </c>
      <c r="N17" s="337">
        <f>'Incremental Rev Req'!$V$86</f>
        <v>19074112.729390003</v>
      </c>
      <c r="O17" s="390"/>
      <c r="S17" s="299"/>
      <c r="T17" s="299"/>
      <c r="U17" s="299"/>
    </row>
    <row r="18" spans="1:23" x14ac:dyDescent="0.25">
      <c r="B18" s="329" t="s">
        <v>104</v>
      </c>
      <c r="C18" s="336" t="s">
        <v>105</v>
      </c>
      <c r="N18" s="337">
        <f>'Incremental Rev Req'!$W$86</f>
        <v>19295126.729390003</v>
      </c>
      <c r="O18" s="390"/>
      <c r="S18" s="299"/>
      <c r="T18" s="299"/>
      <c r="U18" s="299"/>
    </row>
    <row r="19" spans="1:23" x14ac:dyDescent="0.25">
      <c r="B19" s="329" t="s">
        <v>106</v>
      </c>
      <c r="C19" s="336" t="s">
        <v>107</v>
      </c>
      <c r="N19" s="337">
        <f>'Incremental Rev Req'!$X$86</f>
        <v>19290078.729390003</v>
      </c>
      <c r="O19" s="390"/>
      <c r="S19" s="299"/>
      <c r="T19" s="299"/>
      <c r="U19" s="299"/>
    </row>
    <row r="20" spans="1:23" x14ac:dyDescent="0.25">
      <c r="B20" s="329"/>
      <c r="C20" s="336"/>
      <c r="N20" s="337"/>
      <c r="O20" s="338"/>
      <c r="P20"/>
      <c r="Q20"/>
      <c r="R20"/>
      <c r="S20" s="299"/>
      <c r="T20" s="299"/>
      <c r="U20" s="299"/>
    </row>
    <row r="21" spans="1:23" x14ac:dyDescent="0.25">
      <c r="A21">
        <v>4</v>
      </c>
      <c r="B21" s="104" t="s">
        <v>108</v>
      </c>
      <c r="S21" s="299"/>
      <c r="T21" s="299"/>
      <c r="U21" s="299"/>
    </row>
    <row r="22" spans="1:23" x14ac:dyDescent="0.25">
      <c r="B22" s="329"/>
      <c r="C22" s="104"/>
      <c r="D22" s="104"/>
      <c r="E22" s="104"/>
      <c r="F22" s="104"/>
      <c r="G22" s="104"/>
      <c r="H22" s="104"/>
      <c r="I22" s="104"/>
      <c r="J22" s="104"/>
      <c r="K22" s="104"/>
      <c r="N22" s="388" t="s">
        <v>109</v>
      </c>
      <c r="S22" s="339"/>
      <c r="T22" s="299"/>
      <c r="U22" s="299"/>
    </row>
    <row r="23" spans="1:23" x14ac:dyDescent="0.25">
      <c r="B23" s="329" t="s">
        <v>92</v>
      </c>
      <c r="C23" s="336" t="s">
        <v>99</v>
      </c>
      <c r="N23" s="340">
        <v>32.264644032053084</v>
      </c>
      <c r="O23" s="341"/>
      <c r="R23" s="342">
        <f>Summary!G33</f>
        <v>32.264644032053084</v>
      </c>
      <c r="S23" s="340">
        <f>Summary!G33</f>
        <v>32.264644032053084</v>
      </c>
      <c r="T23" s="299"/>
    </row>
    <row r="24" spans="1:23" x14ac:dyDescent="0.25">
      <c r="B24" s="329" t="s">
        <v>100</v>
      </c>
      <c r="C24" s="336" t="s">
        <v>101</v>
      </c>
      <c r="N24" s="340">
        <v>30.849768224977353</v>
      </c>
      <c r="O24" s="390"/>
      <c r="S24" s="253"/>
      <c r="T24" s="299"/>
      <c r="W24" s="390"/>
    </row>
    <row r="25" spans="1:23" x14ac:dyDescent="0.25">
      <c r="B25" s="329" t="s">
        <v>102</v>
      </c>
      <c r="C25" s="336" t="s">
        <v>103</v>
      </c>
      <c r="N25" s="340">
        <v>31.127812340443441</v>
      </c>
      <c r="O25" s="390"/>
      <c r="S25" s="253"/>
      <c r="T25" s="299"/>
      <c r="W25" s="390"/>
    </row>
    <row r="26" spans="1:23" x14ac:dyDescent="0.25">
      <c r="B26" s="329" t="s">
        <v>104</v>
      </c>
      <c r="C26" s="336" t="s">
        <v>105</v>
      </c>
      <c r="N26" s="340">
        <v>31.478357347306265</v>
      </c>
      <c r="O26" s="390"/>
      <c r="S26" s="253"/>
      <c r="T26" s="299"/>
      <c r="W26" s="390"/>
    </row>
    <row r="27" spans="1:23" x14ac:dyDescent="0.25">
      <c r="B27" s="329" t="s">
        <v>106</v>
      </c>
      <c r="C27" s="336" t="s">
        <v>107</v>
      </c>
      <c r="N27" s="340">
        <v>31.479119003741207</v>
      </c>
      <c r="O27" s="390"/>
      <c r="S27" s="253"/>
      <c r="T27" s="299"/>
      <c r="W27" s="390"/>
    </row>
    <row r="28" spans="1:23" x14ac:dyDescent="0.25">
      <c r="B28" s="329"/>
      <c r="C28" s="336"/>
      <c r="N28" s="340"/>
      <c r="O28" s="341"/>
      <c r="P28"/>
      <c r="Q28"/>
      <c r="R28"/>
      <c r="S28" s="253"/>
      <c r="T28" s="299"/>
    </row>
    <row r="29" spans="1:23" x14ac:dyDescent="0.25">
      <c r="A29">
        <v>5</v>
      </c>
      <c r="B29" s="104" t="s">
        <v>110</v>
      </c>
      <c r="S29" s="299"/>
      <c r="T29" s="299"/>
      <c r="U29" s="299"/>
    </row>
    <row r="30" spans="1:23" x14ac:dyDescent="0.25">
      <c r="B30" s="329"/>
      <c r="M30" s="424" t="s">
        <v>16</v>
      </c>
      <c r="N30" s="424" t="s">
        <v>24</v>
      </c>
      <c r="S30" s="299"/>
      <c r="T30" s="339"/>
      <c r="U30" s="339"/>
    </row>
    <row r="31" spans="1:23" x14ac:dyDescent="0.25">
      <c r="B31" s="329" t="s">
        <v>92</v>
      </c>
      <c r="C31" s="336" t="s">
        <v>99</v>
      </c>
      <c r="M31" s="343">
        <v>175.95265813040029</v>
      </c>
      <c r="N31" s="343">
        <v>102.71650924001479</v>
      </c>
      <c r="Q31" s="344">
        <f>Summary!G81</f>
        <v>175.95265813040029</v>
      </c>
      <c r="R31" s="344">
        <f>Summary!G82</f>
        <v>102.71650924001479</v>
      </c>
      <c r="S31" s="345">
        <f>Summary!G81</f>
        <v>175.95265813040029</v>
      </c>
      <c r="T31" s="345">
        <f>Summary!G82</f>
        <v>102.71650924001479</v>
      </c>
      <c r="U31" s="346"/>
    </row>
    <row r="32" spans="1:23" x14ac:dyDescent="0.25">
      <c r="B32" s="329" t="s">
        <v>100</v>
      </c>
      <c r="C32" s="336" t="s">
        <v>101</v>
      </c>
      <c r="M32" s="343">
        <v>171.73901688232118</v>
      </c>
      <c r="N32" s="343">
        <v>99.973509459572469</v>
      </c>
      <c r="O32" s="390"/>
      <c r="S32" s="299"/>
      <c r="T32" s="346"/>
      <c r="U32" s="346"/>
    </row>
    <row r="33" spans="1:23" x14ac:dyDescent="0.25">
      <c r="B33" s="329" t="s">
        <v>102</v>
      </c>
      <c r="C33" s="336" t="s">
        <v>103</v>
      </c>
      <c r="M33" s="343">
        <v>174.27148416924854</v>
      </c>
      <c r="N33" s="343">
        <v>101.62209717813676</v>
      </c>
      <c r="O33" s="390"/>
      <c r="S33" s="299"/>
      <c r="T33" s="346"/>
      <c r="U33" s="346"/>
    </row>
    <row r="34" spans="1:23" x14ac:dyDescent="0.25">
      <c r="A34" s="296"/>
      <c r="B34" s="329" t="s">
        <v>104</v>
      </c>
      <c r="C34" s="336" t="s">
        <v>105</v>
      </c>
      <c r="M34" s="343">
        <v>176.10945795426173</v>
      </c>
      <c r="N34" s="343">
        <v>102.81858292334543</v>
      </c>
      <c r="O34" s="390"/>
      <c r="S34" s="299"/>
      <c r="T34" s="346"/>
      <c r="U34" s="346"/>
    </row>
    <row r="35" spans="1:23" x14ac:dyDescent="0.25">
      <c r="B35" s="329" t="s">
        <v>106</v>
      </c>
      <c r="C35" s="336" t="s">
        <v>107</v>
      </c>
      <c r="M35" s="343">
        <v>176.11350170733431</v>
      </c>
      <c r="N35" s="343">
        <v>102.82121532917621</v>
      </c>
      <c r="O35" s="390"/>
      <c r="S35" s="299"/>
      <c r="T35" s="346"/>
      <c r="U35" s="346"/>
    </row>
    <row r="36" spans="1:23" x14ac:dyDescent="0.25">
      <c r="B36" s="329"/>
      <c r="C36" s="336"/>
      <c r="M36" s="343"/>
      <c r="N36" s="343"/>
      <c r="P36"/>
      <c r="Q36"/>
      <c r="R36"/>
      <c r="S36" s="299"/>
      <c r="T36" s="346"/>
      <c r="U36" s="346"/>
    </row>
    <row r="37" spans="1:23" x14ac:dyDescent="0.25">
      <c r="A37">
        <v>6</v>
      </c>
      <c r="B37" s="104" t="s">
        <v>111</v>
      </c>
      <c r="S37" s="299"/>
      <c r="T37" s="299"/>
      <c r="U37" s="299"/>
    </row>
    <row r="38" spans="1:23" x14ac:dyDescent="0.25">
      <c r="B38" s="329"/>
      <c r="C38" s="104"/>
      <c r="D38" s="104"/>
      <c r="E38" s="104"/>
      <c r="F38" s="104"/>
      <c r="G38" s="104"/>
      <c r="H38" s="104"/>
      <c r="I38" s="104"/>
      <c r="J38" s="104"/>
      <c r="K38" s="104"/>
      <c r="N38" s="388" t="s">
        <v>109</v>
      </c>
      <c r="S38" s="299"/>
      <c r="T38" s="299"/>
      <c r="U38" s="299"/>
    </row>
    <row r="39" spans="1:23" x14ac:dyDescent="0.25">
      <c r="B39" s="329" t="s">
        <v>92</v>
      </c>
      <c r="C39" s="336" t="s">
        <v>99</v>
      </c>
      <c r="N39" s="340">
        <v>29.328865240115171</v>
      </c>
      <c r="R39" s="342">
        <f>Summary!G34</f>
        <v>29.328865240115171</v>
      </c>
      <c r="S39" s="340">
        <f>Summary!G34</f>
        <v>29.328865240115171</v>
      </c>
    </row>
    <row r="40" spans="1:23" x14ac:dyDescent="0.25">
      <c r="B40" s="329" t="s">
        <v>100</v>
      </c>
      <c r="C40" s="336" t="s">
        <v>101</v>
      </c>
      <c r="N40" s="340">
        <v>28.369118046604601</v>
      </c>
      <c r="O40" s="390"/>
    </row>
    <row r="41" spans="1:23" x14ac:dyDescent="0.25">
      <c r="B41" s="329" t="s">
        <v>102</v>
      </c>
      <c r="C41" s="336" t="s">
        <v>103</v>
      </c>
      <c r="N41" s="340">
        <v>28.522337333817038</v>
      </c>
      <c r="O41" s="390"/>
    </row>
    <row r="42" spans="1:23" x14ac:dyDescent="0.25">
      <c r="B42" s="329" t="s">
        <v>104</v>
      </c>
      <c r="C42" s="336" t="s">
        <v>105</v>
      </c>
      <c r="N42" s="340">
        <v>28.796401394681769</v>
      </c>
      <c r="O42" s="390"/>
    </row>
    <row r="43" spans="1:23" x14ac:dyDescent="0.25">
      <c r="B43" s="329" t="s">
        <v>106</v>
      </c>
      <c r="C43" s="336" t="s">
        <v>107</v>
      </c>
      <c r="N43" s="340">
        <v>28.788245831494496</v>
      </c>
      <c r="O43" s="390"/>
    </row>
    <row r="44" spans="1:23" x14ac:dyDescent="0.25">
      <c r="B44" s="329"/>
      <c r="C44" s="336"/>
      <c r="N44" s="340"/>
      <c r="P44"/>
      <c r="Q44"/>
      <c r="R44"/>
    </row>
    <row r="45" spans="1:23" x14ac:dyDescent="0.25">
      <c r="A45">
        <v>7</v>
      </c>
      <c r="B45" s="104" t="s">
        <v>112</v>
      </c>
    </row>
    <row r="46" spans="1:23" x14ac:dyDescent="0.25">
      <c r="B46" s="329"/>
      <c r="L46" s="388" t="s">
        <v>82</v>
      </c>
      <c r="M46" s="388" t="s">
        <v>83</v>
      </c>
      <c r="N46" s="388" t="s">
        <v>84</v>
      </c>
      <c r="O46" s="329"/>
    </row>
    <row r="47" spans="1:23" x14ac:dyDescent="0.25">
      <c r="B47" s="329" t="s">
        <v>92</v>
      </c>
      <c r="C47" s="336" t="s">
        <v>99</v>
      </c>
      <c r="L47" s="343">
        <v>214.1795188185406</v>
      </c>
      <c r="M47" s="343">
        <v>284.29137856382846</v>
      </c>
      <c r="N47" s="343">
        <v>819.19024844341413</v>
      </c>
      <c r="P47" s="344">
        <f>Summary!G115</f>
        <v>214.1795188185406</v>
      </c>
      <c r="Q47" s="344">
        <f>Summary!G116</f>
        <v>284.29137856382846</v>
      </c>
      <c r="R47" s="344">
        <f>Summary!G117</f>
        <v>819.19024844341413</v>
      </c>
      <c r="S47" s="345">
        <f>Summary!G115</f>
        <v>214.1795188185406</v>
      </c>
      <c r="T47" s="345">
        <f>Summary!G116</f>
        <v>284.29137856382846</v>
      </c>
      <c r="U47" s="345">
        <f>Summary!G117</f>
        <v>819.19024844341413</v>
      </c>
    </row>
    <row r="48" spans="1:23" x14ac:dyDescent="0.25">
      <c r="B48" s="329" t="s">
        <v>100</v>
      </c>
      <c r="C48" s="336" t="s">
        <v>101</v>
      </c>
      <c r="L48" s="343">
        <v>210.81436919144195</v>
      </c>
      <c r="M48" s="343">
        <v>279.74621710109062</v>
      </c>
      <c r="N48" s="343">
        <v>805.64251595173812</v>
      </c>
      <c r="O48" s="390"/>
      <c r="P48" s="390">
        <f t="shared" ref="P48:U51" si="0">M48/M47-1</f>
        <v>-1.5987686597106476E-2</v>
      </c>
      <c r="Q48" s="390">
        <f t="shared" si="0"/>
        <v>-1.653795625304233E-2</v>
      </c>
      <c r="R48" s="390" t="e">
        <f t="shared" si="0"/>
        <v>#DIV/0!</v>
      </c>
      <c r="S48" s="390">
        <f t="shared" si="0"/>
        <v>-1.0000746461971961</v>
      </c>
      <c r="T48" s="390">
        <f t="shared" si="0"/>
        <v>-1.0000581725563982</v>
      </c>
      <c r="U48" s="390" t="e">
        <f t="shared" si="0"/>
        <v>#DIV/0!</v>
      </c>
      <c r="V48" s="390"/>
      <c r="W48" s="390"/>
    </row>
    <row r="49" spans="2:23" x14ac:dyDescent="0.25">
      <c r="B49" s="329" t="s">
        <v>102</v>
      </c>
      <c r="C49" s="336" t="s">
        <v>103</v>
      </c>
      <c r="L49" s="343">
        <v>210.86342366150052</v>
      </c>
      <c r="M49" s="343">
        <v>279.8124728435069</v>
      </c>
      <c r="N49" s="343">
        <v>805.84000400175626</v>
      </c>
      <c r="O49" s="390"/>
      <c r="P49" s="390">
        <f t="shared" si="0"/>
        <v>2.368423176650758E-4</v>
      </c>
      <c r="Q49" s="390">
        <f t="shared" si="0"/>
        <v>2.4513111722357372E-4</v>
      </c>
      <c r="R49" s="390" t="e">
        <f t="shared" si="0"/>
        <v>#DIV/0!</v>
      </c>
      <c r="S49" s="390">
        <f t="shared" si="0"/>
        <v>-1.0148140455610344</v>
      </c>
      <c r="T49" s="390">
        <f t="shared" si="0"/>
        <v>-1.0148223343606002</v>
      </c>
      <c r="U49" s="390" t="e">
        <f t="shared" si="0"/>
        <v>#DIV/0!</v>
      </c>
      <c r="V49" s="390"/>
      <c r="W49" s="390"/>
    </row>
    <row r="50" spans="2:23" x14ac:dyDescent="0.25">
      <c r="B50" s="329" t="s">
        <v>104</v>
      </c>
      <c r="C50" s="336" t="s">
        <v>105</v>
      </c>
      <c r="L50" s="343">
        <v>212.75060804873328</v>
      </c>
      <c r="M50" s="343">
        <v>282.36141084045602</v>
      </c>
      <c r="N50" s="343">
        <v>813.43760650799015</v>
      </c>
      <c r="O50" s="390"/>
      <c r="P50" s="390">
        <f t="shared" si="0"/>
        <v>9.109450951368725E-3</v>
      </c>
      <c r="Q50" s="390">
        <f t="shared" si="0"/>
        <v>9.4281773906788047E-3</v>
      </c>
      <c r="R50" s="390" t="e">
        <f t="shared" si="0"/>
        <v>#DIV/0!</v>
      </c>
      <c r="S50" s="390">
        <f t="shared" si="0"/>
        <v>37.462091745997057</v>
      </c>
      <c r="T50" s="390">
        <f t="shared" si="0"/>
        <v>37.461773019537794</v>
      </c>
      <c r="U50" s="390" t="e">
        <f t="shared" si="0"/>
        <v>#DIV/0!</v>
      </c>
      <c r="V50" s="390"/>
      <c r="W50" s="390"/>
    </row>
    <row r="51" spans="2:23" x14ac:dyDescent="0.25">
      <c r="B51" s="329" t="s">
        <v>106</v>
      </c>
      <c r="C51" s="336" t="s">
        <v>107</v>
      </c>
      <c r="L51" s="343">
        <v>212.6931444391472</v>
      </c>
      <c r="M51" s="343">
        <v>282.28379723846422</v>
      </c>
      <c r="N51" s="343">
        <v>813.20626416160269</v>
      </c>
      <c r="O51" s="390"/>
      <c r="P51" s="390">
        <f t="shared" si="0"/>
        <v>-2.7487326175623661E-4</v>
      </c>
      <c r="Q51" s="390">
        <f t="shared" si="0"/>
        <v>-2.8440084960001943E-4</v>
      </c>
      <c r="R51" s="390" t="e">
        <f t="shared" si="0"/>
        <v>#DIV/0!</v>
      </c>
      <c r="S51" s="390">
        <f t="shared" si="0"/>
        <v>-1.0301745147126498</v>
      </c>
      <c r="T51" s="390">
        <f t="shared" si="0"/>
        <v>-1.0301649871247855</v>
      </c>
      <c r="U51" s="390" t="e">
        <f t="shared" si="0"/>
        <v>#DIV/0!</v>
      </c>
      <c r="V51" s="390"/>
      <c r="W51" s="390"/>
    </row>
    <row r="52" spans="2:23" x14ac:dyDescent="0.25">
      <c r="L52" s="343"/>
      <c r="M52" s="343"/>
      <c r="N52" s="343"/>
    </row>
    <row r="55" spans="2:23" x14ac:dyDescent="0.25">
      <c r="B55" s="504" t="s">
        <v>113</v>
      </c>
      <c r="C55" s="504"/>
      <c r="D55" s="504"/>
      <c r="E55" s="504"/>
      <c r="F55" s="504"/>
      <c r="G55" s="504"/>
      <c r="H55" s="504"/>
      <c r="I55" s="504"/>
      <c r="J55" s="504"/>
      <c r="K55" s="504"/>
      <c r="L55" s="504"/>
      <c r="M55" s="504"/>
      <c r="N55" s="504"/>
      <c r="O55" s="504"/>
    </row>
    <row r="56" spans="2:23" x14ac:dyDescent="0.25">
      <c r="B56" s="504"/>
      <c r="C56" s="504"/>
      <c r="D56" s="504"/>
      <c r="E56" s="504"/>
      <c r="F56" s="504"/>
      <c r="G56" s="504"/>
      <c r="H56" s="504"/>
      <c r="I56" s="504"/>
      <c r="J56" s="504"/>
      <c r="K56" s="504"/>
      <c r="L56" s="504"/>
      <c r="M56" s="504"/>
      <c r="N56" s="504"/>
      <c r="O56" s="504"/>
    </row>
  </sheetData>
  <sheetProtection algorithmName="SHA-512" hashValue="jL1JbKSX87VQdLrbCx1BlrKK7SOAQK/p9L95xFNt9pOEn/sZsilCiRo9FP00Rw2t89x8tM2+hn2fcWwBoh7avw==" saltValue="gzv2NEOrz27rOxGQ98fuCg==" spinCount="100000" sheet="1" objects="1" scenarios="1"/>
  <mergeCells count="2">
    <mergeCell ref="B2:L3"/>
    <mergeCell ref="B55:O56"/>
  </mergeCells>
  <phoneticPr fontId="31" type="noConversion"/>
  <pageMargins left="0.7" right="0.7" top="0.75" bottom="0.75" header="0.3" footer="0.3"/>
  <pageSetup orientation="portrait" horizontalDpi="90" verticalDpi="90" r:id="rId1"/>
  <ignoredErrors>
    <ignoredError sqref="N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109"/>
  <sheetViews>
    <sheetView topLeftCell="B1" workbookViewId="0">
      <pane xSplit="1" topLeftCell="C1" activePane="topRight" state="frozen"/>
      <selection activeCell="B1" sqref="B1"/>
      <selection pane="topRight" activeCell="C1" sqref="C1"/>
    </sheetView>
  </sheetViews>
  <sheetFormatPr defaultColWidth="9" defaultRowHeight="15" x14ac:dyDescent="0.25"/>
  <cols>
    <col min="1" max="1" width="14.7109375" style="297" hidden="1" customWidth="1"/>
    <col min="2" max="2" width="69.7109375" style="297" customWidth="1"/>
    <col min="3" max="12" width="22" style="297" customWidth="1"/>
    <col min="13" max="13" width="31.42578125" style="297" customWidth="1"/>
    <col min="14" max="14" width="62.7109375" style="297" customWidth="1"/>
    <col min="15" max="15" width="31" style="297" bestFit="1" customWidth="1"/>
    <col min="16" max="16" width="10.5703125" style="297" bestFit="1" customWidth="1"/>
    <col min="17" max="17" width="9" style="297"/>
    <col min="18" max="18" width="13" style="297" bestFit="1" customWidth="1"/>
    <col min="19" max="16384" width="9" style="297"/>
  </cols>
  <sheetData>
    <row r="1" spans="1:16" x14ac:dyDescent="0.25">
      <c r="M1" s="308"/>
    </row>
    <row r="2" spans="1:16" x14ac:dyDescent="0.25">
      <c r="B2" s="295" t="s">
        <v>114</v>
      </c>
    </row>
    <row r="3" spans="1:16" ht="19.5" thickBot="1" x14ac:dyDescent="0.35">
      <c r="B3" s="297" t="s">
        <v>115</v>
      </c>
      <c r="C3" s="309"/>
      <c r="D3" s="309"/>
      <c r="E3" s="309"/>
      <c r="F3" s="309"/>
      <c r="G3" s="309"/>
      <c r="H3" s="309"/>
      <c r="I3" s="309"/>
      <c r="J3" s="309"/>
      <c r="K3" s="309"/>
      <c r="L3" s="309"/>
    </row>
    <row r="4" spans="1:16" ht="18" customHeight="1" x14ac:dyDescent="0.25">
      <c r="C4" s="310" t="s">
        <v>116</v>
      </c>
      <c r="D4" s="310" t="s">
        <v>117</v>
      </c>
      <c r="E4" s="310" t="s">
        <v>118</v>
      </c>
      <c r="F4" s="310" t="s">
        <v>119</v>
      </c>
      <c r="G4" s="310" t="s">
        <v>120</v>
      </c>
      <c r="H4" s="310" t="s">
        <v>121</v>
      </c>
      <c r="I4" s="310" t="s">
        <v>122</v>
      </c>
      <c r="J4" s="310" t="s">
        <v>123</v>
      </c>
      <c r="K4" s="310" t="s">
        <v>124</v>
      </c>
      <c r="L4" s="310" t="s">
        <v>125</v>
      </c>
      <c r="M4" s="403"/>
      <c r="N4" s="310"/>
      <c r="O4" s="311"/>
    </row>
    <row r="5" spans="1:16" s="312" customFormat="1" x14ac:dyDescent="0.25">
      <c r="C5" s="277" t="s">
        <v>126</v>
      </c>
      <c r="D5" s="268" t="s">
        <v>127</v>
      </c>
      <c r="E5" s="277" t="s">
        <v>128</v>
      </c>
      <c r="F5" s="277" t="s">
        <v>129</v>
      </c>
      <c r="G5" s="277" t="s">
        <v>130</v>
      </c>
      <c r="H5" s="277" t="s">
        <v>131</v>
      </c>
      <c r="I5" s="277" t="s">
        <v>132</v>
      </c>
      <c r="J5" s="277" t="s">
        <v>133</v>
      </c>
      <c r="K5" s="277" t="s">
        <v>134</v>
      </c>
      <c r="L5" s="277" t="s">
        <v>527</v>
      </c>
      <c r="N5" s="422"/>
      <c r="O5" s="313"/>
    </row>
    <row r="6" spans="1:16" x14ac:dyDescent="0.25">
      <c r="B6" s="314" t="s">
        <v>135</v>
      </c>
      <c r="C6" s="315"/>
      <c r="D6" s="315"/>
      <c r="E6" s="315"/>
      <c r="F6" s="315"/>
      <c r="G6" s="315"/>
      <c r="H6" s="315"/>
      <c r="I6" s="315"/>
      <c r="J6" s="315"/>
      <c r="K6" s="315"/>
      <c r="L6" s="315"/>
      <c r="M6" s="315" t="s">
        <v>136</v>
      </c>
      <c r="N6" s="315" t="s">
        <v>137</v>
      </c>
      <c r="O6" s="316" t="s">
        <v>138</v>
      </c>
    </row>
    <row r="7" spans="1:16" ht="14.25" customHeight="1" x14ac:dyDescent="0.25">
      <c r="A7" s="317" t="s">
        <v>139</v>
      </c>
      <c r="B7" s="317" t="s">
        <v>139</v>
      </c>
      <c r="L7" s="426"/>
      <c r="O7" s="318"/>
    </row>
    <row r="8" spans="1:16" ht="14.25" customHeight="1" x14ac:dyDescent="0.25">
      <c r="A8" s="297" t="s">
        <v>140</v>
      </c>
      <c r="B8" s="297" t="s">
        <v>141</v>
      </c>
      <c r="C8" s="254">
        <v>754977</v>
      </c>
      <c r="D8" s="254">
        <v>766648.83474591305</v>
      </c>
      <c r="E8" s="254">
        <v>766648.83474591305</v>
      </c>
      <c r="F8" s="254">
        <v>766648.83474591305</v>
      </c>
      <c r="G8" s="254">
        <v>760627.57525422366</v>
      </c>
      <c r="H8" s="254">
        <v>760627.57525422366</v>
      </c>
      <c r="I8" s="254">
        <v>760627.57525422366</v>
      </c>
      <c r="J8" s="254">
        <v>891445.04850682383</v>
      </c>
      <c r="K8" s="257">
        <v>919033.35862154758</v>
      </c>
      <c r="L8" s="257">
        <v>919033.35862154758</v>
      </c>
      <c r="M8" s="319" t="s">
        <v>142</v>
      </c>
      <c r="N8" s="254" t="s">
        <v>143</v>
      </c>
      <c r="O8" s="318" t="s">
        <v>5</v>
      </c>
      <c r="P8" s="308"/>
    </row>
    <row r="9" spans="1:16" ht="14.25" customHeight="1" x14ac:dyDescent="0.25">
      <c r="A9" s="297" t="s">
        <v>140</v>
      </c>
      <c r="B9" s="297" t="s">
        <v>144</v>
      </c>
      <c r="C9" s="254">
        <v>61347</v>
      </c>
      <c r="D9" s="254">
        <v>62607.606140024051</v>
      </c>
      <c r="E9" s="254">
        <v>62607.606140024051</v>
      </c>
      <c r="F9" s="254">
        <v>62607.606140024051</v>
      </c>
      <c r="G9" s="254">
        <v>61952.343776436493</v>
      </c>
      <c r="H9" s="254">
        <v>61952.343776436493</v>
      </c>
      <c r="I9" s="254">
        <v>61952.343776436493</v>
      </c>
      <c r="J9" s="254">
        <v>65975.905899915058</v>
      </c>
      <c r="K9" s="257">
        <v>65288.744535276208</v>
      </c>
      <c r="L9" s="257">
        <v>65288.744535276208</v>
      </c>
      <c r="M9" s="319" t="s">
        <v>145</v>
      </c>
      <c r="N9" s="254" t="s">
        <v>143</v>
      </c>
      <c r="O9" s="318" t="s">
        <v>5</v>
      </c>
      <c r="P9" s="308"/>
    </row>
    <row r="10" spans="1:16" ht="14.25" customHeight="1" x14ac:dyDescent="0.25">
      <c r="A10" s="297" t="s">
        <v>140</v>
      </c>
      <c r="B10" s="297" t="s">
        <v>146</v>
      </c>
      <c r="C10" s="254">
        <v>7565233</v>
      </c>
      <c r="D10" s="254">
        <v>7752988.2460202966</v>
      </c>
      <c r="E10" s="254">
        <v>7752988.2460202966</v>
      </c>
      <c r="F10" s="254">
        <v>7752988.2460202966</v>
      </c>
      <c r="G10" s="254">
        <v>7655298.4891713113</v>
      </c>
      <c r="H10" s="254">
        <v>7655298.4891713113</v>
      </c>
      <c r="I10" s="254">
        <v>7655298.4891713113</v>
      </c>
      <c r="J10" s="254">
        <v>8702553.2886549234</v>
      </c>
      <c r="K10" s="257">
        <v>9151560.656846378</v>
      </c>
      <c r="L10" s="257">
        <v>9532250.1821755283</v>
      </c>
      <c r="M10" s="319" t="s">
        <v>147</v>
      </c>
      <c r="N10" s="254" t="s">
        <v>148</v>
      </c>
      <c r="O10" s="318" t="s">
        <v>5</v>
      </c>
      <c r="P10" s="308"/>
    </row>
    <row r="11" spans="1:16" ht="14.25" customHeight="1" x14ac:dyDescent="0.25">
      <c r="A11" s="297" t="s">
        <v>149</v>
      </c>
      <c r="B11" s="297" t="s">
        <v>150</v>
      </c>
      <c r="C11" s="254">
        <v>0</v>
      </c>
      <c r="D11" s="254">
        <v>0</v>
      </c>
      <c r="E11" s="254">
        <v>0</v>
      </c>
      <c r="F11" s="254">
        <v>0</v>
      </c>
      <c r="G11" s="254">
        <v>0</v>
      </c>
      <c r="H11" s="254">
        <v>0</v>
      </c>
      <c r="I11" s="254">
        <v>0</v>
      </c>
      <c r="J11" s="254">
        <v>51458.934570626829</v>
      </c>
      <c r="K11" s="257">
        <v>51504.780689855201</v>
      </c>
      <c r="L11" s="257">
        <v>51504.780689855201</v>
      </c>
      <c r="M11" s="319" t="s">
        <v>142</v>
      </c>
      <c r="N11" s="254" t="s">
        <v>151</v>
      </c>
      <c r="O11" s="318" t="s">
        <v>22</v>
      </c>
      <c r="P11" s="308"/>
    </row>
    <row r="12" spans="1:16" ht="14.25" customHeight="1" x14ac:dyDescent="0.25">
      <c r="A12" s="297" t="s">
        <v>149</v>
      </c>
      <c r="B12" s="297" t="s">
        <v>150</v>
      </c>
      <c r="C12" s="254">
        <v>0</v>
      </c>
      <c r="D12" s="254">
        <v>0</v>
      </c>
      <c r="E12" s="254">
        <v>0</v>
      </c>
      <c r="F12" s="254">
        <v>0</v>
      </c>
      <c r="G12" s="254">
        <v>0</v>
      </c>
      <c r="H12" s="254">
        <v>0</v>
      </c>
      <c r="I12" s="254">
        <v>0</v>
      </c>
      <c r="J12" s="254">
        <v>1530.6625465673762</v>
      </c>
      <c r="K12" s="257">
        <v>1532.0262541177535</v>
      </c>
      <c r="L12" s="257">
        <v>1532.0262541177535</v>
      </c>
      <c r="M12" s="319" t="s">
        <v>145</v>
      </c>
      <c r="N12" s="254" t="s">
        <v>151</v>
      </c>
      <c r="O12" s="318" t="s">
        <v>22</v>
      </c>
      <c r="P12" s="308"/>
    </row>
    <row r="13" spans="1:16" ht="14.25" customHeight="1" x14ac:dyDescent="0.25">
      <c r="A13" s="297" t="s">
        <v>152</v>
      </c>
      <c r="B13" s="297" t="s">
        <v>150</v>
      </c>
      <c r="C13" s="254">
        <v>0</v>
      </c>
      <c r="D13" s="254">
        <v>0</v>
      </c>
      <c r="E13" s="254">
        <v>0</v>
      </c>
      <c r="F13" s="254">
        <v>0</v>
      </c>
      <c r="G13" s="254">
        <v>0</v>
      </c>
      <c r="H13" s="254">
        <v>0</v>
      </c>
      <c r="I13" s="254">
        <v>0</v>
      </c>
      <c r="J13" s="254">
        <v>398114.14928574377</v>
      </c>
      <c r="K13" s="257">
        <v>398468.8396598635</v>
      </c>
      <c r="L13" s="257">
        <v>398468.8396598635</v>
      </c>
      <c r="M13" s="319" t="s">
        <v>147</v>
      </c>
      <c r="N13" s="254" t="s">
        <v>151</v>
      </c>
      <c r="O13" s="318" t="s">
        <v>22</v>
      </c>
      <c r="P13" s="308"/>
    </row>
    <row r="14" spans="1:16" ht="14.25" customHeight="1" x14ac:dyDescent="0.25">
      <c r="B14" s="297" t="s">
        <v>153</v>
      </c>
      <c r="C14" s="254">
        <v>0</v>
      </c>
      <c r="D14" s="254">
        <v>0</v>
      </c>
      <c r="E14" s="254">
        <v>0</v>
      </c>
      <c r="F14" s="254">
        <v>0</v>
      </c>
      <c r="G14" s="254">
        <v>0</v>
      </c>
      <c r="H14" s="254">
        <v>0</v>
      </c>
      <c r="I14" s="254">
        <v>0</v>
      </c>
      <c r="J14" s="254">
        <v>52205.497004632591</v>
      </c>
      <c r="K14" s="257">
        <v>52252.008255983244</v>
      </c>
      <c r="L14" s="257">
        <v>52252.008255983244</v>
      </c>
      <c r="M14" s="319" t="s">
        <v>147</v>
      </c>
      <c r="N14" s="254" t="s">
        <v>151</v>
      </c>
      <c r="O14" s="318" t="s">
        <v>5</v>
      </c>
      <c r="P14" s="308"/>
    </row>
    <row r="15" spans="1:16" ht="14.25" customHeight="1" x14ac:dyDescent="0.25">
      <c r="B15" s="297" t="s">
        <v>154</v>
      </c>
      <c r="C15" s="254">
        <v>0</v>
      </c>
      <c r="D15" s="254">
        <v>0</v>
      </c>
      <c r="E15" s="254">
        <v>0</v>
      </c>
      <c r="F15" s="254">
        <v>0</v>
      </c>
      <c r="G15" s="254">
        <v>0</v>
      </c>
      <c r="H15" s="254">
        <v>0</v>
      </c>
      <c r="I15" s="254">
        <v>0</v>
      </c>
      <c r="J15" s="254">
        <v>1496.8491641683504</v>
      </c>
      <c r="K15" s="254">
        <v>0</v>
      </c>
      <c r="L15" s="254">
        <v>0</v>
      </c>
      <c r="M15" s="319" t="s">
        <v>142</v>
      </c>
      <c r="N15" s="254" t="s">
        <v>155</v>
      </c>
      <c r="O15" s="318" t="s">
        <v>5</v>
      </c>
      <c r="P15" s="308"/>
    </row>
    <row r="16" spans="1:16" ht="14.25" customHeight="1" x14ac:dyDescent="0.25">
      <c r="B16" s="297" t="s">
        <v>154</v>
      </c>
      <c r="C16" s="254">
        <v>0</v>
      </c>
      <c r="D16" s="254">
        <v>0</v>
      </c>
      <c r="E16" s="254">
        <v>0</v>
      </c>
      <c r="F16" s="254">
        <v>0</v>
      </c>
      <c r="G16" s="254">
        <v>0</v>
      </c>
      <c r="H16" s="254">
        <v>0</v>
      </c>
      <c r="I16" s="254">
        <v>0</v>
      </c>
      <c r="J16" s="254">
        <v>174.95518485258799</v>
      </c>
      <c r="K16" s="254">
        <v>0</v>
      </c>
      <c r="L16" s="254">
        <v>0</v>
      </c>
      <c r="M16" s="319" t="s">
        <v>145</v>
      </c>
      <c r="N16" s="254" t="s">
        <v>155</v>
      </c>
      <c r="O16" s="318" t="s">
        <v>5</v>
      </c>
      <c r="P16" s="308"/>
    </row>
    <row r="17" spans="1:18" ht="14.25" customHeight="1" x14ac:dyDescent="0.25">
      <c r="B17" s="297" t="s">
        <v>154</v>
      </c>
      <c r="C17" s="254">
        <v>0</v>
      </c>
      <c r="D17" s="254">
        <v>0</v>
      </c>
      <c r="E17" s="254">
        <v>0</v>
      </c>
      <c r="F17" s="254">
        <v>0</v>
      </c>
      <c r="G17" s="254">
        <v>0</v>
      </c>
      <c r="H17" s="254">
        <v>0</v>
      </c>
      <c r="I17" s="254">
        <v>0</v>
      </c>
      <c r="J17" s="254">
        <v>1.5385848029409317</v>
      </c>
      <c r="K17" s="254">
        <v>0</v>
      </c>
      <c r="L17" s="254">
        <v>0</v>
      </c>
      <c r="M17" s="319" t="s">
        <v>156</v>
      </c>
      <c r="N17" s="254" t="s">
        <v>155</v>
      </c>
      <c r="O17" s="318" t="s">
        <v>5</v>
      </c>
      <c r="P17" s="308"/>
    </row>
    <row r="18" spans="1:18" ht="14.25" customHeight="1" x14ac:dyDescent="0.25">
      <c r="B18" s="297" t="s">
        <v>154</v>
      </c>
      <c r="C18" s="254">
        <v>0</v>
      </c>
      <c r="D18" s="254">
        <v>0</v>
      </c>
      <c r="E18" s="254">
        <v>0</v>
      </c>
      <c r="F18" s="254">
        <v>0</v>
      </c>
      <c r="G18" s="254">
        <v>0</v>
      </c>
      <c r="H18" s="254">
        <v>0</v>
      </c>
      <c r="I18" s="254">
        <v>0</v>
      </c>
      <c r="J18" s="254">
        <v>122.30124915373744</v>
      </c>
      <c r="K18" s="254">
        <v>0</v>
      </c>
      <c r="L18" s="254">
        <v>0</v>
      </c>
      <c r="M18" s="319" t="s">
        <v>147</v>
      </c>
      <c r="N18" s="254" t="s">
        <v>155</v>
      </c>
      <c r="O18" s="318" t="s">
        <v>5</v>
      </c>
      <c r="P18" s="308"/>
    </row>
    <row r="19" spans="1:18" ht="14.25" customHeight="1" x14ac:dyDescent="0.25">
      <c r="B19" s="297" t="s">
        <v>154</v>
      </c>
      <c r="C19" s="254">
        <v>0</v>
      </c>
      <c r="D19" s="254">
        <v>0</v>
      </c>
      <c r="E19" s="254">
        <v>0</v>
      </c>
      <c r="F19" s="254">
        <v>0</v>
      </c>
      <c r="G19" s="254">
        <v>0</v>
      </c>
      <c r="H19" s="254">
        <v>0</v>
      </c>
      <c r="I19" s="254">
        <v>0</v>
      </c>
      <c r="J19" s="254">
        <v>416.7023247985635</v>
      </c>
      <c r="K19" s="254">
        <v>0</v>
      </c>
      <c r="L19" s="254">
        <v>0</v>
      </c>
      <c r="M19" s="319" t="s">
        <v>157</v>
      </c>
      <c r="N19" s="254" t="s">
        <v>155</v>
      </c>
      <c r="O19" s="318" t="s">
        <v>5</v>
      </c>
      <c r="P19" s="308"/>
    </row>
    <row r="20" spans="1:18" ht="14.25" customHeight="1" x14ac:dyDescent="0.25">
      <c r="B20" s="297" t="s">
        <v>154</v>
      </c>
      <c r="C20" s="254">
        <v>0</v>
      </c>
      <c r="D20" s="254">
        <v>0</v>
      </c>
      <c r="E20" s="254">
        <v>0</v>
      </c>
      <c r="F20" s="254">
        <v>0</v>
      </c>
      <c r="G20" s="254">
        <v>0</v>
      </c>
      <c r="H20" s="254">
        <v>0</v>
      </c>
      <c r="I20" s="254">
        <v>0</v>
      </c>
      <c r="J20" s="254">
        <v>-0.29909578675665216</v>
      </c>
      <c r="K20" s="254">
        <v>0</v>
      </c>
      <c r="L20" s="254">
        <v>0</v>
      </c>
      <c r="M20" s="319" t="s">
        <v>158</v>
      </c>
      <c r="N20" s="254" t="s">
        <v>155</v>
      </c>
      <c r="O20" s="318" t="s">
        <v>5</v>
      </c>
      <c r="P20" s="308"/>
    </row>
    <row r="21" spans="1:18" ht="14.25" customHeight="1" x14ac:dyDescent="0.25">
      <c r="A21" s="297" t="s">
        <v>159</v>
      </c>
      <c r="B21" s="297" t="s">
        <v>152</v>
      </c>
      <c r="C21" s="254">
        <v>-4485.8914764990359</v>
      </c>
      <c r="D21" s="254">
        <v>-4485.8914764990359</v>
      </c>
      <c r="E21" s="254">
        <v>-4485.8914764990359</v>
      </c>
      <c r="F21" s="254">
        <v>-4485.8914764990359</v>
      </c>
      <c r="G21" s="254">
        <v>-4572.5803140547996</v>
      </c>
      <c r="H21" s="254">
        <v>-4572.5803140547996</v>
      </c>
      <c r="I21" s="254">
        <v>-4572.5803140547996</v>
      </c>
      <c r="J21" s="254">
        <v>-4572.5803140547996</v>
      </c>
      <c r="K21" s="257">
        <v>-4302.5033789854051</v>
      </c>
      <c r="L21" s="257">
        <v>-4302.5033789854051</v>
      </c>
      <c r="M21" s="319" t="s">
        <v>147</v>
      </c>
      <c r="N21" s="254" t="s">
        <v>160</v>
      </c>
      <c r="O21" s="318" t="s">
        <v>5</v>
      </c>
      <c r="P21" s="308"/>
    </row>
    <row r="22" spans="1:18" ht="14.25" customHeight="1" x14ac:dyDescent="0.25">
      <c r="A22" s="297" t="s">
        <v>161</v>
      </c>
      <c r="B22" s="297" t="s">
        <v>162</v>
      </c>
      <c r="C22" s="254">
        <v>-51916.650430410773</v>
      </c>
      <c r="D22" s="254">
        <v>-51916.650430410773</v>
      </c>
      <c r="E22" s="254">
        <v>-51916.650430410773</v>
      </c>
      <c r="F22" s="254">
        <v>-51916.650430410773</v>
      </c>
      <c r="G22" s="254">
        <v>-14072.56849006865</v>
      </c>
      <c r="H22" s="254">
        <v>-14072.56849006865</v>
      </c>
      <c r="I22" s="254">
        <v>-14072.56849006865</v>
      </c>
      <c r="J22" s="254">
        <v>-14072.56849006865</v>
      </c>
      <c r="K22" s="257">
        <v>4694.932147861372</v>
      </c>
      <c r="L22" s="257">
        <v>4694.932147861372</v>
      </c>
      <c r="M22" s="319" t="s">
        <v>147</v>
      </c>
      <c r="N22" s="254" t="s">
        <v>163</v>
      </c>
      <c r="O22" s="318" t="s">
        <v>22</v>
      </c>
      <c r="P22" s="308"/>
    </row>
    <row r="23" spans="1:18" ht="14.25" customHeight="1" x14ac:dyDescent="0.25">
      <c r="B23" s="298" t="s">
        <v>164</v>
      </c>
      <c r="C23" s="254">
        <v>19974.103589806855</v>
      </c>
      <c r="D23" s="254">
        <v>19974.103589806855</v>
      </c>
      <c r="E23" s="254">
        <v>19974.103589806855</v>
      </c>
      <c r="F23" s="254">
        <v>19974.103589806855</v>
      </c>
      <c r="G23" s="254">
        <v>14976.030088812353</v>
      </c>
      <c r="H23" s="254">
        <v>14976.030088812353</v>
      </c>
      <c r="I23" s="254">
        <v>14976.030088812353</v>
      </c>
      <c r="J23" s="254">
        <v>14976.030088812353</v>
      </c>
      <c r="K23" s="257">
        <v>-5713.7619465120224</v>
      </c>
      <c r="L23" s="257">
        <v>-5713.7619465120224</v>
      </c>
      <c r="M23" s="297" t="s">
        <v>142</v>
      </c>
      <c r="N23" s="254" t="s">
        <v>165</v>
      </c>
      <c r="O23" s="318" t="s">
        <v>22</v>
      </c>
      <c r="P23" s="308"/>
      <c r="R23" s="308"/>
    </row>
    <row r="24" spans="1:18" ht="14.25" customHeight="1" x14ac:dyDescent="0.25">
      <c r="B24" s="298" t="s">
        <v>164</v>
      </c>
      <c r="C24" s="254">
        <v>129422.39223046113</v>
      </c>
      <c r="D24" s="254">
        <v>129422.39223046113</v>
      </c>
      <c r="E24" s="254">
        <v>129422.39223046113</v>
      </c>
      <c r="F24" s="254">
        <v>97197.380394544045</v>
      </c>
      <c r="G24" s="254">
        <v>97197.380394544045</v>
      </c>
      <c r="H24" s="254">
        <v>97197.380394544045</v>
      </c>
      <c r="I24" s="254">
        <v>97197.380394544045</v>
      </c>
      <c r="J24" s="254">
        <v>-37050.255779514962</v>
      </c>
      <c r="K24" s="257">
        <v>-37083.264827566243</v>
      </c>
      <c r="L24" s="257">
        <v>-37083.264827566243</v>
      </c>
      <c r="M24" s="297" t="s">
        <v>147</v>
      </c>
      <c r="N24" s="254" t="s">
        <v>165</v>
      </c>
      <c r="O24" s="318" t="s">
        <v>22</v>
      </c>
      <c r="P24" s="308"/>
      <c r="R24" s="308"/>
    </row>
    <row r="25" spans="1:18" ht="14.25" customHeight="1" x14ac:dyDescent="0.25">
      <c r="A25" s="297" t="s">
        <v>166</v>
      </c>
      <c r="B25" s="297" t="s">
        <v>166</v>
      </c>
      <c r="C25" s="254">
        <v>-12071.660011385939</v>
      </c>
      <c r="D25" s="254">
        <v>-12071.660011385939</v>
      </c>
      <c r="E25" s="254">
        <v>-12071.660011385939</v>
      </c>
      <c r="F25" s="254">
        <v>-12071.660011385939</v>
      </c>
      <c r="G25" s="254">
        <v>-10009.343023179386</v>
      </c>
      <c r="H25" s="254">
        <v>-10009.343023179386</v>
      </c>
      <c r="I25" s="254">
        <v>-10009.343023179386</v>
      </c>
      <c r="J25" s="254">
        <v>-10009.343023179386</v>
      </c>
      <c r="K25" s="257">
        <v>-1737.4745883336645</v>
      </c>
      <c r="L25" s="257">
        <v>-1737.4745883336645</v>
      </c>
      <c r="M25" s="319" t="s">
        <v>142</v>
      </c>
      <c r="N25" s="254" t="s">
        <v>167</v>
      </c>
      <c r="O25" s="318" t="s">
        <v>22</v>
      </c>
      <c r="P25" s="308"/>
    </row>
    <row r="26" spans="1:18" ht="14.25" customHeight="1" x14ac:dyDescent="0.25">
      <c r="A26" s="297" t="s">
        <v>168</v>
      </c>
      <c r="B26" s="297" t="s">
        <v>166</v>
      </c>
      <c r="C26" s="254">
        <v>-78219.429064886717</v>
      </c>
      <c r="D26" s="254">
        <v>-78219.429064886717</v>
      </c>
      <c r="E26" s="254">
        <v>-78219.429064886717</v>
      </c>
      <c r="F26" s="254">
        <v>-78219.429064886717</v>
      </c>
      <c r="G26" s="254">
        <v>-64990.518798429417</v>
      </c>
      <c r="H26" s="254">
        <v>-64990.518798429417</v>
      </c>
      <c r="I26" s="254">
        <v>-64990.518798429417</v>
      </c>
      <c r="J26" s="254">
        <v>-64990.518798429417</v>
      </c>
      <c r="K26" s="257">
        <v>-12404.647449256114</v>
      </c>
      <c r="L26" s="257">
        <v>-12404.647449256114</v>
      </c>
      <c r="M26" s="319" t="s">
        <v>147</v>
      </c>
      <c r="N26" s="254" t="s">
        <v>167</v>
      </c>
      <c r="O26" s="318" t="s">
        <v>22</v>
      </c>
      <c r="P26" s="308"/>
    </row>
    <row r="27" spans="1:18" ht="14.25" customHeight="1" x14ac:dyDescent="0.25">
      <c r="A27" s="297" t="s">
        <v>168</v>
      </c>
      <c r="B27" s="297" t="s">
        <v>169</v>
      </c>
      <c r="C27" s="254">
        <v>4703703</v>
      </c>
      <c r="D27" s="254">
        <v>4703703</v>
      </c>
      <c r="E27" s="254">
        <v>4703703</v>
      </c>
      <c r="F27" s="254">
        <v>4703703</v>
      </c>
      <c r="G27" s="254">
        <v>4088354.6687030564</v>
      </c>
      <c r="H27" s="254">
        <v>4088354.6687030564</v>
      </c>
      <c r="I27" s="254">
        <v>4088354.6687030564</v>
      </c>
      <c r="J27" s="254">
        <v>4088354.6687030564</v>
      </c>
      <c r="K27" s="257">
        <v>4215455.4352467358</v>
      </c>
      <c r="L27" s="257">
        <v>4215455.4352467358</v>
      </c>
      <c r="M27" s="319" t="s">
        <v>142</v>
      </c>
      <c r="N27" s="254" t="s">
        <v>170</v>
      </c>
      <c r="O27" s="318" t="s">
        <v>5</v>
      </c>
      <c r="P27" s="308"/>
    </row>
    <row r="28" spans="1:18" ht="14.25" customHeight="1" x14ac:dyDescent="0.25">
      <c r="A28" s="297" t="s">
        <v>171</v>
      </c>
      <c r="B28" s="297" t="s">
        <v>169</v>
      </c>
      <c r="C28" s="428">
        <v>402997</v>
      </c>
      <c r="D28" s="428">
        <v>402997</v>
      </c>
      <c r="E28" s="428">
        <v>402997</v>
      </c>
      <c r="F28" s="428">
        <v>402997</v>
      </c>
      <c r="G28" s="254">
        <v>457466.73907256091</v>
      </c>
      <c r="H28" s="254">
        <v>457466.73907256091</v>
      </c>
      <c r="I28" s="254">
        <v>457466.73907256091</v>
      </c>
      <c r="J28" s="254">
        <v>457466.73907256091</v>
      </c>
      <c r="K28" s="257">
        <v>473468.50744434149</v>
      </c>
      <c r="L28" s="257">
        <v>473468.50744434149</v>
      </c>
      <c r="M28" s="319" t="s">
        <v>145</v>
      </c>
      <c r="N28" s="254" t="s">
        <v>170</v>
      </c>
      <c r="O28" s="318" t="s">
        <v>5</v>
      </c>
      <c r="P28" s="308"/>
    </row>
    <row r="29" spans="1:18" ht="14.25" customHeight="1" x14ac:dyDescent="0.25">
      <c r="A29" s="297" t="s">
        <v>168</v>
      </c>
      <c r="B29" s="297" t="s">
        <v>172</v>
      </c>
      <c r="C29" s="254">
        <v>222439.78249055831</v>
      </c>
      <c r="D29" s="254">
        <v>222439.78249055831</v>
      </c>
      <c r="E29" s="254">
        <v>222439.78249055831</v>
      </c>
      <c r="F29" s="254">
        <v>222439.78249055831</v>
      </c>
      <c r="G29" s="254">
        <v>78023.957609340869</v>
      </c>
      <c r="H29" s="254">
        <v>78023.957609340869</v>
      </c>
      <c r="I29" s="254">
        <v>78023.957609340869</v>
      </c>
      <c r="J29" s="254">
        <v>78023.957609340869</v>
      </c>
      <c r="K29" s="257">
        <v>-25816.091704550701</v>
      </c>
      <c r="L29" s="257">
        <v>-25816.091704550701</v>
      </c>
      <c r="M29" s="319" t="s">
        <v>145</v>
      </c>
      <c r="N29" s="254" t="s">
        <v>170</v>
      </c>
      <c r="O29" s="318" t="s">
        <v>22</v>
      </c>
      <c r="P29" s="308"/>
    </row>
    <row r="30" spans="1:18" ht="14.25" customHeight="1" x14ac:dyDescent="0.25">
      <c r="A30" s="297" t="s">
        <v>168</v>
      </c>
      <c r="B30" s="297" t="s">
        <v>169</v>
      </c>
      <c r="C30" s="254">
        <v>-955105</v>
      </c>
      <c r="D30" s="254">
        <v>-955105</v>
      </c>
      <c r="E30" s="254">
        <v>-955105</v>
      </c>
      <c r="F30" s="254">
        <v>-955105</v>
      </c>
      <c r="G30" s="254">
        <v>-641623.9438718505</v>
      </c>
      <c r="H30" s="254">
        <v>-641623.9438718505</v>
      </c>
      <c r="I30" s="254">
        <v>-641623.9438718505</v>
      </c>
      <c r="J30" s="254">
        <v>-641623.9438718505</v>
      </c>
      <c r="K30" s="257">
        <v>-443279</v>
      </c>
      <c r="L30" s="257">
        <v>-443279</v>
      </c>
      <c r="M30" s="319" t="s">
        <v>173</v>
      </c>
      <c r="N30" s="254" t="s">
        <v>170</v>
      </c>
      <c r="O30" s="318" t="s">
        <v>5</v>
      </c>
      <c r="P30" s="308"/>
    </row>
    <row r="31" spans="1:18" ht="14.25" customHeight="1" x14ac:dyDescent="0.25">
      <c r="A31" s="297" t="s">
        <v>168</v>
      </c>
      <c r="B31" s="297" t="s">
        <v>169</v>
      </c>
      <c r="C31" s="254">
        <v>4958</v>
      </c>
      <c r="D31" s="254">
        <v>4958</v>
      </c>
      <c r="E31" s="254">
        <v>4958</v>
      </c>
      <c r="F31" s="254">
        <v>4958</v>
      </c>
      <c r="G31" s="254">
        <v>5157.1790224296492</v>
      </c>
      <c r="H31" s="254">
        <v>5157.1790224296492</v>
      </c>
      <c r="I31" s="254">
        <v>5157.1790224296492</v>
      </c>
      <c r="J31" s="254">
        <v>5157.1790224296492</v>
      </c>
      <c r="K31" s="257">
        <v>5336.996733802267</v>
      </c>
      <c r="L31" s="257">
        <v>5336.996733802267</v>
      </c>
      <c r="M31" s="319" t="s">
        <v>158</v>
      </c>
      <c r="N31" s="254" t="s">
        <v>170</v>
      </c>
      <c r="O31" s="318" t="s">
        <v>5</v>
      </c>
      <c r="P31" s="308"/>
    </row>
    <row r="32" spans="1:18" ht="14.25" customHeight="1" x14ac:dyDescent="0.25">
      <c r="A32" s="297" t="s">
        <v>168</v>
      </c>
      <c r="B32" s="297" t="s">
        <v>169</v>
      </c>
      <c r="C32" s="254">
        <v>-3582</v>
      </c>
      <c r="D32" s="254">
        <v>-3582</v>
      </c>
      <c r="E32" s="254">
        <v>-3582</v>
      </c>
      <c r="F32" s="254">
        <v>-3582</v>
      </c>
      <c r="G32" s="254">
        <v>-19169.386585016884</v>
      </c>
      <c r="H32" s="254">
        <v>-19169.386585016884</v>
      </c>
      <c r="I32" s="254">
        <v>-19169.386585016884</v>
      </c>
      <c r="J32" s="254">
        <v>-19169.386585016884</v>
      </c>
      <c r="K32" s="257">
        <v>-2686.1566957162595</v>
      </c>
      <c r="L32" s="257">
        <v>-2686.1566957162595</v>
      </c>
      <c r="M32" s="319" t="s">
        <v>147</v>
      </c>
      <c r="N32" s="254" t="s">
        <v>170</v>
      </c>
      <c r="O32" s="318" t="s">
        <v>5</v>
      </c>
      <c r="P32" s="308"/>
    </row>
    <row r="33" spans="1:17" ht="14.25" customHeight="1" x14ac:dyDescent="0.25">
      <c r="B33" s="297" t="s">
        <v>169</v>
      </c>
      <c r="C33" s="254">
        <v>6584.5460872713084</v>
      </c>
      <c r="D33" s="254">
        <v>6584.5460872713084</v>
      </c>
      <c r="E33" s="254">
        <v>6584.5460872713084</v>
      </c>
      <c r="F33" s="254">
        <v>6584.5460872713084</v>
      </c>
      <c r="G33" s="254">
        <v>2344.4997013776792</v>
      </c>
      <c r="H33" s="254">
        <v>2344.4997013776792</v>
      </c>
      <c r="I33" s="254">
        <v>2344.4997013776792</v>
      </c>
      <c r="J33" s="254">
        <v>2344.4997013776792</v>
      </c>
      <c r="K33" s="257">
        <v>28843.044462928839</v>
      </c>
      <c r="L33" s="257">
        <v>28843.044462928839</v>
      </c>
      <c r="M33" s="319" t="s">
        <v>157</v>
      </c>
      <c r="N33" s="254" t="s">
        <v>170</v>
      </c>
      <c r="O33" s="318" t="s">
        <v>5</v>
      </c>
      <c r="P33" s="308"/>
    </row>
    <row r="34" spans="1:17" ht="14.25" customHeight="1" x14ac:dyDescent="0.25">
      <c r="B34" s="297" t="s">
        <v>174</v>
      </c>
      <c r="C34" s="254">
        <v>2362.884396062841</v>
      </c>
      <c r="D34" s="254">
        <v>2362.884396062841</v>
      </c>
      <c r="E34" s="254">
        <v>2362.884396062841</v>
      </c>
      <c r="F34" s="254">
        <v>2362.884396062841</v>
      </c>
      <c r="G34" s="254">
        <v>4709.1936642246847</v>
      </c>
      <c r="H34" s="254">
        <v>4709.1936642246847</v>
      </c>
      <c r="I34" s="254">
        <v>4709.1936642246847</v>
      </c>
      <c r="J34" s="254">
        <v>4709.1936642246847</v>
      </c>
      <c r="K34" s="257">
        <v>6677.0315948793686</v>
      </c>
      <c r="L34" s="257">
        <v>6677.0315948793686</v>
      </c>
      <c r="M34" s="319" t="s">
        <v>156</v>
      </c>
      <c r="N34" s="254" t="s">
        <v>170</v>
      </c>
      <c r="O34" s="318" t="s">
        <v>175</v>
      </c>
      <c r="P34" s="308"/>
    </row>
    <row r="35" spans="1:17" ht="14.25" customHeight="1" x14ac:dyDescent="0.25">
      <c r="A35" s="297" t="s">
        <v>176</v>
      </c>
      <c r="B35" s="297" t="s">
        <v>177</v>
      </c>
      <c r="C35" s="254">
        <v>8772.9520004042643</v>
      </c>
      <c r="D35" s="254">
        <v>8772.9520004042643</v>
      </c>
      <c r="E35" s="254">
        <v>8772.9520004042643</v>
      </c>
      <c r="F35" s="254">
        <v>8772.9520004042643</v>
      </c>
      <c r="G35" s="254">
        <v>18400.889046503136</v>
      </c>
      <c r="H35" s="254">
        <v>18400.889046503136</v>
      </c>
      <c r="I35" s="254">
        <v>18400.889046503136</v>
      </c>
      <c r="J35" s="254">
        <v>18400.889046503136</v>
      </c>
      <c r="K35" s="257">
        <v>9995.8191531838747</v>
      </c>
      <c r="L35" s="257">
        <v>9995.8191531838747</v>
      </c>
      <c r="M35" s="319" t="s">
        <v>157</v>
      </c>
      <c r="N35" s="254" t="s">
        <v>170</v>
      </c>
      <c r="O35" s="318" t="s">
        <v>22</v>
      </c>
      <c r="P35" s="308"/>
    </row>
    <row r="36" spans="1:17" ht="14.25" customHeight="1" x14ac:dyDescent="0.25">
      <c r="B36" s="297" t="s">
        <v>178</v>
      </c>
      <c r="C36" s="254">
        <v>676260.15705896821</v>
      </c>
      <c r="D36" s="254">
        <v>676260.15705896821</v>
      </c>
      <c r="E36" s="254">
        <v>676260.15705896821</v>
      </c>
      <c r="F36" s="254">
        <v>676260.15705896821</v>
      </c>
      <c r="G36" s="254">
        <v>459053.56166877813</v>
      </c>
      <c r="H36" s="254">
        <v>459053.56166877813</v>
      </c>
      <c r="I36" s="254">
        <v>459053.56166877813</v>
      </c>
      <c r="J36" s="254">
        <v>459053.56166877813</v>
      </c>
      <c r="K36" s="257">
        <v>445222.26282184431</v>
      </c>
      <c r="L36" s="257">
        <v>445222.26282184431</v>
      </c>
      <c r="M36" s="297" t="s">
        <v>142</v>
      </c>
      <c r="N36" s="254" t="s">
        <v>170</v>
      </c>
      <c r="O36" s="318" t="s">
        <v>22</v>
      </c>
      <c r="P36" s="308"/>
    </row>
    <row r="37" spans="1:17" ht="14.25" customHeight="1" x14ac:dyDescent="0.25">
      <c r="B37" s="297" t="s">
        <v>179</v>
      </c>
      <c r="C37" s="254">
        <v>459077.86021180276</v>
      </c>
      <c r="D37" s="254">
        <v>459077.86021180276</v>
      </c>
      <c r="E37" s="254">
        <v>0</v>
      </c>
      <c r="F37" s="254">
        <f>E37</f>
        <v>0</v>
      </c>
      <c r="G37" s="254">
        <v>0</v>
      </c>
      <c r="H37" s="254">
        <v>0</v>
      </c>
      <c r="I37" s="254">
        <v>0</v>
      </c>
      <c r="J37" s="254">
        <v>0</v>
      </c>
      <c r="K37" s="254">
        <v>0</v>
      </c>
      <c r="L37" s="254">
        <v>0</v>
      </c>
      <c r="M37" s="297" t="s">
        <v>142</v>
      </c>
      <c r="N37" s="254" t="s">
        <v>180</v>
      </c>
      <c r="O37" s="318" t="s">
        <v>22</v>
      </c>
      <c r="P37" s="308"/>
    </row>
    <row r="38" spans="1:17" s="320" customFormat="1" ht="14.25" customHeight="1" x14ac:dyDescent="0.25">
      <c r="B38" s="297" t="s">
        <v>181</v>
      </c>
      <c r="C38" s="254">
        <v>0</v>
      </c>
      <c r="D38" s="254">
        <v>0</v>
      </c>
      <c r="E38" s="254">
        <v>0</v>
      </c>
      <c r="F38" s="254">
        <v>-750729.82256741822</v>
      </c>
      <c r="G38" s="254">
        <v>-750729.82256741822</v>
      </c>
      <c r="H38" s="254">
        <v>-750729.82256741822</v>
      </c>
      <c r="I38" s="254">
        <v>-750729.82256741822</v>
      </c>
      <c r="J38" s="254">
        <v>0</v>
      </c>
      <c r="K38" s="254">
        <v>0</v>
      </c>
      <c r="L38" s="254">
        <v>0</v>
      </c>
      <c r="M38" s="297" t="s">
        <v>142</v>
      </c>
      <c r="N38" s="254" t="s">
        <v>182</v>
      </c>
      <c r="O38" s="318" t="s">
        <v>22</v>
      </c>
      <c r="P38" s="308"/>
      <c r="Q38" s="297"/>
    </row>
    <row r="39" spans="1:17" ht="14.25" customHeight="1" x14ac:dyDescent="0.25">
      <c r="B39" s="296" t="s">
        <v>183</v>
      </c>
      <c r="C39" s="254">
        <v>2572.4539127286921</v>
      </c>
      <c r="D39" s="254">
        <v>2572.4539127286921</v>
      </c>
      <c r="E39" s="254">
        <v>2572.4539127286921</v>
      </c>
      <c r="F39" s="254">
        <v>2572.4539127286921</v>
      </c>
      <c r="G39" s="254">
        <v>2996.6903924306757</v>
      </c>
      <c r="H39" s="254">
        <v>2996.6903924306757</v>
      </c>
      <c r="I39" s="254">
        <v>2996.6903924306757</v>
      </c>
      <c r="J39" s="254">
        <v>2996.6903924306757</v>
      </c>
      <c r="K39" s="257">
        <v>3280.1284958733913</v>
      </c>
      <c r="L39" s="257">
        <v>3280.1284958733913</v>
      </c>
      <c r="M39" s="319" t="s">
        <v>157</v>
      </c>
      <c r="N39" s="254" t="s">
        <v>170</v>
      </c>
      <c r="O39" s="318" t="s">
        <v>5</v>
      </c>
      <c r="P39" s="308"/>
    </row>
    <row r="40" spans="1:17" ht="14.25" customHeight="1" x14ac:dyDescent="0.25">
      <c r="B40" s="297" t="s">
        <v>184</v>
      </c>
      <c r="C40" s="254">
        <v>0</v>
      </c>
      <c r="D40" s="254">
        <v>0</v>
      </c>
      <c r="E40" s="254">
        <v>0</v>
      </c>
      <c r="F40" s="254">
        <v>0</v>
      </c>
      <c r="G40" s="254">
        <v>0</v>
      </c>
      <c r="H40" s="254">
        <v>0</v>
      </c>
      <c r="I40" s="254">
        <v>0</v>
      </c>
      <c r="J40" s="254">
        <v>0</v>
      </c>
      <c r="K40" s="257">
        <v>2037.6740343573588</v>
      </c>
      <c r="L40" s="257">
        <v>2037.6740343573588</v>
      </c>
      <c r="M40" s="297" t="s">
        <v>142</v>
      </c>
      <c r="N40" s="254" t="s">
        <v>185</v>
      </c>
      <c r="O40" s="318" t="s">
        <v>5</v>
      </c>
      <c r="P40" s="308"/>
    </row>
    <row r="41" spans="1:17" ht="14.25" customHeight="1" x14ac:dyDescent="0.25">
      <c r="B41" s="297" t="s">
        <v>184</v>
      </c>
      <c r="C41" s="254">
        <v>0</v>
      </c>
      <c r="D41" s="254">
        <v>0</v>
      </c>
      <c r="E41" s="254">
        <v>0</v>
      </c>
      <c r="F41" s="254">
        <v>0</v>
      </c>
      <c r="G41" s="254">
        <v>0</v>
      </c>
      <c r="H41" s="254">
        <v>0</v>
      </c>
      <c r="I41" s="254">
        <v>0</v>
      </c>
      <c r="J41" s="254">
        <v>0</v>
      </c>
      <c r="K41" s="257">
        <v>26947.029256805465</v>
      </c>
      <c r="L41" s="257">
        <v>26947.029256805465</v>
      </c>
      <c r="M41" s="297" t="s">
        <v>147</v>
      </c>
      <c r="N41" s="254" t="s">
        <v>185</v>
      </c>
      <c r="O41" s="318" t="s">
        <v>5</v>
      </c>
      <c r="P41" s="308"/>
    </row>
    <row r="42" spans="1:17" ht="14.25" customHeight="1" x14ac:dyDescent="0.25">
      <c r="B42" s="297" t="s">
        <v>186</v>
      </c>
      <c r="C42" s="254">
        <v>0</v>
      </c>
      <c r="D42" s="254">
        <v>0</v>
      </c>
      <c r="E42" s="254">
        <v>0</v>
      </c>
      <c r="F42" s="254">
        <v>0</v>
      </c>
      <c r="G42" s="254">
        <v>0</v>
      </c>
      <c r="H42" s="254">
        <v>0</v>
      </c>
      <c r="I42" s="254">
        <v>0</v>
      </c>
      <c r="J42" s="254">
        <v>0</v>
      </c>
      <c r="K42" s="254"/>
      <c r="L42" s="254">
        <v>-85750.175866830832</v>
      </c>
      <c r="M42" s="319" t="s">
        <v>147</v>
      </c>
      <c r="N42" s="254" t="s">
        <v>187</v>
      </c>
      <c r="O42" s="318" t="s">
        <v>5</v>
      </c>
      <c r="P42" s="308"/>
    </row>
    <row r="43" spans="1:17" ht="14.25" customHeight="1" x14ac:dyDescent="0.25">
      <c r="B43" s="297" t="s">
        <v>186</v>
      </c>
      <c r="C43" s="254">
        <v>0</v>
      </c>
      <c r="D43" s="254">
        <v>0</v>
      </c>
      <c r="E43" s="254">
        <v>0</v>
      </c>
      <c r="F43" s="254">
        <v>0</v>
      </c>
      <c r="G43" s="254">
        <v>0</v>
      </c>
      <c r="H43" s="254">
        <v>0</v>
      </c>
      <c r="I43" s="254">
        <v>0</v>
      </c>
      <c r="J43" s="254">
        <v>0</v>
      </c>
      <c r="K43" s="254"/>
      <c r="L43" s="254">
        <v>12312.939560773326</v>
      </c>
      <c r="M43" s="319" t="s">
        <v>157</v>
      </c>
      <c r="N43" s="254" t="s">
        <v>187</v>
      </c>
      <c r="O43" s="318" t="s">
        <v>5</v>
      </c>
      <c r="P43" s="308"/>
    </row>
    <row r="44" spans="1:17" ht="14.25" customHeight="1" x14ac:dyDescent="0.25">
      <c r="A44" s="297" t="s">
        <v>188</v>
      </c>
      <c r="B44" s="297" t="s">
        <v>189</v>
      </c>
      <c r="C44" s="254">
        <v>4756.555824788984</v>
      </c>
      <c r="D44" s="254">
        <v>4756.555824788984</v>
      </c>
      <c r="E44" s="254">
        <v>4756.555824788984</v>
      </c>
      <c r="F44" s="254">
        <v>4756.555824788984</v>
      </c>
      <c r="G44" s="254">
        <v>-484.35668115041807</v>
      </c>
      <c r="H44" s="254">
        <v>-484.35668115041807</v>
      </c>
      <c r="I44" s="254">
        <v>-484.35668115041807</v>
      </c>
      <c r="J44" s="254">
        <v>-484.35668115041807</v>
      </c>
      <c r="K44" s="257">
        <v>709.34693655783053</v>
      </c>
      <c r="L44" s="257">
        <v>709.34693655783053</v>
      </c>
      <c r="M44" s="297" t="s">
        <v>142</v>
      </c>
      <c r="N44" s="254" t="s">
        <v>160</v>
      </c>
      <c r="O44" s="318" t="s">
        <v>22</v>
      </c>
      <c r="P44" s="308"/>
    </row>
    <row r="45" spans="1:17" ht="14.25" customHeight="1" x14ac:dyDescent="0.25">
      <c r="A45" s="297" t="s">
        <v>190</v>
      </c>
      <c r="B45" s="297" t="s">
        <v>191</v>
      </c>
      <c r="C45" s="254">
        <v>695357.18504806422</v>
      </c>
      <c r="D45" s="254">
        <v>695357.18504806422</v>
      </c>
      <c r="E45" s="254">
        <v>695357.18504806422</v>
      </c>
      <c r="F45" s="254">
        <v>695357.18504806422</v>
      </c>
      <c r="G45" s="254">
        <v>676672.12182817794</v>
      </c>
      <c r="H45" s="254">
        <v>676672.12182817794</v>
      </c>
      <c r="I45" s="254">
        <v>676672.12182817794</v>
      </c>
      <c r="J45" s="254">
        <v>676675.81947442214</v>
      </c>
      <c r="K45" s="257">
        <v>477020.05717311922</v>
      </c>
      <c r="L45" s="257">
        <v>477020.05717311922</v>
      </c>
      <c r="M45" s="297" t="s">
        <v>147</v>
      </c>
      <c r="N45" s="254" t="s">
        <v>192</v>
      </c>
      <c r="O45" s="318" t="s">
        <v>22</v>
      </c>
      <c r="P45" s="308"/>
    </row>
    <row r="46" spans="1:17" ht="14.25" customHeight="1" x14ac:dyDescent="0.25">
      <c r="A46" s="297" t="s">
        <v>193</v>
      </c>
      <c r="B46" s="297" t="s">
        <v>190</v>
      </c>
      <c r="C46" s="254">
        <v>1927</v>
      </c>
      <c r="D46" s="254">
        <v>1927</v>
      </c>
      <c r="E46" s="254">
        <v>1927</v>
      </c>
      <c r="F46" s="254">
        <v>1927</v>
      </c>
      <c r="G46" s="254">
        <v>-6072.6306642878781</v>
      </c>
      <c r="H46" s="254">
        <v>-6072.6306642878781</v>
      </c>
      <c r="I46" s="254">
        <v>-6072.6306642878781</v>
      </c>
      <c r="J46" s="254">
        <v>-6072.6306642878781</v>
      </c>
      <c r="K46" s="257">
        <v>-3199</v>
      </c>
      <c r="L46" s="257">
        <v>-3199</v>
      </c>
      <c r="M46" s="319" t="s">
        <v>158</v>
      </c>
      <c r="N46" s="254" t="s">
        <v>160</v>
      </c>
      <c r="O46" s="318" t="s">
        <v>22</v>
      </c>
      <c r="P46" s="308"/>
    </row>
    <row r="47" spans="1:17" ht="14.25" customHeight="1" x14ac:dyDescent="0.25">
      <c r="A47" s="297" t="s">
        <v>194</v>
      </c>
      <c r="B47" s="297" t="s">
        <v>193</v>
      </c>
      <c r="C47" s="254">
        <v>55214.930722502482</v>
      </c>
      <c r="D47" s="254">
        <v>55214.930722502482</v>
      </c>
      <c r="E47" s="254">
        <v>55214.930722502482</v>
      </c>
      <c r="F47" s="254">
        <v>55214.930722502482</v>
      </c>
      <c r="G47" s="254">
        <v>107382.17470550838</v>
      </c>
      <c r="H47" s="254">
        <v>107382.17470550838</v>
      </c>
      <c r="I47" s="254">
        <v>107382.17470550838</v>
      </c>
      <c r="J47" s="254">
        <v>107382.17470550838</v>
      </c>
      <c r="K47" s="257">
        <v>-92235.96705978064</v>
      </c>
      <c r="L47" s="257">
        <v>-92235.96705978064</v>
      </c>
      <c r="M47" s="319" t="s">
        <v>157</v>
      </c>
      <c r="N47" s="254" t="s">
        <v>160</v>
      </c>
      <c r="O47" s="318" t="s">
        <v>22</v>
      </c>
      <c r="P47" s="308"/>
    </row>
    <row r="48" spans="1:17" ht="14.25" customHeight="1" x14ac:dyDescent="0.25">
      <c r="B48" s="297" t="s">
        <v>194</v>
      </c>
      <c r="C48" s="254">
        <v>57989.277856698558</v>
      </c>
      <c r="D48" s="254">
        <v>57989.277856698558</v>
      </c>
      <c r="E48" s="254">
        <v>57989.277856698558</v>
      </c>
      <c r="F48" s="254">
        <v>57989.277856698558</v>
      </c>
      <c r="G48" s="254">
        <v>191863.32063009514</v>
      </c>
      <c r="H48" s="254">
        <v>191863.32063009514</v>
      </c>
      <c r="I48" s="254">
        <v>191863.32063009514</v>
      </c>
      <c r="J48" s="254">
        <v>191863.32063009514</v>
      </c>
      <c r="K48" s="257">
        <v>222996</v>
      </c>
      <c r="L48" s="257">
        <v>222996</v>
      </c>
      <c r="M48" s="319" t="s">
        <v>157</v>
      </c>
      <c r="N48" s="254" t="s">
        <v>160</v>
      </c>
      <c r="O48" s="318" t="s">
        <v>22</v>
      </c>
      <c r="P48" s="308"/>
    </row>
    <row r="49" spans="2:17" ht="14.25" customHeight="1" x14ac:dyDescent="0.25">
      <c r="B49" s="298" t="s">
        <v>195</v>
      </c>
      <c r="C49" s="254">
        <v>17006</v>
      </c>
      <c r="D49" s="254">
        <v>17591</v>
      </c>
      <c r="E49" s="254">
        <v>17591</v>
      </c>
      <c r="F49" s="254">
        <v>17591</v>
      </c>
      <c r="G49" s="254">
        <v>29550.512537807663</v>
      </c>
      <c r="H49" s="254">
        <v>29550.512537807663</v>
      </c>
      <c r="I49" s="254">
        <v>29550.512537807663</v>
      </c>
      <c r="J49" s="254">
        <v>29550.512537807663</v>
      </c>
      <c r="K49" s="257">
        <v>30050.914394141</v>
      </c>
      <c r="L49" s="257">
        <v>30050.914394141</v>
      </c>
      <c r="M49" s="319" t="s">
        <v>142</v>
      </c>
      <c r="N49" s="254" t="s">
        <v>196</v>
      </c>
      <c r="O49" s="318" t="s">
        <v>5</v>
      </c>
      <c r="P49" s="308"/>
    </row>
    <row r="50" spans="2:17" ht="14.25" customHeight="1" x14ac:dyDescent="0.25">
      <c r="B50" s="298" t="s">
        <v>195</v>
      </c>
      <c r="C50" s="254">
        <v>62428</v>
      </c>
      <c r="D50" s="254">
        <v>64611</v>
      </c>
      <c r="E50" s="254">
        <v>64611</v>
      </c>
      <c r="F50" s="254">
        <v>64611</v>
      </c>
      <c r="G50" s="254">
        <v>79159.143714744365</v>
      </c>
      <c r="H50" s="254">
        <v>79159.143714744365</v>
      </c>
      <c r="I50" s="254">
        <v>79159.143714744365</v>
      </c>
      <c r="J50" s="254">
        <v>79159.143714744365</v>
      </c>
      <c r="K50" s="257">
        <v>81023.405481569978</v>
      </c>
      <c r="L50" s="257">
        <v>81023.405481569978</v>
      </c>
      <c r="M50" s="297" t="s">
        <v>147</v>
      </c>
      <c r="N50" s="254" t="s">
        <v>196</v>
      </c>
      <c r="O50" s="318" t="s">
        <v>5</v>
      </c>
      <c r="P50" s="308"/>
    </row>
    <row r="51" spans="2:17" ht="14.25" customHeight="1" x14ac:dyDescent="0.25">
      <c r="B51" s="298" t="s">
        <v>197</v>
      </c>
      <c r="C51" s="254">
        <v>135161.69012109609</v>
      </c>
      <c r="D51" s="254">
        <v>135161.69012109609</v>
      </c>
      <c r="E51" s="254">
        <v>135161.69012109609</v>
      </c>
      <c r="F51" s="254">
        <v>135161.69012109609</v>
      </c>
      <c r="G51" s="254">
        <v>135161.69012109609</v>
      </c>
      <c r="H51" s="254">
        <v>0</v>
      </c>
      <c r="I51" s="254">
        <v>0</v>
      </c>
      <c r="J51" s="254">
        <v>0</v>
      </c>
      <c r="K51" s="254">
        <v>0</v>
      </c>
      <c r="L51" s="254">
        <v>0</v>
      </c>
      <c r="M51" s="297" t="s">
        <v>147</v>
      </c>
      <c r="N51" s="254" t="s">
        <v>198</v>
      </c>
      <c r="O51" s="318" t="s">
        <v>5</v>
      </c>
      <c r="P51" s="308"/>
    </row>
    <row r="52" spans="2:17" ht="14.25" customHeight="1" x14ac:dyDescent="0.25">
      <c r="B52" s="298" t="s">
        <v>199</v>
      </c>
      <c r="C52" s="254">
        <v>135415.57954872175</v>
      </c>
      <c r="D52" s="254">
        <v>135415.57954872175</v>
      </c>
      <c r="E52" s="254">
        <v>135415.57954872175</v>
      </c>
      <c r="F52" s="254">
        <v>135415.57954872175</v>
      </c>
      <c r="G52" s="254">
        <v>135415.57954872175</v>
      </c>
      <c r="H52" s="254">
        <v>135415.57954872175</v>
      </c>
      <c r="I52" s="254">
        <v>135415.57954872175</v>
      </c>
      <c r="J52" s="254">
        <v>0</v>
      </c>
      <c r="K52" s="254">
        <v>0</v>
      </c>
      <c r="L52" s="254">
        <v>0</v>
      </c>
      <c r="M52" s="297" t="s">
        <v>147</v>
      </c>
      <c r="N52" s="254" t="s">
        <v>200</v>
      </c>
      <c r="O52" s="318" t="s">
        <v>5</v>
      </c>
      <c r="P52" s="308"/>
    </row>
    <row r="53" spans="2:17" ht="14.25" customHeight="1" x14ac:dyDescent="0.25">
      <c r="B53" s="296" t="s">
        <v>201</v>
      </c>
      <c r="C53" s="254">
        <v>29215.513444206365</v>
      </c>
      <c r="D53" s="254">
        <v>29215.513444206365</v>
      </c>
      <c r="E53" s="254">
        <v>29215.513444206365</v>
      </c>
      <c r="F53" s="254">
        <v>34738.530283465407</v>
      </c>
      <c r="G53" s="254">
        <v>34738.530283465407</v>
      </c>
      <c r="H53" s="254">
        <v>34738.530283465407</v>
      </c>
      <c r="I53" s="254">
        <v>34738.530283465407</v>
      </c>
      <c r="J53" s="254">
        <v>39014.127446854989</v>
      </c>
      <c r="K53" s="257">
        <v>39048.886159864582</v>
      </c>
      <c r="L53" s="257">
        <v>39048.886159864582</v>
      </c>
      <c r="M53" s="297" t="s">
        <v>147</v>
      </c>
      <c r="N53" s="254" t="s">
        <v>202</v>
      </c>
      <c r="O53" s="318" t="s">
        <v>22</v>
      </c>
      <c r="P53" s="308"/>
    </row>
    <row r="54" spans="2:17" s="320" customFormat="1" ht="14.25" customHeight="1" x14ac:dyDescent="0.25">
      <c r="B54" s="296" t="s">
        <v>203</v>
      </c>
      <c r="C54" s="254">
        <v>0</v>
      </c>
      <c r="D54" s="254">
        <v>0</v>
      </c>
      <c r="E54" s="254">
        <v>0</v>
      </c>
      <c r="F54" s="254">
        <v>129014.05782358669</v>
      </c>
      <c r="G54" s="254">
        <v>129014.05782358669</v>
      </c>
      <c r="H54" s="254">
        <v>129014.05782358669</v>
      </c>
      <c r="I54" s="254">
        <v>129014.05782358669</v>
      </c>
      <c r="J54" s="254">
        <v>0</v>
      </c>
      <c r="K54" s="254">
        <v>0</v>
      </c>
      <c r="L54" s="254">
        <v>0</v>
      </c>
      <c r="M54" s="297" t="s">
        <v>147</v>
      </c>
      <c r="N54" s="254" t="s">
        <v>204</v>
      </c>
      <c r="O54" s="318" t="s">
        <v>22</v>
      </c>
      <c r="P54" s="308"/>
      <c r="Q54" s="297"/>
    </row>
    <row r="55" spans="2:17" ht="14.25" customHeight="1" x14ac:dyDescent="0.25">
      <c r="B55" s="298" t="s">
        <v>205</v>
      </c>
      <c r="C55" s="254">
        <v>37644.69531487787</v>
      </c>
      <c r="D55" s="254">
        <v>37644.69531487787</v>
      </c>
      <c r="E55" s="254">
        <v>37644.69531487787</v>
      </c>
      <c r="F55" s="254">
        <v>0</v>
      </c>
      <c r="G55" s="254">
        <v>0</v>
      </c>
      <c r="H55" s="254">
        <v>0</v>
      </c>
      <c r="I55" s="254">
        <v>0</v>
      </c>
      <c r="J55" s="254">
        <v>0</v>
      </c>
      <c r="K55" s="254">
        <v>0</v>
      </c>
      <c r="L55" s="254">
        <v>0</v>
      </c>
      <c r="M55" s="297" t="s">
        <v>147</v>
      </c>
      <c r="N55" s="254" t="s">
        <v>206</v>
      </c>
      <c r="O55" s="318" t="s">
        <v>5</v>
      </c>
      <c r="P55" s="308"/>
    </row>
    <row r="56" spans="2:17" ht="14.25" customHeight="1" x14ac:dyDescent="0.25">
      <c r="B56" s="298" t="s">
        <v>207</v>
      </c>
      <c r="C56" s="254">
        <v>0</v>
      </c>
      <c r="D56" s="254">
        <v>0</v>
      </c>
      <c r="E56" s="254">
        <v>378956.96673910116</v>
      </c>
      <c r="F56" s="254">
        <v>378956.96673910116</v>
      </c>
      <c r="G56" s="254">
        <v>378956.96673910116</v>
      </c>
      <c r="H56" s="254">
        <v>378956.96673910116</v>
      </c>
      <c r="I56" s="254">
        <v>0</v>
      </c>
      <c r="J56" s="254">
        <v>0</v>
      </c>
      <c r="K56" s="254">
        <v>0</v>
      </c>
      <c r="L56" s="254">
        <v>0</v>
      </c>
      <c r="M56" s="297" t="s">
        <v>147</v>
      </c>
      <c r="N56" s="254" t="s">
        <v>208</v>
      </c>
      <c r="O56" s="318" t="s">
        <v>5</v>
      </c>
      <c r="P56" s="308"/>
    </row>
    <row r="57" spans="2:17" ht="14.25" customHeight="1" x14ac:dyDescent="0.25">
      <c r="B57" s="298" t="s">
        <v>209</v>
      </c>
      <c r="C57" s="254">
        <v>0</v>
      </c>
      <c r="D57" s="254">
        <v>0</v>
      </c>
      <c r="E57" s="254">
        <v>0</v>
      </c>
      <c r="F57" s="254">
        <v>0</v>
      </c>
      <c r="G57" s="254">
        <v>0</v>
      </c>
      <c r="H57" s="254">
        <v>0</v>
      </c>
      <c r="I57" s="254">
        <v>0</v>
      </c>
      <c r="J57" s="254">
        <v>137017.1376651804</v>
      </c>
      <c r="K57" s="257">
        <v>137139.2098394713</v>
      </c>
      <c r="L57" s="257">
        <v>137139.2098394713</v>
      </c>
      <c r="M57" s="297" t="s">
        <v>147</v>
      </c>
      <c r="N57" s="254" t="s">
        <v>210</v>
      </c>
      <c r="O57" s="318" t="s">
        <v>5</v>
      </c>
      <c r="P57" s="308"/>
    </row>
    <row r="58" spans="2:17" s="320" customFormat="1" ht="14.25" customHeight="1" x14ac:dyDescent="0.25">
      <c r="B58" s="298" t="s">
        <v>211</v>
      </c>
      <c r="C58" s="254">
        <v>0</v>
      </c>
      <c r="D58" s="254">
        <v>0</v>
      </c>
      <c r="E58" s="254">
        <v>0</v>
      </c>
      <c r="F58" s="254">
        <v>149902.81456841179</v>
      </c>
      <c r="G58" s="254">
        <v>149902.81456841179</v>
      </c>
      <c r="H58" s="254">
        <v>149902.81456841179</v>
      </c>
      <c r="I58" s="254">
        <v>149902.81456841179</v>
      </c>
      <c r="J58" s="254">
        <v>149902.81456841179</v>
      </c>
      <c r="K58" s="254">
        <v>0</v>
      </c>
      <c r="L58" s="254">
        <v>0</v>
      </c>
      <c r="M58" s="297" t="s">
        <v>147</v>
      </c>
      <c r="N58" s="254" t="s">
        <v>212</v>
      </c>
      <c r="O58" s="318" t="s">
        <v>5</v>
      </c>
      <c r="P58" s="308"/>
      <c r="Q58" s="297"/>
    </row>
    <row r="59" spans="2:17" s="320" customFormat="1" ht="14.25" customHeight="1" x14ac:dyDescent="0.25">
      <c r="B59" s="298" t="s">
        <v>213</v>
      </c>
      <c r="C59" s="254">
        <v>0</v>
      </c>
      <c r="D59" s="254">
        <v>0</v>
      </c>
      <c r="E59" s="254">
        <v>0</v>
      </c>
      <c r="F59" s="254">
        <v>0</v>
      </c>
      <c r="G59" s="254">
        <v>0</v>
      </c>
      <c r="H59" s="254">
        <v>0</v>
      </c>
      <c r="I59" s="254">
        <v>0</v>
      </c>
      <c r="J59" s="254">
        <v>416027.00882850366</v>
      </c>
      <c r="K59" s="257">
        <v>416397.65824066353</v>
      </c>
      <c r="L59" s="257">
        <v>416397.65824066353</v>
      </c>
      <c r="M59" s="297" t="s">
        <v>147</v>
      </c>
      <c r="N59" s="254" t="s">
        <v>214</v>
      </c>
      <c r="O59" s="318" t="s">
        <v>5</v>
      </c>
      <c r="P59" s="308"/>
      <c r="Q59" s="297"/>
    </row>
    <row r="60" spans="2:17" ht="14.25" customHeight="1" x14ac:dyDescent="0.25">
      <c r="B60" s="298" t="s">
        <v>215</v>
      </c>
      <c r="C60" s="254">
        <v>18034.352362473768</v>
      </c>
      <c r="D60" s="254">
        <v>18034.352362473768</v>
      </c>
      <c r="E60" s="254">
        <v>18034.352362473768</v>
      </c>
      <c r="F60" s="254">
        <v>18034.352362473768</v>
      </c>
      <c r="G60" s="254">
        <v>23332.929382073369</v>
      </c>
      <c r="H60" s="254">
        <v>23332.929382073369</v>
      </c>
      <c r="I60" s="254">
        <v>23332.929382073369</v>
      </c>
      <c r="J60" s="254">
        <v>23332.929382073369</v>
      </c>
      <c r="K60" s="257">
        <v>17523.284533918879</v>
      </c>
      <c r="L60" s="257">
        <v>17523.284533918879</v>
      </c>
      <c r="M60" s="297" t="s">
        <v>147</v>
      </c>
      <c r="N60" s="254" t="s">
        <v>160</v>
      </c>
      <c r="O60" s="318" t="s">
        <v>22</v>
      </c>
      <c r="P60" s="308"/>
    </row>
    <row r="61" spans="2:17" ht="14.25" customHeight="1" x14ac:dyDescent="0.25">
      <c r="B61" s="298" t="s">
        <v>216</v>
      </c>
      <c r="C61" s="254">
        <v>214140.32573293196</v>
      </c>
      <c r="D61" s="254">
        <v>214140.32573293196</v>
      </c>
      <c r="E61" s="254">
        <v>0</v>
      </c>
      <c r="F61" s="254">
        <v>0</v>
      </c>
      <c r="G61" s="254">
        <v>0</v>
      </c>
      <c r="H61" s="254">
        <v>0</v>
      </c>
      <c r="I61" s="254">
        <v>0</v>
      </c>
      <c r="J61" s="254">
        <v>0</v>
      </c>
      <c r="K61" s="254">
        <v>0</v>
      </c>
      <c r="L61" s="254">
        <v>0</v>
      </c>
      <c r="M61" s="297" t="s">
        <v>147</v>
      </c>
      <c r="N61" s="254" t="s">
        <v>217</v>
      </c>
      <c r="O61" s="318" t="s">
        <v>5</v>
      </c>
      <c r="P61" s="308"/>
    </row>
    <row r="62" spans="2:17" s="320" customFormat="1" ht="14.25" customHeight="1" x14ac:dyDescent="0.25">
      <c r="B62" s="298" t="s">
        <v>218</v>
      </c>
      <c r="C62" s="254">
        <v>0</v>
      </c>
      <c r="D62" s="254">
        <v>0</v>
      </c>
      <c r="E62" s="254">
        <v>0</v>
      </c>
      <c r="F62" s="254">
        <v>288149.18073814461</v>
      </c>
      <c r="G62" s="254">
        <v>288149.18073814461</v>
      </c>
      <c r="H62" s="254">
        <v>288149.18073814461</v>
      </c>
      <c r="I62" s="254">
        <v>288149.18073814461</v>
      </c>
      <c r="J62" s="254">
        <v>0</v>
      </c>
      <c r="K62" s="254">
        <v>0</v>
      </c>
      <c r="L62" s="254">
        <v>0</v>
      </c>
      <c r="M62" s="297" t="s">
        <v>147</v>
      </c>
      <c r="N62" s="254" t="s">
        <v>219</v>
      </c>
      <c r="O62" s="318" t="s">
        <v>5</v>
      </c>
      <c r="P62" s="308"/>
      <c r="Q62" s="297"/>
    </row>
    <row r="63" spans="2:17" ht="14.25" customHeight="1" x14ac:dyDescent="0.25">
      <c r="B63" s="298" t="s">
        <v>220</v>
      </c>
      <c r="C63" s="254">
        <v>137221.32981912937</v>
      </c>
      <c r="D63" s="254">
        <v>137221.32981912937</v>
      </c>
      <c r="E63" s="254">
        <v>137221.32981912937</v>
      </c>
      <c r="F63" s="254">
        <v>137221.32981912937</v>
      </c>
      <c r="G63" s="254">
        <v>0</v>
      </c>
      <c r="H63" s="254">
        <v>0</v>
      </c>
      <c r="I63" s="254">
        <v>0</v>
      </c>
      <c r="J63" s="254">
        <v>-16761.221435292795</v>
      </c>
      <c r="K63" s="257">
        <v>-16776.154448631438</v>
      </c>
      <c r="L63" s="257">
        <v>-16776.154448631438</v>
      </c>
      <c r="M63" s="297" t="s">
        <v>147</v>
      </c>
      <c r="N63" s="254" t="s">
        <v>221</v>
      </c>
      <c r="O63" s="318" t="s">
        <v>5</v>
      </c>
      <c r="P63" s="308"/>
    </row>
    <row r="64" spans="2:17" ht="14.25" customHeight="1" x14ac:dyDescent="0.25">
      <c r="B64" s="298" t="s">
        <v>222</v>
      </c>
      <c r="C64" s="254">
        <v>0</v>
      </c>
      <c r="D64" s="254">
        <v>0</v>
      </c>
      <c r="E64" s="254">
        <v>0</v>
      </c>
      <c r="F64" s="254">
        <v>0</v>
      </c>
      <c r="G64" s="254">
        <v>0</v>
      </c>
      <c r="H64" s="254">
        <v>0</v>
      </c>
      <c r="I64" s="254">
        <v>34656.779359488304</v>
      </c>
      <c r="J64" s="254">
        <v>34656.779359488304</v>
      </c>
      <c r="K64" s="257">
        <v>34698.98912562972</v>
      </c>
      <c r="L64" s="254">
        <v>0</v>
      </c>
      <c r="M64" s="297" t="s">
        <v>147</v>
      </c>
      <c r="N64" s="254" t="s">
        <v>223</v>
      </c>
      <c r="O64" s="318" t="s">
        <v>5</v>
      </c>
      <c r="P64" s="308"/>
    </row>
    <row r="65" spans="1:16" ht="14.25" customHeight="1" x14ac:dyDescent="0.25">
      <c r="B65" s="298" t="s">
        <v>224</v>
      </c>
      <c r="C65" s="254">
        <v>0</v>
      </c>
      <c r="D65" s="254">
        <v>0</v>
      </c>
      <c r="E65" s="254">
        <v>-24268.433138949924</v>
      </c>
      <c r="F65" s="254">
        <v>-24268.433138949924</v>
      </c>
      <c r="G65" s="254">
        <v>-24268.433138949924</v>
      </c>
      <c r="H65" s="254">
        <v>-24268.433138949924</v>
      </c>
      <c r="I65" s="254">
        <v>0</v>
      </c>
      <c r="J65" s="254">
        <v>0</v>
      </c>
      <c r="K65" s="254">
        <v>0</v>
      </c>
      <c r="L65" s="254">
        <v>0</v>
      </c>
      <c r="M65" s="297" t="s">
        <v>147</v>
      </c>
      <c r="N65" s="254" t="s">
        <v>225</v>
      </c>
      <c r="O65" s="318" t="s">
        <v>5</v>
      </c>
      <c r="P65" s="308"/>
    </row>
    <row r="66" spans="1:16" ht="14.25" customHeight="1" x14ac:dyDescent="0.25">
      <c r="B66" s="298" t="s">
        <v>226</v>
      </c>
      <c r="C66" s="254">
        <v>38155.50099652254</v>
      </c>
      <c r="D66" s="254">
        <v>38155.50099652254</v>
      </c>
      <c r="E66" s="254">
        <v>0</v>
      </c>
      <c r="F66" s="254">
        <v>0</v>
      </c>
      <c r="G66" s="254">
        <v>0</v>
      </c>
      <c r="H66" s="254">
        <v>0</v>
      </c>
      <c r="I66" s="254">
        <v>0</v>
      </c>
      <c r="J66" s="254">
        <v>0</v>
      </c>
      <c r="K66" s="254">
        <v>0</v>
      </c>
      <c r="L66" s="254">
        <v>0</v>
      </c>
      <c r="M66" s="297" t="s">
        <v>147</v>
      </c>
      <c r="N66" s="254" t="s">
        <v>227</v>
      </c>
      <c r="O66" s="318" t="s">
        <v>5</v>
      </c>
      <c r="P66" s="308"/>
    </row>
    <row r="67" spans="1:16" ht="14.25" customHeight="1" x14ac:dyDescent="0.25">
      <c r="B67" s="297" t="s">
        <v>50</v>
      </c>
      <c r="C67" s="254">
        <v>0</v>
      </c>
      <c r="D67" s="254">
        <v>0</v>
      </c>
      <c r="E67" s="254">
        <v>0</v>
      </c>
      <c r="F67" s="254">
        <v>0</v>
      </c>
      <c r="G67" s="254">
        <v>282858.69088729238</v>
      </c>
      <c r="H67" s="254">
        <v>282858.69088729238</v>
      </c>
      <c r="I67" s="254">
        <v>282858.69088729238</v>
      </c>
      <c r="J67" s="254">
        <v>282858.69088729238</v>
      </c>
      <c r="K67" s="257">
        <v>131844.61631190931</v>
      </c>
      <c r="L67" s="257">
        <v>131844.61631190931</v>
      </c>
      <c r="M67" s="297" t="s">
        <v>228</v>
      </c>
      <c r="N67" s="254" t="s">
        <v>229</v>
      </c>
      <c r="O67" s="318" t="s">
        <v>5</v>
      </c>
      <c r="P67" s="308"/>
    </row>
    <row r="68" spans="1:16" ht="14.25" customHeight="1" x14ac:dyDescent="0.25">
      <c r="A68" s="297" t="s">
        <v>230</v>
      </c>
      <c r="B68" s="297" t="s">
        <v>231</v>
      </c>
      <c r="C68" s="254">
        <v>19256.772000000001</v>
      </c>
      <c r="D68" s="254">
        <v>19256.772000000001</v>
      </c>
      <c r="E68" s="254">
        <v>19256.772000000001</v>
      </c>
      <c r="F68" s="254">
        <v>19256.772000000001</v>
      </c>
      <c r="G68" s="254">
        <v>19256.772000000001</v>
      </c>
      <c r="H68" s="254">
        <v>19256.772000000001</v>
      </c>
      <c r="I68" s="254">
        <v>19256.772000000001</v>
      </c>
      <c r="J68" s="254">
        <v>19256.772000000001</v>
      </c>
      <c r="K68" s="257">
        <v>19256.772000000001</v>
      </c>
      <c r="L68" s="257">
        <v>19256.772000000001</v>
      </c>
      <c r="M68" s="319" t="s">
        <v>232</v>
      </c>
      <c r="N68" s="254" t="s">
        <v>233</v>
      </c>
      <c r="O68" s="318" t="s">
        <v>5</v>
      </c>
      <c r="P68" s="308"/>
    </row>
    <row r="69" spans="1:16" ht="14.25" customHeight="1" x14ac:dyDescent="0.25">
      <c r="A69" s="297" t="s">
        <v>230</v>
      </c>
      <c r="B69" s="297" t="s">
        <v>234</v>
      </c>
      <c r="C69" s="254">
        <v>31732.126</v>
      </c>
      <c r="D69" s="254">
        <v>31732.126</v>
      </c>
      <c r="E69" s="254">
        <v>31732.126</v>
      </c>
      <c r="F69" s="254">
        <v>31732.126</v>
      </c>
      <c r="G69" s="254">
        <v>31732.126</v>
      </c>
      <c r="H69" s="254">
        <v>31732.126</v>
      </c>
      <c r="I69" s="254">
        <v>31732.126</v>
      </c>
      <c r="J69" s="254">
        <v>31732.126</v>
      </c>
      <c r="K69" s="257">
        <v>31732.126</v>
      </c>
      <c r="L69" s="257">
        <v>31732.126</v>
      </c>
      <c r="M69" s="319" t="s">
        <v>232</v>
      </c>
      <c r="N69" s="254" t="s">
        <v>235</v>
      </c>
      <c r="O69" s="318" t="s">
        <v>5</v>
      </c>
      <c r="P69" s="308"/>
    </row>
    <row r="70" spans="1:16" ht="14.25" customHeight="1" x14ac:dyDescent="0.25">
      <c r="A70" s="297" t="s">
        <v>230</v>
      </c>
      <c r="B70" s="297" t="s">
        <v>236</v>
      </c>
      <c r="C70" s="254">
        <v>55255.381999999998</v>
      </c>
      <c r="D70" s="254">
        <v>55255.381999999998</v>
      </c>
      <c r="E70" s="254">
        <v>55255.381999999998</v>
      </c>
      <c r="F70" s="254">
        <v>55255.381999999998</v>
      </c>
      <c r="G70" s="254">
        <v>55255.381999999998</v>
      </c>
      <c r="H70" s="254">
        <v>55255.381999999998</v>
      </c>
      <c r="I70" s="254">
        <v>55255.381999999998</v>
      </c>
      <c r="J70" s="254">
        <v>55255.381999999998</v>
      </c>
      <c r="K70" s="257">
        <v>55255.381999999998</v>
      </c>
      <c r="L70" s="257">
        <v>55255.381999999998</v>
      </c>
      <c r="M70" s="319" t="s">
        <v>232</v>
      </c>
      <c r="N70" s="254" t="s">
        <v>237</v>
      </c>
      <c r="O70" s="318" t="s">
        <v>5</v>
      </c>
      <c r="P70" s="308"/>
    </row>
    <row r="71" spans="1:16" ht="14.25" customHeight="1" x14ac:dyDescent="0.25">
      <c r="B71" s="297" t="s">
        <v>238</v>
      </c>
      <c r="C71" s="269">
        <v>0</v>
      </c>
      <c r="D71" s="269">
        <v>0</v>
      </c>
      <c r="E71" s="269">
        <v>0</v>
      </c>
      <c r="F71" s="269">
        <v>0</v>
      </c>
      <c r="G71" s="269">
        <v>0</v>
      </c>
      <c r="H71" s="269">
        <v>0</v>
      </c>
      <c r="I71" s="269">
        <v>0</v>
      </c>
      <c r="J71" s="269">
        <v>0</v>
      </c>
      <c r="K71" s="261">
        <v>121932.058</v>
      </c>
      <c r="L71" s="261">
        <v>121932.058</v>
      </c>
      <c r="M71" s="319" t="s">
        <v>232</v>
      </c>
      <c r="N71" s="254" t="s">
        <v>239</v>
      </c>
      <c r="O71" s="318" t="s">
        <v>5</v>
      </c>
      <c r="P71" s="308"/>
    </row>
    <row r="72" spans="1:16" ht="14.25" customHeight="1" x14ac:dyDescent="0.25">
      <c r="C72" s="254">
        <f t="shared" ref="C72:L72" si="0">SUM(C8:C71)</f>
        <v>15661213.717786893</v>
      </c>
      <c r="D72" s="254">
        <f t="shared" si="0"/>
        <v>15864669.404693127</v>
      </c>
      <c r="E72" s="254">
        <f t="shared" si="0"/>
        <v>15507984.251352021</v>
      </c>
      <c r="F72" s="254">
        <f t="shared" si="0"/>
        <v>15259973.791603215</v>
      </c>
      <c r="G72" s="254">
        <f t="shared" si="0"/>
        <v>14918967.606939852</v>
      </c>
      <c r="H72" s="254">
        <f t="shared" si="0"/>
        <v>14783805.916818757</v>
      </c>
      <c r="I72" s="254">
        <f t="shared" si="0"/>
        <v>14463774.162578093</v>
      </c>
      <c r="J72" s="254">
        <f t="shared" si="0"/>
        <v>16755856.87640827</v>
      </c>
      <c r="K72" s="254">
        <f t="shared" si="0"/>
        <v>17032993.96035314</v>
      </c>
      <c r="L72" s="254">
        <f t="shared" si="0"/>
        <v>17305547.260250598</v>
      </c>
      <c r="N72" s="254"/>
      <c r="O72" s="318"/>
      <c r="P72" s="308"/>
    </row>
    <row r="73" spans="1:16" ht="14.25" customHeight="1" x14ac:dyDescent="0.25">
      <c r="A73" s="317" t="s">
        <v>240</v>
      </c>
      <c r="B73" s="317" t="s">
        <v>241</v>
      </c>
      <c r="N73" s="254"/>
      <c r="O73" s="318"/>
      <c r="P73" s="308"/>
    </row>
    <row r="74" spans="1:16" ht="14.25" customHeight="1" x14ac:dyDescent="0.25">
      <c r="A74" s="297" t="s">
        <v>242</v>
      </c>
      <c r="B74" s="317" t="s">
        <v>240</v>
      </c>
      <c r="C74" s="254"/>
      <c r="D74" s="254"/>
      <c r="E74" s="254"/>
      <c r="F74" s="254"/>
      <c r="G74" s="254"/>
      <c r="H74" s="254"/>
      <c r="I74" s="254"/>
      <c r="J74" s="254"/>
      <c r="K74" s="254"/>
      <c r="L74" s="254"/>
      <c r="N74" s="254"/>
      <c r="O74" s="318"/>
      <c r="P74" s="308"/>
    </row>
    <row r="75" spans="1:16" ht="14.25" customHeight="1" x14ac:dyDescent="0.25">
      <c r="A75" s="297" t="s">
        <v>243</v>
      </c>
      <c r="B75" s="297" t="s">
        <v>242</v>
      </c>
      <c r="C75" s="321">
        <v>10.111847141229134</v>
      </c>
      <c r="D75" s="321">
        <v>11.123031855352048</v>
      </c>
      <c r="E75" s="321">
        <v>11.123031855352048</v>
      </c>
      <c r="F75" s="321">
        <v>11.123031855352048</v>
      </c>
      <c r="G75" s="321">
        <v>11.042137078222215</v>
      </c>
      <c r="H75" s="321">
        <v>11.042137078222215</v>
      </c>
      <c r="I75" s="321">
        <v>11.042137078222215</v>
      </c>
      <c r="J75" s="321">
        <v>11.042137078222215</v>
      </c>
      <c r="K75" s="257">
        <v>12.148995278090503</v>
      </c>
      <c r="L75" s="257">
        <v>12.148995278090503</v>
      </c>
      <c r="M75" s="319" t="s">
        <v>142</v>
      </c>
      <c r="N75" s="254" t="s">
        <v>244</v>
      </c>
      <c r="O75" s="318" t="s">
        <v>5</v>
      </c>
      <c r="P75" s="308"/>
    </row>
    <row r="76" spans="1:16" ht="14.25" customHeight="1" x14ac:dyDescent="0.25">
      <c r="B76" s="296" t="s">
        <v>245</v>
      </c>
      <c r="C76" s="254">
        <v>40702.880866330495</v>
      </c>
      <c r="D76" s="254">
        <v>49287.83908923401</v>
      </c>
      <c r="E76" s="254">
        <v>49287.83908923401</v>
      </c>
      <c r="F76" s="254">
        <v>49287.83908923401</v>
      </c>
      <c r="G76" s="254">
        <v>52035.594681178991</v>
      </c>
      <c r="H76" s="254">
        <v>52035.594681178991</v>
      </c>
      <c r="I76" s="254">
        <v>52035.594681178991</v>
      </c>
      <c r="J76" s="254">
        <v>52035.594681178991</v>
      </c>
      <c r="K76" s="257">
        <v>58872.563776696406</v>
      </c>
      <c r="L76" s="257">
        <v>58872.563776696406</v>
      </c>
      <c r="M76" s="319" t="s">
        <v>147</v>
      </c>
      <c r="N76" s="254" t="s">
        <v>246</v>
      </c>
      <c r="O76" s="318" t="s">
        <v>5</v>
      </c>
      <c r="P76" s="308"/>
    </row>
    <row r="77" spans="1:16" ht="14.25" customHeight="1" x14ac:dyDescent="0.25">
      <c r="B77" s="297" t="s">
        <v>247</v>
      </c>
      <c r="C77" s="254">
        <v>288996.5912963287</v>
      </c>
      <c r="D77" s="254">
        <v>288996.5912963287</v>
      </c>
      <c r="E77" s="254">
        <v>288996.5912963287</v>
      </c>
      <c r="F77" s="254">
        <v>288996.5912963287</v>
      </c>
      <c r="G77" s="254">
        <v>482807.02955389564</v>
      </c>
      <c r="H77" s="254">
        <v>482807.02955389564</v>
      </c>
      <c r="I77" s="254">
        <v>482807.02955389564</v>
      </c>
      <c r="J77" s="254">
        <v>482807.02955389564</v>
      </c>
      <c r="K77" s="257">
        <v>483459.03561275481</v>
      </c>
      <c r="L77" s="257">
        <v>243133.16108757805</v>
      </c>
      <c r="M77" s="297" t="s">
        <v>157</v>
      </c>
      <c r="N77" s="254" t="s">
        <v>248</v>
      </c>
      <c r="O77" s="318" t="s">
        <v>5</v>
      </c>
      <c r="P77" s="308"/>
    </row>
    <row r="78" spans="1:16" ht="14.25" customHeight="1" x14ac:dyDescent="0.25">
      <c r="B78" s="297" t="s">
        <v>249</v>
      </c>
      <c r="C78" s="254">
        <v>5055.9235706145673</v>
      </c>
      <c r="D78" s="254">
        <v>5055.9235706145673</v>
      </c>
      <c r="E78" s="254">
        <v>0</v>
      </c>
      <c r="F78" s="254">
        <v>0</v>
      </c>
      <c r="G78" s="254">
        <v>0</v>
      </c>
      <c r="H78" s="254">
        <v>0</v>
      </c>
      <c r="I78" s="254">
        <v>0</v>
      </c>
      <c r="J78" s="254">
        <v>0</v>
      </c>
      <c r="K78" s="254">
        <v>0</v>
      </c>
      <c r="L78" s="254">
        <v>0</v>
      </c>
      <c r="M78" s="297" t="s">
        <v>157</v>
      </c>
      <c r="N78" s="254" t="s">
        <v>250</v>
      </c>
      <c r="O78" s="318" t="s">
        <v>5</v>
      </c>
      <c r="P78" s="308"/>
    </row>
    <row r="79" spans="1:16" ht="14.25" customHeight="1" x14ac:dyDescent="0.25">
      <c r="B79" s="297" t="s">
        <v>251</v>
      </c>
      <c r="C79" s="254">
        <v>6441</v>
      </c>
      <c r="D79" s="254">
        <v>6441</v>
      </c>
      <c r="E79" s="254">
        <v>6441</v>
      </c>
      <c r="F79" s="254">
        <v>6441</v>
      </c>
      <c r="G79" s="254">
        <v>6441</v>
      </c>
      <c r="H79" s="254">
        <v>6441</v>
      </c>
      <c r="I79" s="254">
        <v>6441</v>
      </c>
      <c r="J79" s="254">
        <v>6441</v>
      </c>
      <c r="K79" s="257">
        <v>8663.887921468895</v>
      </c>
      <c r="L79" s="257">
        <v>8663.887921468895</v>
      </c>
      <c r="M79" s="297" t="s">
        <v>157</v>
      </c>
      <c r="N79" s="254" t="s">
        <v>252</v>
      </c>
      <c r="O79" s="318" t="s">
        <v>5</v>
      </c>
      <c r="P79" s="308"/>
    </row>
    <row r="80" spans="1:16" ht="14.25" customHeight="1" x14ac:dyDescent="0.25">
      <c r="B80" s="297" t="s">
        <v>253</v>
      </c>
      <c r="C80" s="254">
        <v>25700.148339297579</v>
      </c>
      <c r="D80" s="254">
        <v>25700.148339297579</v>
      </c>
      <c r="E80" s="254">
        <v>25700.148339297579</v>
      </c>
      <c r="F80" s="254">
        <v>25700.148339297579</v>
      </c>
      <c r="G80" s="254">
        <v>25700.148339297579</v>
      </c>
      <c r="H80" s="254">
        <v>0</v>
      </c>
      <c r="I80" s="254">
        <v>0</v>
      </c>
      <c r="J80" s="254">
        <v>0</v>
      </c>
      <c r="K80" s="254">
        <v>0</v>
      </c>
      <c r="L80" s="254">
        <v>0</v>
      </c>
      <c r="M80" s="297" t="s">
        <v>157</v>
      </c>
      <c r="N80" s="254" t="s">
        <v>254</v>
      </c>
      <c r="O80" s="318" t="s">
        <v>5</v>
      </c>
      <c r="P80" s="308"/>
    </row>
    <row r="81" spans="1:16" ht="14.25" customHeight="1" x14ac:dyDescent="0.25">
      <c r="A81" s="297" t="s">
        <v>255</v>
      </c>
      <c r="B81" s="297" t="s">
        <v>256</v>
      </c>
      <c r="C81" s="254">
        <v>41775</v>
      </c>
      <c r="D81" s="254">
        <v>42322</v>
      </c>
      <c r="E81" s="254">
        <v>42322</v>
      </c>
      <c r="F81" s="254">
        <v>42322</v>
      </c>
      <c r="G81" s="254">
        <v>76686.145320994081</v>
      </c>
      <c r="H81" s="254">
        <v>76686.145320994081</v>
      </c>
      <c r="I81" s="254">
        <v>76686.145320994081</v>
      </c>
      <c r="J81" s="254">
        <v>76686.145320994081</v>
      </c>
      <c r="K81" s="257">
        <v>73221.93335388515</v>
      </c>
      <c r="L81" s="257">
        <v>73221.93335388515</v>
      </c>
      <c r="M81" s="319" t="s">
        <v>147</v>
      </c>
      <c r="N81" s="254" t="s">
        <v>257</v>
      </c>
      <c r="O81" s="318" t="s">
        <v>5</v>
      </c>
      <c r="P81" s="308"/>
    </row>
    <row r="82" spans="1:16" ht="14.25" customHeight="1" x14ac:dyDescent="0.25">
      <c r="B82" s="297" t="s">
        <v>258</v>
      </c>
      <c r="C82" s="254">
        <v>15804</v>
      </c>
      <c r="D82" s="254">
        <v>16033</v>
      </c>
      <c r="E82" s="254">
        <v>16033</v>
      </c>
      <c r="F82" s="254">
        <v>16033</v>
      </c>
      <c r="G82" s="254">
        <v>27307.651041586287</v>
      </c>
      <c r="H82" s="254">
        <v>27307.651041586287</v>
      </c>
      <c r="I82" s="254">
        <v>27307.651041586287</v>
      </c>
      <c r="J82" s="254">
        <v>27307.651041586287</v>
      </c>
      <c r="K82" s="257">
        <v>21330.399789807085</v>
      </c>
      <c r="L82" s="257">
        <v>21330.399789807085</v>
      </c>
      <c r="M82" s="319" t="s">
        <v>147</v>
      </c>
      <c r="N82" s="254" t="s">
        <v>257</v>
      </c>
      <c r="O82" s="318" t="s">
        <v>5</v>
      </c>
      <c r="P82" s="308"/>
    </row>
    <row r="83" spans="1:16" ht="14.25" customHeight="1" x14ac:dyDescent="0.25">
      <c r="A83" s="298"/>
      <c r="B83" s="298" t="s">
        <v>259</v>
      </c>
      <c r="C83" s="254">
        <v>92017.808985185125</v>
      </c>
      <c r="D83" s="254">
        <v>92017.808985185125</v>
      </c>
      <c r="E83" s="254">
        <v>92017.808985185125</v>
      </c>
      <c r="F83" s="254">
        <v>92017.808985185125</v>
      </c>
      <c r="G83" s="254">
        <v>92462.203432163165</v>
      </c>
      <c r="H83" s="254">
        <v>92462.203432163165</v>
      </c>
      <c r="I83" s="254">
        <v>92462.203432163165</v>
      </c>
      <c r="J83" s="254">
        <v>92462.203432163165</v>
      </c>
      <c r="K83" s="428">
        <v>75728.055877278952</v>
      </c>
      <c r="L83" s="428">
        <v>75728.055877278952</v>
      </c>
      <c r="M83" s="297" t="s">
        <v>157</v>
      </c>
      <c r="N83" s="254" t="s">
        <v>260</v>
      </c>
      <c r="O83" s="318" t="s">
        <v>5</v>
      </c>
      <c r="P83" s="308"/>
    </row>
    <row r="84" spans="1:16" ht="14.25" customHeight="1" x14ac:dyDescent="0.25">
      <c r="A84" s="298" t="s">
        <v>261</v>
      </c>
      <c r="B84" s="298" t="s">
        <v>262</v>
      </c>
      <c r="C84" s="254">
        <v>10571.120160090763</v>
      </c>
      <c r="D84" s="254">
        <v>10571.120160090763</v>
      </c>
      <c r="E84" s="254">
        <v>10571.120160090763</v>
      </c>
      <c r="F84" s="254">
        <v>10571.120160090763</v>
      </c>
      <c r="G84" s="254">
        <v>10971.649414170137</v>
      </c>
      <c r="H84" s="254">
        <v>10971.649414170137</v>
      </c>
      <c r="I84" s="254">
        <v>10971.649414170137</v>
      </c>
      <c r="J84" s="254">
        <v>10971.649414170137</v>
      </c>
      <c r="K84" s="257">
        <v>11089.155401848269</v>
      </c>
      <c r="L84" s="257">
        <v>11089.155401848269</v>
      </c>
      <c r="M84" s="297" t="s">
        <v>157</v>
      </c>
      <c r="N84" s="254" t="s">
        <v>263</v>
      </c>
      <c r="O84" s="318" t="s">
        <v>5</v>
      </c>
      <c r="P84" s="308"/>
    </row>
    <row r="85" spans="1:16" ht="14.25" customHeight="1" x14ac:dyDescent="0.25">
      <c r="A85" s="297" t="s">
        <v>264</v>
      </c>
      <c r="B85" s="297" t="s">
        <v>265</v>
      </c>
      <c r="C85" s="254">
        <v>76885.429738335733</v>
      </c>
      <c r="D85" s="254">
        <v>76885.429738335733</v>
      </c>
      <c r="E85" s="254">
        <v>76885.429738335733</v>
      </c>
      <c r="F85" s="254">
        <v>76885.429738335733</v>
      </c>
      <c r="G85" s="254">
        <v>76885.429738335733</v>
      </c>
      <c r="H85" s="254">
        <v>76885.429738335733</v>
      </c>
      <c r="I85" s="254">
        <v>76885.429738335733</v>
      </c>
      <c r="J85" s="254">
        <v>76885.429738335733</v>
      </c>
      <c r="K85" s="257">
        <v>46349.741226400576</v>
      </c>
      <c r="L85" s="257">
        <v>61745.170774376958</v>
      </c>
      <c r="M85" s="297" t="s">
        <v>157</v>
      </c>
      <c r="N85" s="254" t="s">
        <v>266</v>
      </c>
      <c r="O85" s="318" t="s">
        <v>5</v>
      </c>
      <c r="P85" s="308"/>
    </row>
    <row r="86" spans="1:16" ht="14.25" customHeight="1" x14ac:dyDescent="0.25">
      <c r="A86" s="297" t="s">
        <v>267</v>
      </c>
      <c r="B86" s="297" t="s">
        <v>264</v>
      </c>
      <c r="C86" s="254">
        <v>56626.343990883157</v>
      </c>
      <c r="D86" s="254">
        <v>56626.343990883157</v>
      </c>
      <c r="E86" s="254">
        <v>56626.343990883157</v>
      </c>
      <c r="F86" s="254">
        <v>56626.343990883157</v>
      </c>
      <c r="G86" s="254">
        <v>0</v>
      </c>
      <c r="H86" s="254">
        <v>0</v>
      </c>
      <c r="I86" s="254">
        <v>0</v>
      </c>
      <c r="J86" s="254">
        <v>0</v>
      </c>
      <c r="K86" s="254">
        <v>0</v>
      </c>
      <c r="L86" s="254">
        <v>0</v>
      </c>
      <c r="M86" s="297" t="s">
        <v>157</v>
      </c>
      <c r="N86" s="254" t="s">
        <v>268</v>
      </c>
      <c r="O86" s="318" t="s">
        <v>5</v>
      </c>
      <c r="P86" s="308"/>
    </row>
    <row r="87" spans="1:16" ht="14.25" customHeight="1" x14ac:dyDescent="0.25">
      <c r="B87" s="486" t="s">
        <v>269</v>
      </c>
      <c r="C87" s="254">
        <v>0</v>
      </c>
      <c r="D87" s="254">
        <v>0</v>
      </c>
      <c r="E87" s="254">
        <v>0</v>
      </c>
      <c r="F87" s="254">
        <v>0</v>
      </c>
      <c r="G87" s="254">
        <v>0</v>
      </c>
      <c r="H87" s="254">
        <v>0</v>
      </c>
      <c r="I87" s="254">
        <v>0</v>
      </c>
      <c r="J87" s="254">
        <v>0</v>
      </c>
      <c r="K87" s="254">
        <v>0</v>
      </c>
      <c r="L87" s="257">
        <v>3639.6365020612798</v>
      </c>
      <c r="M87" s="319" t="s">
        <v>157</v>
      </c>
      <c r="N87" s="254" t="s">
        <v>270</v>
      </c>
      <c r="O87" s="318" t="s">
        <v>22</v>
      </c>
      <c r="P87" s="308"/>
    </row>
    <row r="88" spans="1:16" ht="14.25" customHeight="1" x14ac:dyDescent="0.25">
      <c r="B88" s="486" t="s">
        <v>271</v>
      </c>
      <c r="C88" s="269">
        <v>0</v>
      </c>
      <c r="D88" s="269">
        <v>0</v>
      </c>
      <c r="E88" s="269">
        <v>0</v>
      </c>
      <c r="F88" s="269">
        <v>0</v>
      </c>
      <c r="G88" s="269">
        <v>0</v>
      </c>
      <c r="H88" s="269">
        <v>0</v>
      </c>
      <c r="I88" s="269">
        <v>0</v>
      </c>
      <c r="J88" s="269">
        <v>0</v>
      </c>
      <c r="K88" s="269">
        <v>0</v>
      </c>
      <c r="L88" s="269">
        <v>6833.8098439259074</v>
      </c>
      <c r="M88" s="319" t="s">
        <v>147</v>
      </c>
      <c r="N88" s="254" t="s">
        <v>272</v>
      </c>
      <c r="O88" s="318" t="s">
        <v>5</v>
      </c>
      <c r="P88" s="308"/>
    </row>
    <row r="89" spans="1:16" ht="14.25" customHeight="1" x14ac:dyDescent="0.25">
      <c r="B89" s="486"/>
      <c r="C89" s="254">
        <f>SUM(C75:C88)</f>
        <v>660586.35879420734</v>
      </c>
      <c r="D89" s="254">
        <f t="shared" ref="D89:K89" si="1">SUM(D75:D86)</f>
        <v>669948.32820182503</v>
      </c>
      <c r="E89" s="254">
        <f t="shared" si="1"/>
        <v>664892.40463121049</v>
      </c>
      <c r="F89" s="254">
        <f t="shared" si="1"/>
        <v>664892.40463121049</v>
      </c>
      <c r="G89" s="254">
        <f t="shared" si="1"/>
        <v>851307.89365870005</v>
      </c>
      <c r="H89" s="254">
        <f t="shared" si="1"/>
        <v>825607.74531940243</v>
      </c>
      <c r="I89" s="254">
        <f t="shared" si="1"/>
        <v>825607.74531940243</v>
      </c>
      <c r="J89" s="254">
        <f t="shared" si="1"/>
        <v>825607.74531940243</v>
      </c>
      <c r="K89" s="254">
        <f t="shared" si="1"/>
        <v>778726.92195541819</v>
      </c>
      <c r="L89" s="254">
        <f>SUM(L75:L88)</f>
        <v>564269.92332420498</v>
      </c>
      <c r="M89" s="319"/>
      <c r="N89" s="254"/>
      <c r="O89" s="318"/>
      <c r="P89" s="308"/>
    </row>
    <row r="90" spans="1:16" ht="14.25" customHeight="1" x14ac:dyDescent="0.25">
      <c r="A90" s="317" t="s">
        <v>273</v>
      </c>
      <c r="B90" s="317" t="s">
        <v>274</v>
      </c>
      <c r="M90" s="254"/>
      <c r="N90" s="254"/>
      <c r="O90" s="318"/>
      <c r="P90" s="308"/>
    </row>
    <row r="91" spans="1:16" ht="14.25" customHeight="1" x14ac:dyDescent="0.25">
      <c r="A91" s="297" t="s">
        <v>275</v>
      </c>
      <c r="B91" s="317" t="s">
        <v>273</v>
      </c>
      <c r="C91" s="254"/>
      <c r="D91" s="254"/>
      <c r="E91" s="254"/>
      <c r="F91" s="254"/>
      <c r="G91" s="254"/>
      <c r="H91" s="254"/>
      <c r="I91" s="254"/>
      <c r="J91" s="254"/>
      <c r="K91" s="254"/>
      <c r="L91" s="254"/>
      <c r="N91" s="254"/>
      <c r="O91" s="318"/>
      <c r="P91" s="308"/>
    </row>
    <row r="92" spans="1:16" ht="14.25" customHeight="1" x14ac:dyDescent="0.25">
      <c r="A92" s="297" t="s">
        <v>276</v>
      </c>
      <c r="B92" s="297" t="s">
        <v>275</v>
      </c>
      <c r="C92" s="426">
        <v>0</v>
      </c>
      <c r="D92" s="426">
        <v>0</v>
      </c>
      <c r="E92" s="426">
        <v>0</v>
      </c>
      <c r="F92" s="426">
        <v>0</v>
      </c>
      <c r="G92" s="426">
        <v>0</v>
      </c>
      <c r="H92" s="426">
        <v>0</v>
      </c>
      <c r="I92" s="426">
        <v>0</v>
      </c>
      <c r="J92" s="426">
        <v>0</v>
      </c>
      <c r="K92" s="426">
        <v>0</v>
      </c>
      <c r="L92" s="426">
        <v>0</v>
      </c>
      <c r="M92" s="297" t="s">
        <v>277</v>
      </c>
      <c r="N92" s="254"/>
      <c r="O92" s="318" t="s">
        <v>5</v>
      </c>
      <c r="P92" s="308"/>
    </row>
    <row r="93" spans="1:16" ht="14.25" customHeight="1" x14ac:dyDescent="0.25">
      <c r="A93" s="297" t="s">
        <v>276</v>
      </c>
      <c r="B93" s="297" t="s">
        <v>278</v>
      </c>
      <c r="C93" s="426">
        <v>0</v>
      </c>
      <c r="D93" s="426">
        <v>0</v>
      </c>
      <c r="E93" s="426">
        <v>0</v>
      </c>
      <c r="F93" s="426">
        <v>0</v>
      </c>
      <c r="G93" s="426">
        <v>0</v>
      </c>
      <c r="H93" s="426">
        <v>0</v>
      </c>
      <c r="I93" s="426">
        <v>0</v>
      </c>
      <c r="J93" s="426">
        <v>0</v>
      </c>
      <c r="K93" s="426">
        <v>0</v>
      </c>
      <c r="L93" s="426">
        <v>0</v>
      </c>
      <c r="M93" s="297" t="s">
        <v>277</v>
      </c>
      <c r="N93" s="254"/>
      <c r="O93" s="318" t="s">
        <v>5</v>
      </c>
      <c r="P93" s="308"/>
    </row>
    <row r="94" spans="1:16" ht="14.25" customHeight="1" x14ac:dyDescent="0.25">
      <c r="A94" s="297" t="s">
        <v>279</v>
      </c>
      <c r="B94" s="297" t="s">
        <v>280</v>
      </c>
      <c r="C94" s="254">
        <v>408912</v>
      </c>
      <c r="D94" s="254">
        <v>408912</v>
      </c>
      <c r="E94" s="254">
        <v>408912</v>
      </c>
      <c r="F94" s="254">
        <v>408912</v>
      </c>
      <c r="G94" s="254">
        <v>416803</v>
      </c>
      <c r="H94" s="254">
        <v>416803</v>
      </c>
      <c r="I94" s="254">
        <v>416803</v>
      </c>
      <c r="J94" s="254">
        <v>416803</v>
      </c>
      <c r="K94" s="255">
        <v>426374.14794351778</v>
      </c>
      <c r="L94" s="255">
        <v>426374.14794351778</v>
      </c>
      <c r="M94" s="297" t="s">
        <v>277</v>
      </c>
      <c r="N94" s="254" t="s">
        <v>281</v>
      </c>
      <c r="O94" s="318" t="s">
        <v>5</v>
      </c>
      <c r="P94" s="308"/>
    </row>
    <row r="95" spans="1:16" ht="14.25" customHeight="1" x14ac:dyDescent="0.25">
      <c r="A95" s="297" t="s">
        <v>282</v>
      </c>
      <c r="B95" s="297" t="s">
        <v>279</v>
      </c>
      <c r="C95" s="254">
        <v>1124500.46</v>
      </c>
      <c r="D95" s="254">
        <v>1124500.46</v>
      </c>
      <c r="E95" s="254">
        <v>1124500.46</v>
      </c>
      <c r="F95" s="254">
        <v>1124500.46</v>
      </c>
      <c r="G95" s="254">
        <v>1344347</v>
      </c>
      <c r="H95" s="254">
        <v>1344347</v>
      </c>
      <c r="I95" s="254">
        <v>1344347</v>
      </c>
      <c r="J95" s="254">
        <v>1344347</v>
      </c>
      <c r="K95" s="255">
        <v>1500981.9850000001</v>
      </c>
      <c r="L95" s="255">
        <v>1500981.9850000001</v>
      </c>
      <c r="M95" s="429" t="s">
        <v>283</v>
      </c>
      <c r="N95" s="254" t="s">
        <v>284</v>
      </c>
      <c r="O95" s="318" t="s">
        <v>5</v>
      </c>
      <c r="P95" s="308"/>
    </row>
    <row r="96" spans="1:16" ht="14.25" customHeight="1" x14ac:dyDescent="0.25">
      <c r="A96" s="297" t="s">
        <v>285</v>
      </c>
      <c r="B96" s="297" t="s">
        <v>286</v>
      </c>
      <c r="C96" s="254">
        <v>-283956</v>
      </c>
      <c r="D96" s="254">
        <v>-283956</v>
      </c>
      <c r="E96" s="254">
        <v>-283956</v>
      </c>
      <c r="F96" s="254">
        <v>-283956</v>
      </c>
      <c r="G96" s="254">
        <v>-214482</v>
      </c>
      <c r="H96" s="254">
        <v>-214482</v>
      </c>
      <c r="I96" s="254">
        <v>-214482</v>
      </c>
      <c r="J96" s="254">
        <f>I96</f>
        <v>-214482</v>
      </c>
      <c r="K96" s="255">
        <v>-178588.59299999999</v>
      </c>
      <c r="L96" s="255">
        <v>-178588.59299999999</v>
      </c>
      <c r="M96" s="297" t="s">
        <v>287</v>
      </c>
      <c r="N96" s="254" t="s">
        <v>288</v>
      </c>
      <c r="O96" s="318" t="s">
        <v>22</v>
      </c>
      <c r="P96" s="308"/>
    </row>
    <row r="97" spans="1:17" ht="14.25" customHeight="1" x14ac:dyDescent="0.25">
      <c r="A97" s="297" t="s">
        <v>289</v>
      </c>
      <c r="B97" s="297" t="s">
        <v>290</v>
      </c>
      <c r="C97" s="254">
        <v>4738</v>
      </c>
      <c r="D97" s="254">
        <v>4738</v>
      </c>
      <c r="E97" s="254">
        <v>4738</v>
      </c>
      <c r="F97" s="254">
        <v>4738</v>
      </c>
      <c r="G97" s="254">
        <v>8496</v>
      </c>
      <c r="H97" s="254">
        <v>8496</v>
      </c>
      <c r="I97" s="254">
        <v>8496</v>
      </c>
      <c r="J97" s="254">
        <f>I97</f>
        <v>8496</v>
      </c>
      <c r="K97" s="255">
        <v>9616.6239999999998</v>
      </c>
      <c r="L97" s="255">
        <v>9616.6239999999998</v>
      </c>
      <c r="M97" s="297" t="s">
        <v>287</v>
      </c>
      <c r="N97" s="254" t="s">
        <v>291</v>
      </c>
      <c r="O97" s="318" t="s">
        <v>22</v>
      </c>
      <c r="P97" s="308"/>
    </row>
    <row r="98" spans="1:17" s="320" customFormat="1" ht="14.25" customHeight="1" x14ac:dyDescent="0.25">
      <c r="A98" s="322" t="s">
        <v>292</v>
      </c>
      <c r="B98" s="297" t="s">
        <v>293</v>
      </c>
      <c r="C98" s="269">
        <v>98974</v>
      </c>
      <c r="D98" s="269">
        <v>98974</v>
      </c>
      <c r="E98" s="269">
        <v>270811</v>
      </c>
      <c r="F98" s="269">
        <v>270811</v>
      </c>
      <c r="G98" s="269">
        <v>270811</v>
      </c>
      <c r="H98" s="269">
        <v>270811</v>
      </c>
      <c r="I98" s="269">
        <v>203233.255</v>
      </c>
      <c r="J98" s="269">
        <f>I98</f>
        <v>203233.255</v>
      </c>
      <c r="K98" s="269">
        <v>213984.53</v>
      </c>
      <c r="L98" s="269">
        <v>129516.95232000003</v>
      </c>
      <c r="M98" s="297" t="s">
        <v>287</v>
      </c>
      <c r="N98" s="254" t="s">
        <v>294</v>
      </c>
      <c r="O98" s="318" t="s">
        <v>22</v>
      </c>
      <c r="P98" s="308"/>
      <c r="Q98" s="297"/>
    </row>
    <row r="99" spans="1:17" ht="14.25" customHeight="1" x14ac:dyDescent="0.25">
      <c r="B99" s="317" t="s">
        <v>295</v>
      </c>
      <c r="C99" s="254">
        <f t="shared" ref="C99" si="2">SUM(C93:C98)</f>
        <v>1353168.46</v>
      </c>
      <c r="D99" s="254">
        <f t="shared" ref="D99:G99" si="3">SUM(D93:D98)</f>
        <v>1353168.46</v>
      </c>
      <c r="E99" s="254">
        <f t="shared" si="3"/>
        <v>1525005.46</v>
      </c>
      <c r="F99" s="254">
        <f t="shared" si="3"/>
        <v>1525005.46</v>
      </c>
      <c r="G99" s="254">
        <f t="shared" si="3"/>
        <v>1825975</v>
      </c>
      <c r="H99" s="254">
        <f t="shared" ref="H99:J99" si="4">SUM(H93:H98)</f>
        <v>1825975</v>
      </c>
      <c r="I99" s="254">
        <f t="shared" ref="I99" si="5">SUM(I93:I98)</f>
        <v>1758397.2549999999</v>
      </c>
      <c r="J99" s="254">
        <f t="shared" si="4"/>
        <v>1758397.2549999999</v>
      </c>
      <c r="K99" s="254">
        <f t="shared" ref="K99:L99" si="6">SUM(K93:K98)</f>
        <v>1972368.6939435182</v>
      </c>
      <c r="L99" s="254">
        <f t="shared" si="6"/>
        <v>1887901.1162635181</v>
      </c>
      <c r="N99" s="254"/>
      <c r="O99" s="318"/>
      <c r="P99" s="308"/>
    </row>
    <row r="100" spans="1:17" ht="14.25" customHeight="1" x14ac:dyDescent="0.25">
      <c r="B100" s="297" t="s">
        <v>296</v>
      </c>
      <c r="C100" s="254">
        <v>80194.531436816702</v>
      </c>
      <c r="D100" s="254">
        <f>C100</f>
        <v>80194.531436816702</v>
      </c>
      <c r="E100" s="254">
        <f>D100</f>
        <v>80194.531436816702</v>
      </c>
      <c r="F100" s="254">
        <f>E100</f>
        <v>80194.531436816702</v>
      </c>
      <c r="G100" s="254">
        <v>63307.714183956326</v>
      </c>
      <c r="H100" s="254">
        <v>63307.714183956326</v>
      </c>
      <c r="I100" s="254">
        <v>63307.714183956326</v>
      </c>
      <c r="J100" s="254">
        <v>63307.714183956326</v>
      </c>
      <c r="K100" s="257">
        <v>80445.31203240779</v>
      </c>
      <c r="L100" s="257">
        <v>80445.31203240779</v>
      </c>
      <c r="M100" s="297" t="s">
        <v>296</v>
      </c>
      <c r="N100" s="254"/>
      <c r="O100" s="318" t="s">
        <v>5</v>
      </c>
      <c r="P100" s="308"/>
    </row>
    <row r="101" spans="1:17" ht="14.25" customHeight="1" thickBot="1" x14ac:dyDescent="0.3">
      <c r="B101" s="317" t="s">
        <v>297</v>
      </c>
      <c r="C101" s="323">
        <f t="shared" ref="C101:L101" si="7">C72+C89+C99+C100</f>
        <v>17755163.068017915</v>
      </c>
      <c r="D101" s="323">
        <f t="shared" si="7"/>
        <v>17967980.724331766</v>
      </c>
      <c r="E101" s="323">
        <f t="shared" si="7"/>
        <v>17778076.647420049</v>
      </c>
      <c r="F101" s="323">
        <f t="shared" si="7"/>
        <v>17530066.18767124</v>
      </c>
      <c r="G101" s="323">
        <f t="shared" si="7"/>
        <v>17659558.214782506</v>
      </c>
      <c r="H101" s="323">
        <f t="shared" si="7"/>
        <v>17498696.376322113</v>
      </c>
      <c r="I101" s="323">
        <f t="shared" si="7"/>
        <v>17111086.87708145</v>
      </c>
      <c r="J101" s="323">
        <f t="shared" si="7"/>
        <v>19403169.590911627</v>
      </c>
      <c r="K101" s="323">
        <f t="shared" si="7"/>
        <v>19864534.888284486</v>
      </c>
      <c r="L101" s="323">
        <f t="shared" si="7"/>
        <v>19838163.611870728</v>
      </c>
      <c r="N101" s="323"/>
      <c r="O101" s="318"/>
    </row>
    <row r="102" spans="1:17" ht="14.25" customHeight="1" thickTop="1" x14ac:dyDescent="0.25">
      <c r="B102" s="297" t="s">
        <v>298</v>
      </c>
      <c r="C102" s="270">
        <f t="shared" ref="C102:D102" si="8">C101-C100</f>
        <v>17674968.536581099</v>
      </c>
      <c r="D102" s="270">
        <f t="shared" si="8"/>
        <v>17887786.192894951</v>
      </c>
      <c r="E102" s="270">
        <f t="shared" ref="E102:G102" si="9">E101-E100</f>
        <v>17697882.115983233</v>
      </c>
      <c r="F102" s="270">
        <f t="shared" si="9"/>
        <v>17449871.656234425</v>
      </c>
      <c r="G102" s="270">
        <f t="shared" si="9"/>
        <v>17596250.50059855</v>
      </c>
      <c r="H102" s="270">
        <f t="shared" ref="H102:J102" si="10">H101-H100</f>
        <v>17435388.662138157</v>
      </c>
      <c r="I102" s="270">
        <f t="shared" ref="I102" si="11">I101-I100</f>
        <v>17047779.162897494</v>
      </c>
      <c r="J102" s="270">
        <f t="shared" si="10"/>
        <v>19339861.87672767</v>
      </c>
      <c r="K102" s="270">
        <f t="shared" ref="K102:L102" si="12">K101-K100</f>
        <v>19784089.576252077</v>
      </c>
      <c r="L102" s="270">
        <f t="shared" si="12"/>
        <v>19757718.299838319</v>
      </c>
      <c r="N102" s="270"/>
      <c r="O102" s="318"/>
    </row>
    <row r="103" spans="1:17" ht="14.25" customHeight="1" thickBot="1" x14ac:dyDescent="0.3">
      <c r="C103" s="325">
        <v>0</v>
      </c>
      <c r="D103" s="324">
        <v>0</v>
      </c>
      <c r="E103" s="324">
        <v>0</v>
      </c>
      <c r="F103" s="364">
        <v>0</v>
      </c>
      <c r="G103" s="324">
        <v>0</v>
      </c>
      <c r="H103" s="324">
        <v>0</v>
      </c>
      <c r="I103" s="324">
        <v>0</v>
      </c>
      <c r="J103" s="324">
        <v>0</v>
      </c>
      <c r="K103" s="325">
        <v>-7.1096047759056091E-4</v>
      </c>
      <c r="L103" s="325">
        <v>0</v>
      </c>
      <c r="M103" s="404"/>
      <c r="N103" s="425"/>
      <c r="O103" s="326"/>
    </row>
    <row r="104" spans="1:17" x14ac:dyDescent="0.25">
      <c r="C104" s="327"/>
      <c r="D104" s="327"/>
      <c r="E104" s="327"/>
      <c r="F104" s="327"/>
      <c r="G104" s="327"/>
      <c r="H104" s="327"/>
      <c r="I104" s="327"/>
      <c r="J104" s="327"/>
      <c r="K104" s="327"/>
      <c r="L104" s="327"/>
      <c r="N104" s="426"/>
    </row>
    <row r="105" spans="1:17" x14ac:dyDescent="0.25">
      <c r="C105" s="328"/>
      <c r="D105" s="328"/>
      <c r="E105" s="328"/>
      <c r="F105" s="328"/>
      <c r="G105" s="328"/>
      <c r="H105" s="328"/>
      <c r="I105" s="328"/>
      <c r="J105" s="328"/>
      <c r="K105" s="328"/>
      <c r="L105" s="328"/>
    </row>
    <row r="106" spans="1:17" x14ac:dyDescent="0.25">
      <c r="B106" s="505"/>
      <c r="C106" s="505"/>
      <c r="D106" s="319"/>
      <c r="E106" s="319"/>
      <c r="F106" s="319"/>
      <c r="G106" s="319"/>
      <c r="H106" s="319"/>
      <c r="I106" s="319"/>
      <c r="J106" s="319"/>
      <c r="K106" s="319"/>
      <c r="L106" s="319"/>
      <c r="N106" s="427"/>
    </row>
    <row r="107" spans="1:17" x14ac:dyDescent="0.25">
      <c r="B107" s="505"/>
      <c r="C107" s="505"/>
      <c r="D107" s="319"/>
      <c r="E107" s="319"/>
      <c r="F107" s="319"/>
      <c r="G107" s="319"/>
      <c r="H107" s="319"/>
      <c r="I107" s="319"/>
      <c r="J107" s="319"/>
      <c r="K107" s="319"/>
      <c r="L107" s="319"/>
    </row>
    <row r="108" spans="1:17" x14ac:dyDescent="0.25">
      <c r="B108" s="505"/>
      <c r="C108" s="505"/>
      <c r="D108" s="505"/>
      <c r="E108" s="505"/>
      <c r="F108" s="505"/>
      <c r="G108" s="505"/>
      <c r="H108" s="505"/>
      <c r="I108" s="505"/>
      <c r="J108" s="505"/>
      <c r="K108" s="505"/>
      <c r="L108" s="505"/>
      <c r="M108" s="505"/>
    </row>
    <row r="109" spans="1:17" x14ac:dyDescent="0.25">
      <c r="B109" s="505"/>
      <c r="C109" s="505"/>
      <c r="D109" s="505"/>
      <c r="E109" s="505"/>
      <c r="F109" s="505"/>
      <c r="G109" s="505"/>
      <c r="H109" s="505"/>
      <c r="I109" s="505"/>
      <c r="J109" s="505"/>
      <c r="K109" s="505"/>
      <c r="L109" s="505"/>
      <c r="M109" s="505"/>
    </row>
  </sheetData>
  <sheetProtection algorithmName="SHA-512" hashValue="qPSnbpC+/eq4qT8QK9/xEGZfUlDA4Jz/j4ULzkF0KXRWeRcu9oEw/96oQs+cEL9dBAlCBA4913zZMtmcvrltCw==" saltValue="I49WgfG+pE1VK7jLy4RLVg==" spinCount="100000" sheet="1" objects="1" scenarios="1"/>
  <mergeCells count="2">
    <mergeCell ref="B106:C107"/>
    <mergeCell ref="B108:M109"/>
  </mergeCells>
  <phoneticPr fontId="31" type="noConversion"/>
  <dataValidations disablePrompts="1" count="1">
    <dataValidation type="list" allowBlank="1" showInputMessage="1" showErrorMessage="1" sqref="B3:B4" xr:uid="{E5CF3ADD-0B9F-4892-8DE9-02C2B4BC9AFB}">
      <formula1>"Reporting Date: Quarter Ended March 31,Reporting Date: Quarter Ended June 30,Reporting Date: Quarter Ended September 30, Reporting Date: Quarter Ended December 31"</formula1>
    </dataValidation>
  </dataValidations>
  <hyperlinks>
    <hyperlink ref="C5" r:id="rId1" display="5149-E-A" xr:uid="{8A1C3968-F363-41D9-8477-19AA3729FF68}"/>
    <hyperlink ref="D5" r:id="rId2" xr:uid="{71F6A4A0-D80A-4A66-802C-8A0FAEE73A9F}"/>
    <hyperlink ref="E5" r:id="rId3" display="XXXX-E" xr:uid="{FDC48A2F-2640-4C6E-8D70-6E868587C500}"/>
  </hyperlinks>
  <pageMargins left="0.7" right="0.7" top="0.75" bottom="0.75" header="0.3" footer="0.3"/>
  <pageSetup paperSize="5" scale="44" orientation="landscape" r:id="rId4"/>
  <headerFooter>
    <oddHeader>&amp;C&amp;KFF0000CONFIDENTIAL
The Attachment(s) Are Marked Confidential In Accordance With D. 16-08-024 and D. 17-09-023. Basis for Confidentiality In Accompanying Confidentiality Declaration.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Z154"/>
  <sheetViews>
    <sheetView topLeftCell="D79" zoomScale="90" zoomScaleNormal="90" workbookViewId="0">
      <selection activeCell="G97" sqref="G97"/>
    </sheetView>
  </sheetViews>
  <sheetFormatPr defaultColWidth="9" defaultRowHeight="15" x14ac:dyDescent="0.25"/>
  <cols>
    <col min="1" max="1" width="55.5703125" style="296" customWidth="1"/>
    <col min="2" max="2" width="37" style="296" bestFit="1" customWidth="1"/>
    <col min="3" max="3" width="76" style="296" customWidth="1"/>
    <col min="4" max="4" width="14.5703125" style="296" customWidth="1"/>
    <col min="5" max="5" width="38.7109375" style="296" customWidth="1"/>
    <col min="6" max="10" width="15.42578125" style="296" customWidth="1"/>
    <col min="11" max="11" width="25.42578125" style="431" customWidth="1"/>
    <col min="12" max="16" width="15" style="296" customWidth="1"/>
    <col min="17" max="17" width="19.5703125" style="296" customWidth="1"/>
    <col min="18" max="18" width="14.5703125" style="296" customWidth="1"/>
    <col min="19" max="19" width="21" style="296" customWidth="1"/>
    <col min="20" max="20" width="15.5703125" style="296" customWidth="1"/>
    <col min="21" max="21" width="16.5703125" style="296" bestFit="1" customWidth="1"/>
    <col min="22" max="23" width="13.5703125" style="296" customWidth="1"/>
    <col min="24" max="24" width="15.42578125" style="296" customWidth="1"/>
    <col min="25" max="25" width="13.5703125" style="296" customWidth="1"/>
    <col min="26" max="27" width="13.5703125" style="296" bestFit="1" customWidth="1"/>
    <col min="28" max="28" width="9" style="296"/>
    <col min="29" max="29" width="13.5703125" style="296" bestFit="1" customWidth="1"/>
    <col min="30" max="16384" width="9" style="296"/>
  </cols>
  <sheetData>
    <row r="2" spans="1:26" x14ac:dyDescent="0.25">
      <c r="A2" s="295" t="s">
        <v>114</v>
      </c>
      <c r="B2" s="430"/>
    </row>
    <row r="3" spans="1:26" x14ac:dyDescent="0.25">
      <c r="A3" s="296" t="s">
        <v>115</v>
      </c>
      <c r="B3" s="430"/>
      <c r="C3" s="255"/>
    </row>
    <row r="4" spans="1:26" x14ac:dyDescent="0.25">
      <c r="B4" s="430"/>
      <c r="F4" s="432"/>
    </row>
    <row r="5" spans="1:26" x14ac:dyDescent="0.25">
      <c r="A5" s="433" t="s">
        <v>299</v>
      </c>
      <c r="B5" s="434">
        <f>'Authorized Rev Req'!J101</f>
        <v>19403169.590911627</v>
      </c>
      <c r="C5" s="296" t="s">
        <v>300</v>
      </c>
      <c r="E5" s="256"/>
      <c r="F5" s="435"/>
    </row>
    <row r="6" spans="1:26" x14ac:dyDescent="0.25">
      <c r="A6" s="433" t="s">
        <v>301</v>
      </c>
      <c r="B6" s="436" t="s">
        <v>125</v>
      </c>
      <c r="F6" s="432"/>
      <c r="G6" s="432"/>
    </row>
    <row r="7" spans="1:26" ht="32.25" customHeight="1" x14ac:dyDescent="0.25">
      <c r="A7" s="437" t="s">
        <v>302</v>
      </c>
      <c r="B7" s="438"/>
      <c r="C7" s="438"/>
      <c r="D7" s="438"/>
      <c r="E7" s="438"/>
      <c r="F7" s="439" t="s">
        <v>303</v>
      </c>
      <c r="G7" s="439"/>
      <c r="H7" s="439"/>
      <c r="I7" s="439"/>
      <c r="J7" s="439"/>
      <c r="K7" s="438"/>
      <c r="L7" s="440"/>
      <c r="M7" s="440"/>
      <c r="N7" s="440"/>
      <c r="O7" s="440"/>
      <c r="P7" s="440"/>
      <c r="Q7" s="440"/>
    </row>
    <row r="8" spans="1:26" ht="61.5" customHeight="1" x14ac:dyDescent="0.25">
      <c r="A8" s="441" t="s">
        <v>135</v>
      </c>
      <c r="B8" s="441" t="s">
        <v>304</v>
      </c>
      <c r="C8" s="442" t="s">
        <v>137</v>
      </c>
      <c r="D8" s="442" t="s">
        <v>305</v>
      </c>
      <c r="E8" s="442" t="s">
        <v>136</v>
      </c>
      <c r="F8" s="443">
        <v>2026</v>
      </c>
      <c r="G8" s="443">
        <f>F8+1</f>
        <v>2027</v>
      </c>
      <c r="H8" s="443">
        <f t="shared" ref="H8:J8" si="0">G8+1</f>
        <v>2028</v>
      </c>
      <c r="I8" s="443">
        <f t="shared" si="0"/>
        <v>2029</v>
      </c>
      <c r="J8" s="443">
        <f t="shared" si="0"/>
        <v>2030</v>
      </c>
      <c r="K8" s="442" t="s">
        <v>306</v>
      </c>
      <c r="L8" s="444"/>
      <c r="M8" s="444"/>
      <c r="N8" s="444"/>
      <c r="O8" s="444"/>
      <c r="P8" s="444"/>
      <c r="S8" s="445" t="s">
        <v>307</v>
      </c>
    </row>
    <row r="9" spans="1:26" x14ac:dyDescent="0.25">
      <c r="A9" s="433" t="s">
        <v>139</v>
      </c>
      <c r="F9" s="433"/>
      <c r="G9" s="433"/>
      <c r="H9" s="433"/>
      <c r="I9" s="433"/>
      <c r="J9" s="433"/>
      <c r="T9" s="446">
        <f>F8</f>
        <v>2026</v>
      </c>
      <c r="U9" s="446">
        <f t="shared" ref="U9:X9" si="1">G8</f>
        <v>2027</v>
      </c>
      <c r="V9" s="446">
        <f t="shared" si="1"/>
        <v>2028</v>
      </c>
      <c r="W9" s="446">
        <f t="shared" si="1"/>
        <v>2029</v>
      </c>
      <c r="X9" s="446">
        <f t="shared" si="1"/>
        <v>2030</v>
      </c>
    </row>
    <row r="10" spans="1:26" ht="15" customHeight="1" x14ac:dyDescent="0.25">
      <c r="A10" s="297" t="s">
        <v>141</v>
      </c>
      <c r="C10" s="447" t="s">
        <v>143</v>
      </c>
      <c r="D10" s="257">
        <f>'Authorized Rev Req'!L8</f>
        <v>919033.35862154758</v>
      </c>
      <c r="E10" s="448" t="s">
        <v>142</v>
      </c>
      <c r="F10" s="257">
        <v>919033.35862154758</v>
      </c>
      <c r="G10" s="257">
        <v>947290.21868781664</v>
      </c>
      <c r="H10" s="257">
        <v>974611.7681097046</v>
      </c>
      <c r="I10" s="257">
        <v>974611.7681097046</v>
      </c>
      <c r="J10" s="257">
        <f>I10</f>
        <v>974611.7681097046</v>
      </c>
      <c r="K10" s="296" t="s">
        <v>308</v>
      </c>
      <c r="L10" s="258"/>
      <c r="M10" s="257"/>
      <c r="N10" s="257"/>
      <c r="O10" s="257"/>
      <c r="P10" s="257"/>
      <c r="S10" s="296" t="s">
        <v>142</v>
      </c>
      <c r="T10" s="259">
        <f t="shared" ref="T10:T22" si="2">SUMIF($E$10:$E$89,$S10,F$10:F$89)</f>
        <v>5656575.1844340097</v>
      </c>
      <c r="U10" s="259">
        <f t="shared" ref="U10:U22" si="3">SUMIF($E$10:$E$89,$S10,G$10:G$89)</f>
        <v>5262608.6501339534</v>
      </c>
      <c r="V10" s="259">
        <f t="shared" ref="V10:V22" si="4">SUMIF($E$10:$E$89,$S10,H$10:H$89)</f>
        <v>5220130.1995558413</v>
      </c>
      <c r="W10" s="259">
        <f t="shared" ref="W10:W22" si="5">SUMIF($E$10:$E$89,$S10,I$10:I$89)</f>
        <v>5220130.1995558413</v>
      </c>
      <c r="X10" s="259">
        <f t="shared" ref="X10:X22" si="6">SUMIF($E$10:$E$89,$S10,J$10:J$89)</f>
        <v>5220130.1995558413</v>
      </c>
      <c r="Y10" s="449"/>
      <c r="Z10" s="449"/>
    </row>
    <row r="11" spans="1:26" ht="15" customHeight="1" x14ac:dyDescent="0.25">
      <c r="A11" s="297" t="s">
        <v>144</v>
      </c>
      <c r="C11" s="447" t="s">
        <v>143</v>
      </c>
      <c r="D11" s="257">
        <f>'Authorized Rev Req'!L9</f>
        <v>65288.744535276208</v>
      </c>
      <c r="E11" s="448" t="s">
        <v>145</v>
      </c>
      <c r="F11" s="257">
        <v>65288.744535276208</v>
      </c>
      <c r="G11" s="257">
        <v>65415.186700753206</v>
      </c>
      <c r="H11" s="257">
        <v>65140.999596438967</v>
      </c>
      <c r="I11" s="257">
        <v>65140.999596438967</v>
      </c>
      <c r="J11" s="257">
        <f>I11</f>
        <v>65140.999596438967</v>
      </c>
      <c r="K11" s="296" t="s">
        <v>308</v>
      </c>
      <c r="L11" s="258"/>
      <c r="M11" s="257"/>
      <c r="N11" s="257"/>
      <c r="O11" s="257"/>
      <c r="P11" s="257"/>
      <c r="S11" s="296" t="s">
        <v>145</v>
      </c>
      <c r="T11" s="258">
        <f t="shared" si="2"/>
        <v>514473.18652918475</v>
      </c>
      <c r="U11" s="257">
        <f t="shared" si="3"/>
        <v>538883.69414509472</v>
      </c>
      <c r="V11" s="257">
        <f t="shared" si="4"/>
        <v>538609.5070407805</v>
      </c>
      <c r="W11" s="257">
        <f t="shared" si="5"/>
        <v>538609.5070407805</v>
      </c>
      <c r="X11" s="257">
        <f t="shared" si="6"/>
        <v>538609.5070407805</v>
      </c>
      <c r="Y11" s="449"/>
      <c r="Z11" s="449"/>
    </row>
    <row r="12" spans="1:26" ht="15" customHeight="1" x14ac:dyDescent="0.25">
      <c r="A12" s="297" t="s">
        <v>146</v>
      </c>
      <c r="C12" s="447" t="s">
        <v>148</v>
      </c>
      <c r="D12" s="257">
        <f>'Authorized Rev Req'!L10</f>
        <v>9532250.1821755283</v>
      </c>
      <c r="E12" s="448" t="s">
        <v>147</v>
      </c>
      <c r="F12" s="257">
        <f>D12</f>
        <v>9532250.1821755283</v>
      </c>
      <c r="G12" s="257">
        <v>9666107.0834392402</v>
      </c>
      <c r="H12" s="257">
        <v>10084482.375058614</v>
      </c>
      <c r="I12" s="257">
        <v>10084482.375058614</v>
      </c>
      <c r="J12" s="257">
        <f>I12</f>
        <v>10084482.375058614</v>
      </c>
      <c r="K12" s="296" t="s">
        <v>308</v>
      </c>
      <c r="L12" s="258"/>
      <c r="M12" s="257"/>
      <c r="N12" s="257"/>
      <c r="O12" s="257"/>
      <c r="P12" s="257"/>
      <c r="S12" s="296" t="s">
        <v>147</v>
      </c>
      <c r="T12" s="258">
        <f t="shared" si="2"/>
        <v>10656273.281867869</v>
      </c>
      <c r="U12" s="257">
        <f t="shared" si="3"/>
        <v>10043254.271106526</v>
      </c>
      <c r="V12" s="257">
        <f t="shared" si="4"/>
        <v>10432229.5627259</v>
      </c>
      <c r="W12" s="257">
        <f t="shared" si="5"/>
        <v>10432229.5627259</v>
      </c>
      <c r="X12" s="257">
        <f t="shared" si="6"/>
        <v>10432229.5627259</v>
      </c>
      <c r="Y12" s="449"/>
      <c r="Z12" s="449"/>
    </row>
    <row r="13" spans="1:26" ht="15" customHeight="1" x14ac:dyDescent="0.25">
      <c r="A13" s="297" t="s">
        <v>150</v>
      </c>
      <c r="C13" s="447" t="s">
        <v>309</v>
      </c>
      <c r="D13" s="257">
        <f>'Authorized Rev Req'!L11</f>
        <v>51504.780689855201</v>
      </c>
      <c r="E13" s="319" t="s">
        <v>142</v>
      </c>
      <c r="F13" s="257">
        <v>51504.780689855201</v>
      </c>
      <c r="G13" s="257">
        <v>0</v>
      </c>
      <c r="H13" s="257">
        <v>0</v>
      </c>
      <c r="I13" s="257">
        <v>0</v>
      </c>
      <c r="J13" s="257">
        <f t="shared" ref="J13:J62" si="7">I13</f>
        <v>0</v>
      </c>
      <c r="K13" s="296" t="s">
        <v>308</v>
      </c>
      <c r="L13" s="258"/>
      <c r="M13" s="257"/>
      <c r="N13" s="257"/>
      <c r="O13" s="257"/>
      <c r="P13" s="257"/>
      <c r="S13" s="296" t="s">
        <v>173</v>
      </c>
      <c r="T13" s="258">
        <f t="shared" si="2"/>
        <v>-443279</v>
      </c>
      <c r="U13" s="257">
        <f t="shared" si="3"/>
        <v>-443279</v>
      </c>
      <c r="V13" s="257">
        <f t="shared" si="4"/>
        <v>-443279</v>
      </c>
      <c r="W13" s="257">
        <f t="shared" si="5"/>
        <v>-443279</v>
      </c>
      <c r="X13" s="257">
        <f t="shared" si="6"/>
        <v>-443279</v>
      </c>
      <c r="Y13" s="449"/>
      <c r="Z13" s="449"/>
    </row>
    <row r="14" spans="1:26" ht="15" customHeight="1" x14ac:dyDescent="0.25">
      <c r="A14" s="297" t="s">
        <v>150</v>
      </c>
      <c r="C14" s="447" t="s">
        <v>309</v>
      </c>
      <c r="D14" s="257">
        <f>'Authorized Rev Req'!L12</f>
        <v>1532.0262541177535</v>
      </c>
      <c r="E14" s="319" t="s">
        <v>145</v>
      </c>
      <c r="F14" s="257">
        <v>1532.0262541177535</v>
      </c>
      <c r="G14" s="257">
        <v>0</v>
      </c>
      <c r="H14" s="257">
        <v>0</v>
      </c>
      <c r="I14" s="257">
        <v>0</v>
      </c>
      <c r="J14" s="257">
        <f t="shared" si="7"/>
        <v>0</v>
      </c>
      <c r="K14" s="296" t="s">
        <v>308</v>
      </c>
      <c r="L14" s="258"/>
      <c r="M14" s="257"/>
      <c r="N14" s="257"/>
      <c r="O14" s="257"/>
      <c r="P14" s="257"/>
      <c r="S14" s="296" t="s">
        <v>156</v>
      </c>
      <c r="T14" s="258">
        <f t="shared" si="2"/>
        <v>6677.0315948793686</v>
      </c>
      <c r="U14" s="257">
        <f t="shared" si="3"/>
        <v>3685</v>
      </c>
      <c r="V14" s="257">
        <f t="shared" si="4"/>
        <v>3685</v>
      </c>
      <c r="W14" s="257">
        <f t="shared" si="5"/>
        <v>3685</v>
      </c>
      <c r="X14" s="257">
        <f t="shared" si="6"/>
        <v>3685</v>
      </c>
      <c r="Y14" s="449"/>
      <c r="Z14" s="449"/>
    </row>
    <row r="15" spans="1:26" ht="15" customHeight="1" x14ac:dyDescent="0.25">
      <c r="A15" s="297" t="s">
        <v>150</v>
      </c>
      <c r="C15" s="447" t="s">
        <v>309</v>
      </c>
      <c r="D15" s="257">
        <f>'Authorized Rev Req'!L13</f>
        <v>398468.8396598635</v>
      </c>
      <c r="E15" s="319" t="s">
        <v>147</v>
      </c>
      <c r="F15" s="257">
        <v>398468.8396598635</v>
      </c>
      <c r="G15" s="257">
        <v>0</v>
      </c>
      <c r="H15" s="257">
        <v>0</v>
      </c>
      <c r="I15" s="257">
        <v>0</v>
      </c>
      <c r="J15" s="257">
        <f t="shared" si="7"/>
        <v>0</v>
      </c>
      <c r="K15" s="296" t="s">
        <v>308</v>
      </c>
      <c r="L15" s="258"/>
      <c r="M15" s="257"/>
      <c r="N15" s="257"/>
      <c r="O15" s="257"/>
      <c r="P15" s="257"/>
      <c r="S15" s="296" t="s">
        <v>158</v>
      </c>
      <c r="T15" s="258">
        <f t="shared" si="2"/>
        <v>2137.996733802267</v>
      </c>
      <c r="U15" s="257">
        <f t="shared" si="3"/>
        <v>5336.996733802267</v>
      </c>
      <c r="V15" s="257">
        <f t="shared" si="4"/>
        <v>5336.996733802267</v>
      </c>
      <c r="W15" s="257">
        <f t="shared" si="5"/>
        <v>5336.996733802267</v>
      </c>
      <c r="X15" s="257">
        <f t="shared" si="6"/>
        <v>5336.996733802267</v>
      </c>
      <c r="Y15" s="449"/>
      <c r="Z15" s="449"/>
    </row>
    <row r="16" spans="1:26" s="450" customFormat="1" ht="15" customHeight="1" x14ac:dyDescent="0.25">
      <c r="A16" s="297" t="s">
        <v>153</v>
      </c>
      <c r="B16" s="296"/>
      <c r="C16" s="447" t="s">
        <v>309</v>
      </c>
      <c r="D16" s="257">
        <f>'Authorized Rev Req'!L14</f>
        <v>52252.008255983244</v>
      </c>
      <c r="E16" s="319" t="s">
        <v>147</v>
      </c>
      <c r="F16" s="257">
        <v>0</v>
      </c>
      <c r="G16" s="257">
        <v>0</v>
      </c>
      <c r="H16" s="257">
        <v>0</v>
      </c>
      <c r="I16" s="257">
        <v>0</v>
      </c>
      <c r="J16" s="257">
        <f t="shared" si="7"/>
        <v>0</v>
      </c>
      <c r="K16" s="296" t="s">
        <v>308</v>
      </c>
      <c r="L16" s="258"/>
      <c r="S16" s="296" t="s">
        <v>157</v>
      </c>
      <c r="T16" s="258">
        <f t="shared" si="2"/>
        <v>589425.03217759123</v>
      </c>
      <c r="U16" s="257">
        <f t="shared" si="3"/>
        <v>672116.460638911</v>
      </c>
      <c r="V16" s="257">
        <f t="shared" si="4"/>
        <v>668476.82413684973</v>
      </c>
      <c r="W16" s="257">
        <f t="shared" si="5"/>
        <v>668476.82413684973</v>
      </c>
      <c r="X16" s="257">
        <f t="shared" si="6"/>
        <v>668476.82413684973</v>
      </c>
    </row>
    <row r="17" spans="1:26" ht="15" customHeight="1" x14ac:dyDescent="0.25">
      <c r="A17" s="296" t="s">
        <v>152</v>
      </c>
      <c r="C17" s="447" t="s">
        <v>160</v>
      </c>
      <c r="D17" s="257">
        <f>'Authorized Rev Req'!L21</f>
        <v>-4302.5033789854051</v>
      </c>
      <c r="E17" s="448" t="s">
        <v>147</v>
      </c>
      <c r="F17" s="257">
        <v>-4302.5033789854051</v>
      </c>
      <c r="G17" s="257">
        <v>0</v>
      </c>
      <c r="H17" s="257">
        <v>0</v>
      </c>
      <c r="I17" s="257">
        <v>0</v>
      </c>
      <c r="J17" s="257">
        <f t="shared" si="7"/>
        <v>0</v>
      </c>
      <c r="K17" s="296" t="s">
        <v>308</v>
      </c>
      <c r="L17" s="258"/>
      <c r="M17" s="257"/>
      <c r="N17" s="257"/>
      <c r="O17" s="257"/>
      <c r="P17" s="257"/>
      <c r="S17" s="296" t="s">
        <v>228</v>
      </c>
      <c r="T17" s="258">
        <f t="shared" si="2"/>
        <v>131844.61631190931</v>
      </c>
      <c r="U17" s="257">
        <f t="shared" si="3"/>
        <v>131844.61631190931</v>
      </c>
      <c r="V17" s="257">
        <f t="shared" si="4"/>
        <v>131844.61631190931</v>
      </c>
      <c r="W17" s="257">
        <f t="shared" si="5"/>
        <v>131844.61631190931</v>
      </c>
      <c r="X17" s="257">
        <f t="shared" si="6"/>
        <v>131844.61631190931</v>
      </c>
      <c r="Y17" s="449"/>
      <c r="Z17" s="449"/>
    </row>
    <row r="18" spans="1:26" ht="15" customHeight="1" x14ac:dyDescent="0.25">
      <c r="A18" s="296" t="s">
        <v>162</v>
      </c>
      <c r="C18" s="447" t="s">
        <v>163</v>
      </c>
      <c r="D18" s="257">
        <f>'Authorized Rev Req'!L22</f>
        <v>4694.932147861372</v>
      </c>
      <c r="E18" s="448" t="s">
        <v>147</v>
      </c>
      <c r="F18" s="257">
        <v>4694.932147861372</v>
      </c>
      <c r="G18" s="257">
        <v>0</v>
      </c>
      <c r="H18" s="257">
        <v>0</v>
      </c>
      <c r="I18" s="257">
        <v>0</v>
      </c>
      <c r="J18" s="257">
        <f t="shared" si="7"/>
        <v>0</v>
      </c>
      <c r="K18" s="296" t="s">
        <v>308</v>
      </c>
      <c r="L18" s="258"/>
      <c r="M18" s="257"/>
      <c r="N18" s="257"/>
      <c r="O18" s="257"/>
      <c r="P18" s="257"/>
      <c r="S18" s="296" t="s">
        <v>277</v>
      </c>
      <c r="T18" s="258">
        <f t="shared" si="2"/>
        <v>426374.14794351778</v>
      </c>
      <c r="U18" s="257">
        <f t="shared" si="3"/>
        <v>426374.14794351778</v>
      </c>
      <c r="V18" s="257">
        <f t="shared" si="4"/>
        <v>426374.14794351778</v>
      </c>
      <c r="W18" s="257">
        <f t="shared" si="5"/>
        <v>426374.14794351778</v>
      </c>
      <c r="X18" s="257">
        <f t="shared" si="6"/>
        <v>426374.14794351778</v>
      </c>
      <c r="Y18" s="449"/>
      <c r="Z18" s="449"/>
    </row>
    <row r="19" spans="1:26" ht="15" customHeight="1" x14ac:dyDescent="0.25">
      <c r="A19" s="451" t="s">
        <v>164</v>
      </c>
      <c r="C19" s="447" t="s">
        <v>165</v>
      </c>
      <c r="D19" s="257">
        <f>'Authorized Rev Req'!L23</f>
        <v>-5713.7619465120224</v>
      </c>
      <c r="E19" s="448" t="s">
        <v>142</v>
      </c>
      <c r="F19" s="257">
        <v>-5713.7619465120233</v>
      </c>
      <c r="G19" s="257">
        <v>0</v>
      </c>
      <c r="H19" s="257">
        <f>G19</f>
        <v>0</v>
      </c>
      <c r="I19" s="257">
        <v>0</v>
      </c>
      <c r="J19" s="257">
        <f t="shared" si="7"/>
        <v>0</v>
      </c>
      <c r="K19" s="296" t="s">
        <v>308</v>
      </c>
      <c r="L19" s="258"/>
      <c r="M19" s="257"/>
      <c r="N19" s="257"/>
      <c r="O19" s="257"/>
      <c r="P19" s="257"/>
      <c r="S19" s="452" t="s">
        <v>283</v>
      </c>
      <c r="T19" s="258">
        <f t="shared" si="2"/>
        <v>1500981.9850000001</v>
      </c>
      <c r="U19" s="257">
        <f t="shared" si="3"/>
        <v>1500981.9850000001</v>
      </c>
      <c r="V19" s="257">
        <f t="shared" si="4"/>
        <v>1500981.9850000001</v>
      </c>
      <c r="W19" s="257">
        <f t="shared" si="5"/>
        <v>1500981.9850000001</v>
      </c>
      <c r="X19" s="257">
        <f t="shared" si="6"/>
        <v>1500981.9850000001</v>
      </c>
      <c r="Y19" s="449"/>
      <c r="Z19" s="449"/>
    </row>
    <row r="20" spans="1:26" ht="15" customHeight="1" x14ac:dyDescent="0.25">
      <c r="A20" s="451" t="s">
        <v>164</v>
      </c>
      <c r="C20" s="447" t="s">
        <v>165</v>
      </c>
      <c r="D20" s="257">
        <f>'Authorized Rev Req'!L24</f>
        <v>-37083.264827566243</v>
      </c>
      <c r="E20" s="452" t="s">
        <v>147</v>
      </c>
      <c r="F20" s="257">
        <v>-37083.264827566243</v>
      </c>
      <c r="G20" s="257">
        <v>0</v>
      </c>
      <c r="H20" s="257">
        <f>G20</f>
        <v>0</v>
      </c>
      <c r="I20" s="257">
        <v>0</v>
      </c>
      <c r="J20" s="257">
        <f t="shared" si="7"/>
        <v>0</v>
      </c>
      <c r="K20" s="296" t="s">
        <v>308</v>
      </c>
      <c r="L20" s="258"/>
      <c r="M20" s="257"/>
      <c r="N20" s="257"/>
      <c r="O20" s="257"/>
      <c r="P20" s="257"/>
      <c r="S20" s="296" t="s">
        <v>287</v>
      </c>
      <c r="T20" s="258">
        <f t="shared" si="2"/>
        <v>-39455.016679999957</v>
      </c>
      <c r="U20" s="257">
        <f t="shared" si="3"/>
        <v>-39455.016679999957</v>
      </c>
      <c r="V20" s="257">
        <f t="shared" si="4"/>
        <v>-39455.016679999957</v>
      </c>
      <c r="W20" s="257">
        <f t="shared" si="5"/>
        <v>-39455.016679999957</v>
      </c>
      <c r="X20" s="257">
        <f t="shared" si="6"/>
        <v>-39455.016679999957</v>
      </c>
      <c r="Y20" s="449"/>
      <c r="Z20" s="449"/>
    </row>
    <row r="21" spans="1:26" ht="15" customHeight="1" x14ac:dyDescent="0.25">
      <c r="A21" s="296" t="s">
        <v>166</v>
      </c>
      <c r="C21" s="447" t="s">
        <v>167</v>
      </c>
      <c r="D21" s="257">
        <f>'Authorized Rev Req'!L25</f>
        <v>-1737.4745883336645</v>
      </c>
      <c r="E21" s="448" t="s">
        <v>142</v>
      </c>
      <c r="F21" s="257">
        <v>-1737.4745883336645</v>
      </c>
      <c r="G21" s="257">
        <v>0</v>
      </c>
      <c r="H21" s="257">
        <v>0</v>
      </c>
      <c r="I21" s="257">
        <v>0</v>
      </c>
      <c r="J21" s="257">
        <f t="shared" si="7"/>
        <v>0</v>
      </c>
      <c r="K21" s="296" t="s">
        <v>308</v>
      </c>
      <c r="L21" s="258"/>
      <c r="M21" s="257"/>
      <c r="N21" s="257"/>
      <c r="O21" s="257"/>
      <c r="P21" s="257"/>
      <c r="S21" s="296" t="s">
        <v>232</v>
      </c>
      <c r="T21" s="258">
        <f t="shared" si="2"/>
        <v>358476.33799999999</v>
      </c>
      <c r="U21" s="255">
        <f t="shared" si="3"/>
        <v>358476.33799999999</v>
      </c>
      <c r="V21" s="255">
        <f t="shared" si="4"/>
        <v>358476.33799999999</v>
      </c>
      <c r="W21" s="255">
        <f t="shared" si="5"/>
        <v>358476.33799999999</v>
      </c>
      <c r="X21" s="255">
        <f t="shared" si="6"/>
        <v>358476.33799999999</v>
      </c>
      <c r="Y21" s="449"/>
      <c r="Z21" s="449"/>
    </row>
    <row r="22" spans="1:26" ht="15" customHeight="1" x14ac:dyDescent="0.25">
      <c r="A22" s="296" t="s">
        <v>166</v>
      </c>
      <c r="C22" s="447" t="s">
        <v>167</v>
      </c>
      <c r="D22" s="257">
        <f>'Authorized Rev Req'!L26</f>
        <v>-12404.647449256114</v>
      </c>
      <c r="E22" s="448" t="s">
        <v>147</v>
      </c>
      <c r="F22" s="257">
        <v>-12404.647449256114</v>
      </c>
      <c r="G22" s="257">
        <v>0</v>
      </c>
      <c r="H22" s="257">
        <v>0</v>
      </c>
      <c r="I22" s="257">
        <v>0</v>
      </c>
      <c r="J22" s="257">
        <f t="shared" si="7"/>
        <v>0</v>
      </c>
      <c r="K22" s="296" t="s">
        <v>308</v>
      </c>
      <c r="L22" s="258"/>
      <c r="M22" s="257"/>
      <c r="N22" s="257"/>
      <c r="O22" s="257"/>
      <c r="P22" s="257"/>
      <c r="S22" s="296" t="s">
        <v>296</v>
      </c>
      <c r="T22" s="261">
        <f t="shared" si="2"/>
        <v>80445.31203240779</v>
      </c>
      <c r="U22" s="261">
        <f t="shared" si="3"/>
        <v>80445.31203240779</v>
      </c>
      <c r="V22" s="261">
        <f t="shared" si="4"/>
        <v>80445.31203240779</v>
      </c>
      <c r="W22" s="261">
        <f t="shared" si="5"/>
        <v>80445.31203240779</v>
      </c>
      <c r="X22" s="261">
        <f t="shared" si="6"/>
        <v>80445.31203240779</v>
      </c>
      <c r="Y22" s="449"/>
      <c r="Z22" s="449"/>
    </row>
    <row r="23" spans="1:26" ht="15" customHeight="1" x14ac:dyDescent="0.25">
      <c r="A23" s="296" t="s">
        <v>310</v>
      </c>
      <c r="C23" s="447" t="s">
        <v>170</v>
      </c>
      <c r="D23" s="257">
        <f>'Authorized Rev Req'!L27</f>
        <v>4215455.4352467358</v>
      </c>
      <c r="E23" s="448" t="s">
        <v>142</v>
      </c>
      <c r="F23" s="257">
        <v>4215455.4352467358</v>
      </c>
      <c r="G23" s="257">
        <f>F23</f>
        <v>4215455.4352467358</v>
      </c>
      <c r="H23" s="257">
        <f t="shared" ref="H23:H33" si="8">G23</f>
        <v>4215455.4352467358</v>
      </c>
      <c r="I23" s="257">
        <f>H23</f>
        <v>4215455.4352467358</v>
      </c>
      <c r="J23" s="257">
        <f t="shared" si="7"/>
        <v>4215455.4352467358</v>
      </c>
      <c r="K23" s="296" t="s">
        <v>308</v>
      </c>
      <c r="L23" s="258"/>
      <c r="M23" s="257"/>
      <c r="N23" s="257"/>
      <c r="O23" s="257"/>
      <c r="P23" s="257"/>
      <c r="S23" s="433"/>
      <c r="T23" s="428">
        <f>SUM(T10:T22)</f>
        <v>19440950.095945172</v>
      </c>
      <c r="U23" s="428">
        <f>SUM(U10:U22)</f>
        <v>18541273.455366123</v>
      </c>
      <c r="V23" s="428">
        <f>SUM(V10:V22)</f>
        <v>18883856.472801011</v>
      </c>
      <c r="W23" s="428">
        <f>SUM(W10:W22)</f>
        <v>18883856.472801011</v>
      </c>
      <c r="X23" s="428">
        <f>SUM(X10:X22)</f>
        <v>18883856.472801011</v>
      </c>
      <c r="Y23" s="449"/>
      <c r="Z23" s="449"/>
    </row>
    <row r="24" spans="1:26" ht="15" customHeight="1" x14ac:dyDescent="0.25">
      <c r="A24" s="296" t="s">
        <v>310</v>
      </c>
      <c r="C24" s="447" t="s">
        <v>170</v>
      </c>
      <c r="D24" s="257">
        <f>'Authorized Rev Req'!L28</f>
        <v>473468.50744434149</v>
      </c>
      <c r="E24" s="448" t="s">
        <v>145</v>
      </c>
      <c r="F24" s="257">
        <v>473468.50744434149</v>
      </c>
      <c r="G24" s="257">
        <f t="shared" ref="G24:G29" si="9">F24</f>
        <v>473468.50744434149</v>
      </c>
      <c r="H24" s="257">
        <f>G24</f>
        <v>473468.50744434149</v>
      </c>
      <c r="I24" s="257">
        <f t="shared" ref="I24:I30" si="10">H24</f>
        <v>473468.50744434149</v>
      </c>
      <c r="J24" s="257">
        <f t="shared" si="7"/>
        <v>473468.50744434149</v>
      </c>
      <c r="K24" s="296" t="s">
        <v>308</v>
      </c>
      <c r="L24" s="258"/>
      <c r="M24" s="257"/>
      <c r="N24" s="257"/>
      <c r="O24" s="257"/>
      <c r="P24" s="257"/>
      <c r="S24" s="296" t="s">
        <v>311</v>
      </c>
      <c r="T24" s="432" t="b">
        <f>T23=F89</f>
        <v>1</v>
      </c>
      <c r="U24" s="432" t="b">
        <f>U23=G89</f>
        <v>1</v>
      </c>
      <c r="V24" s="432" t="b">
        <f>V23=H89</f>
        <v>1</v>
      </c>
      <c r="W24" s="432" t="b">
        <f>W23=I89</f>
        <v>1</v>
      </c>
      <c r="X24" s="432" t="b">
        <f>X23=J89</f>
        <v>1</v>
      </c>
      <c r="Y24" s="449"/>
      <c r="Z24" s="449"/>
    </row>
    <row r="25" spans="1:26" ht="15" customHeight="1" x14ac:dyDescent="0.25">
      <c r="A25" s="296" t="s">
        <v>312</v>
      </c>
      <c r="C25" s="447" t="s">
        <v>170</v>
      </c>
      <c r="D25" s="257">
        <f>'Authorized Rev Req'!L29</f>
        <v>-25816.091704550701</v>
      </c>
      <c r="E25" s="448" t="s">
        <v>145</v>
      </c>
      <c r="F25" s="257">
        <v>-25816.091704550701</v>
      </c>
      <c r="G25" s="257">
        <v>0</v>
      </c>
      <c r="H25" s="257">
        <f t="shared" ref="H25:H30" si="11">G25</f>
        <v>0</v>
      </c>
      <c r="I25" s="257">
        <f t="shared" si="10"/>
        <v>0</v>
      </c>
      <c r="J25" s="257">
        <f t="shared" si="7"/>
        <v>0</v>
      </c>
      <c r="K25" s="296" t="s">
        <v>308</v>
      </c>
      <c r="L25" s="258"/>
      <c r="M25" s="257"/>
      <c r="N25" s="257"/>
      <c r="O25" s="257"/>
      <c r="P25" s="257"/>
      <c r="Y25" s="449"/>
      <c r="Z25" s="449"/>
    </row>
    <row r="26" spans="1:26" ht="15" customHeight="1" x14ac:dyDescent="0.25">
      <c r="A26" s="296" t="s">
        <v>313</v>
      </c>
      <c r="C26" s="447" t="s">
        <v>170</v>
      </c>
      <c r="D26" s="257">
        <f>'Authorized Rev Req'!L30</f>
        <v>-443279</v>
      </c>
      <c r="E26" s="448" t="s">
        <v>173</v>
      </c>
      <c r="F26" s="257">
        <v>-443279</v>
      </c>
      <c r="G26" s="257">
        <f t="shared" si="9"/>
        <v>-443279</v>
      </c>
      <c r="H26" s="257">
        <f t="shared" si="11"/>
        <v>-443279</v>
      </c>
      <c r="I26" s="257">
        <f t="shared" si="10"/>
        <v>-443279</v>
      </c>
      <c r="J26" s="257">
        <f t="shared" si="7"/>
        <v>-443279</v>
      </c>
      <c r="K26" s="296" t="s">
        <v>308</v>
      </c>
      <c r="L26" s="258"/>
      <c r="M26" s="257"/>
      <c r="N26" s="257"/>
      <c r="O26" s="257"/>
      <c r="P26" s="257"/>
      <c r="Z26" s="449"/>
    </row>
    <row r="27" spans="1:26" ht="15" customHeight="1" x14ac:dyDescent="0.25">
      <c r="A27" s="296" t="s">
        <v>313</v>
      </c>
      <c r="C27" s="447" t="s">
        <v>170</v>
      </c>
      <c r="D27" s="257">
        <f>'Authorized Rev Req'!L31</f>
        <v>5336.996733802267</v>
      </c>
      <c r="E27" s="448" t="s">
        <v>158</v>
      </c>
      <c r="F27" s="257">
        <v>5336.996733802267</v>
      </c>
      <c r="G27" s="257">
        <f t="shared" si="9"/>
        <v>5336.996733802267</v>
      </c>
      <c r="H27" s="257">
        <f t="shared" si="11"/>
        <v>5336.996733802267</v>
      </c>
      <c r="I27" s="257">
        <f t="shared" si="10"/>
        <v>5336.996733802267</v>
      </c>
      <c r="J27" s="257">
        <f t="shared" si="7"/>
        <v>5336.996733802267</v>
      </c>
      <c r="K27" s="296" t="s">
        <v>308</v>
      </c>
      <c r="L27" s="258"/>
      <c r="M27" s="257"/>
      <c r="N27" s="257"/>
      <c r="O27" s="257"/>
      <c r="P27" s="257"/>
      <c r="Y27" s="432"/>
    </row>
    <row r="28" spans="1:26" ht="15" customHeight="1" x14ac:dyDescent="0.25">
      <c r="A28" s="296" t="s">
        <v>313</v>
      </c>
      <c r="C28" s="447" t="s">
        <v>170</v>
      </c>
      <c r="D28" s="257">
        <f>'Authorized Rev Req'!L32</f>
        <v>-2686.1566957162595</v>
      </c>
      <c r="E28" s="448" t="s">
        <v>147</v>
      </c>
      <c r="F28" s="257">
        <v>-2686.1566957162595</v>
      </c>
      <c r="G28" s="257">
        <f t="shared" si="9"/>
        <v>-2686.1566957162595</v>
      </c>
      <c r="H28" s="257">
        <f t="shared" si="11"/>
        <v>-2686.1566957162595</v>
      </c>
      <c r="I28" s="257">
        <f t="shared" si="10"/>
        <v>-2686.1566957162595</v>
      </c>
      <c r="J28" s="257">
        <f t="shared" si="7"/>
        <v>-2686.1566957162595</v>
      </c>
      <c r="K28" s="296" t="s">
        <v>308</v>
      </c>
      <c r="L28" s="258"/>
      <c r="M28" s="257"/>
      <c r="N28" s="257"/>
      <c r="O28" s="257"/>
      <c r="P28" s="257"/>
    </row>
    <row r="29" spans="1:26" ht="15" customHeight="1" x14ac:dyDescent="0.25">
      <c r="A29" s="296" t="s">
        <v>313</v>
      </c>
      <c r="C29" s="447" t="s">
        <v>170</v>
      </c>
      <c r="D29" s="257">
        <f>'Authorized Rev Req'!L33</f>
        <v>28843.044462928839</v>
      </c>
      <c r="E29" s="448" t="s">
        <v>157</v>
      </c>
      <c r="F29" s="257">
        <f>D29</f>
        <v>28843.044462928839</v>
      </c>
      <c r="G29" s="257">
        <f t="shared" si="9"/>
        <v>28843.044462928839</v>
      </c>
      <c r="H29" s="257">
        <f t="shared" si="11"/>
        <v>28843.044462928839</v>
      </c>
      <c r="I29" s="257">
        <f t="shared" si="10"/>
        <v>28843.044462928839</v>
      </c>
      <c r="J29" s="257">
        <f t="shared" si="7"/>
        <v>28843.044462928839</v>
      </c>
      <c r="K29" s="296" t="s">
        <v>308</v>
      </c>
      <c r="L29" s="258"/>
      <c r="M29" s="258"/>
      <c r="N29" s="258"/>
      <c r="O29" s="258"/>
      <c r="P29" s="258"/>
      <c r="Q29" s="258"/>
    </row>
    <row r="30" spans="1:26" ht="15" customHeight="1" x14ac:dyDescent="0.25">
      <c r="A30" s="296" t="s">
        <v>313</v>
      </c>
      <c r="C30" s="447" t="s">
        <v>170</v>
      </c>
      <c r="D30" s="257">
        <f>'Authorized Rev Req'!L34</f>
        <v>6677.0315948793686</v>
      </c>
      <c r="E30" s="448" t="s">
        <v>156</v>
      </c>
      <c r="F30" s="257">
        <v>6677.0315948793686</v>
      </c>
      <c r="G30" s="257">
        <v>3685</v>
      </c>
      <c r="H30" s="257">
        <f t="shared" si="11"/>
        <v>3685</v>
      </c>
      <c r="I30" s="257">
        <f t="shared" si="10"/>
        <v>3685</v>
      </c>
      <c r="J30" s="257">
        <f t="shared" si="7"/>
        <v>3685</v>
      </c>
      <c r="K30" s="296" t="s">
        <v>308</v>
      </c>
      <c r="L30" s="258"/>
      <c r="M30" s="258"/>
      <c r="N30" s="258"/>
      <c r="O30" s="258"/>
      <c r="P30" s="258"/>
      <c r="Q30" s="258"/>
    </row>
    <row r="31" spans="1:26" ht="15" customHeight="1" x14ac:dyDescent="0.25">
      <c r="A31" s="296" t="s">
        <v>312</v>
      </c>
      <c r="C31" s="447" t="s">
        <v>170</v>
      </c>
      <c r="D31" s="257">
        <f>'Authorized Rev Req'!L35</f>
        <v>9995.8191531838747</v>
      </c>
      <c r="E31" s="448" t="s">
        <v>157</v>
      </c>
      <c r="F31" s="257">
        <v>9995.8191531838747</v>
      </c>
      <c r="G31" s="257">
        <v>0</v>
      </c>
      <c r="H31" s="257">
        <v>0</v>
      </c>
      <c r="I31" s="257">
        <v>0</v>
      </c>
      <c r="J31" s="257">
        <f t="shared" si="7"/>
        <v>0</v>
      </c>
      <c r="K31" s="296" t="s">
        <v>308</v>
      </c>
      <c r="L31" s="258"/>
      <c r="M31" s="258"/>
      <c r="N31" s="258"/>
      <c r="O31" s="258"/>
      <c r="P31" s="258"/>
      <c r="Q31" s="258"/>
    </row>
    <row r="32" spans="1:26" ht="15" customHeight="1" x14ac:dyDescent="0.25">
      <c r="A32" s="296" t="s">
        <v>314</v>
      </c>
      <c r="C32" s="447" t="s">
        <v>170</v>
      </c>
      <c r="D32" s="257">
        <f>'Authorized Rev Req'!L36</f>
        <v>445222.26282184431</v>
      </c>
      <c r="E32" s="296" t="s">
        <v>142</v>
      </c>
      <c r="F32" s="257">
        <v>445222.26282184426</v>
      </c>
      <c r="G32" s="257">
        <v>0</v>
      </c>
      <c r="H32" s="257">
        <v>0</v>
      </c>
      <c r="I32" s="257">
        <f>H32</f>
        <v>0</v>
      </c>
      <c r="J32" s="257">
        <f t="shared" si="7"/>
        <v>0</v>
      </c>
      <c r="K32" s="296" t="s">
        <v>308</v>
      </c>
      <c r="L32" s="258"/>
      <c r="M32" s="258"/>
      <c r="N32" s="258"/>
      <c r="O32" s="258"/>
      <c r="P32" s="258"/>
      <c r="Q32" s="258"/>
    </row>
    <row r="33" spans="1:17" ht="15" customHeight="1" x14ac:dyDescent="0.25">
      <c r="A33" s="296" t="s">
        <v>183</v>
      </c>
      <c r="C33" s="447" t="s">
        <v>170</v>
      </c>
      <c r="D33" s="257">
        <f>'Authorized Rev Req'!L39</f>
        <v>3280.1284958733913</v>
      </c>
      <c r="E33" s="448" t="s">
        <v>157</v>
      </c>
      <c r="F33" s="257">
        <f>D33</f>
        <v>3280.1284958733913</v>
      </c>
      <c r="G33" s="257">
        <f>F33</f>
        <v>3280.1284958733913</v>
      </c>
      <c r="H33" s="257">
        <f t="shared" si="8"/>
        <v>3280.1284958733913</v>
      </c>
      <c r="I33" s="257">
        <f>H33</f>
        <v>3280.1284958733913</v>
      </c>
      <c r="J33" s="257">
        <f t="shared" si="7"/>
        <v>3280.1284958733913</v>
      </c>
      <c r="K33" s="296" t="s">
        <v>308</v>
      </c>
      <c r="L33" s="258"/>
      <c r="M33" s="258"/>
      <c r="N33" s="258"/>
      <c r="O33" s="258"/>
      <c r="P33" s="258"/>
      <c r="Q33" s="258"/>
    </row>
    <row r="34" spans="1:17" ht="15" customHeight="1" x14ac:dyDescent="0.25">
      <c r="A34" s="296" t="s">
        <v>184</v>
      </c>
      <c r="C34" s="447" t="s">
        <v>185</v>
      </c>
      <c r="D34" s="257">
        <f>'Authorized Rev Req'!L40</f>
        <v>2037.6740343573588</v>
      </c>
      <c r="E34" s="297" t="s">
        <v>142</v>
      </c>
      <c r="F34" s="257">
        <v>2037.6740343573588</v>
      </c>
      <c r="G34" s="257">
        <v>0</v>
      </c>
      <c r="H34" s="257">
        <v>0</v>
      </c>
      <c r="I34" s="257">
        <v>0</v>
      </c>
      <c r="J34" s="257">
        <f t="shared" si="7"/>
        <v>0</v>
      </c>
      <c r="K34" s="296" t="s">
        <v>308</v>
      </c>
      <c r="L34" s="258"/>
      <c r="M34" s="258"/>
      <c r="N34" s="258"/>
      <c r="O34" s="258"/>
      <c r="P34" s="258"/>
      <c r="Q34" s="258"/>
    </row>
    <row r="35" spans="1:17" ht="15" customHeight="1" x14ac:dyDescent="0.25">
      <c r="A35" s="296" t="s">
        <v>184</v>
      </c>
      <c r="C35" s="447" t="s">
        <v>185</v>
      </c>
      <c r="D35" s="257">
        <f>'Authorized Rev Req'!L41</f>
        <v>26947.029256805465</v>
      </c>
      <c r="E35" s="297" t="s">
        <v>147</v>
      </c>
      <c r="F35" s="257">
        <v>26947.029256805465</v>
      </c>
      <c r="G35" s="257">
        <v>0</v>
      </c>
      <c r="H35" s="257">
        <v>0</v>
      </c>
      <c r="I35" s="257">
        <v>0</v>
      </c>
      <c r="J35" s="257">
        <f t="shared" si="7"/>
        <v>0</v>
      </c>
      <c r="K35" s="296" t="s">
        <v>308</v>
      </c>
      <c r="L35" s="258"/>
      <c r="M35" s="258"/>
      <c r="N35" s="258"/>
      <c r="O35" s="258"/>
      <c r="P35" s="258"/>
      <c r="Q35" s="258"/>
    </row>
    <row r="36" spans="1:17" ht="15" customHeight="1" x14ac:dyDescent="0.25">
      <c r="A36" s="296" t="s">
        <v>315</v>
      </c>
      <c r="C36" s="447" t="s">
        <v>316</v>
      </c>
      <c r="D36" s="257">
        <v>0</v>
      </c>
      <c r="E36" s="297" t="s">
        <v>147</v>
      </c>
      <c r="F36" s="257">
        <v>50640</v>
      </c>
      <c r="G36" s="257"/>
      <c r="H36" s="257">
        <v>0</v>
      </c>
      <c r="I36" s="257">
        <v>0</v>
      </c>
      <c r="J36" s="257">
        <f t="shared" si="7"/>
        <v>0</v>
      </c>
      <c r="K36" s="296" t="s">
        <v>317</v>
      </c>
      <c r="L36" s="258"/>
      <c r="M36" s="258"/>
      <c r="N36" s="258"/>
      <c r="O36" s="258"/>
      <c r="P36" s="258"/>
      <c r="Q36" s="258"/>
    </row>
    <row r="37" spans="1:17" ht="15" customHeight="1" x14ac:dyDescent="0.25">
      <c r="A37" s="296" t="s">
        <v>315</v>
      </c>
      <c r="C37" s="447" t="s">
        <v>316</v>
      </c>
      <c r="D37" s="257">
        <v>0</v>
      </c>
      <c r="E37" s="297" t="s">
        <v>157</v>
      </c>
      <c r="F37" s="257">
        <v>234</v>
      </c>
      <c r="G37" s="257"/>
      <c r="H37" s="257">
        <v>0</v>
      </c>
      <c r="I37" s="257">
        <v>0</v>
      </c>
      <c r="J37" s="257">
        <f t="shared" si="7"/>
        <v>0</v>
      </c>
      <c r="K37" s="296" t="s">
        <v>317</v>
      </c>
      <c r="L37" s="258"/>
      <c r="M37" s="258"/>
      <c r="N37" s="258"/>
      <c r="O37" s="258"/>
      <c r="P37" s="258"/>
      <c r="Q37" s="258"/>
    </row>
    <row r="38" spans="1:17" ht="15" customHeight="1" x14ac:dyDescent="0.25">
      <c r="A38" s="296" t="s">
        <v>186</v>
      </c>
      <c r="C38" s="296" t="s">
        <v>187</v>
      </c>
      <c r="D38" s="428">
        <f>'Authorized Rev Req'!L42</f>
        <v>-85750.175866830832</v>
      </c>
      <c r="E38" s="452" t="s">
        <v>147</v>
      </c>
      <c r="F38" s="428">
        <v>-85750.175866830832</v>
      </c>
      <c r="G38" s="257"/>
      <c r="H38" s="428">
        <v>0</v>
      </c>
      <c r="I38" s="428">
        <v>0</v>
      </c>
      <c r="J38" s="428">
        <v>0</v>
      </c>
      <c r="K38" s="296" t="s">
        <v>317</v>
      </c>
      <c r="L38" s="258"/>
      <c r="M38" s="428"/>
      <c r="N38" s="428"/>
      <c r="O38" s="428"/>
      <c r="P38" s="428"/>
      <c r="Q38" s="453"/>
    </row>
    <row r="39" spans="1:17" ht="15" customHeight="1" x14ac:dyDescent="0.25">
      <c r="A39" s="296" t="s">
        <v>186</v>
      </c>
      <c r="C39" s="296" t="s">
        <v>187</v>
      </c>
      <c r="D39" s="428">
        <f>'Authorized Rev Req'!L43</f>
        <v>12312.939560773326</v>
      </c>
      <c r="E39" s="448" t="s">
        <v>157</v>
      </c>
      <c r="F39" s="428">
        <v>12312.939560773326</v>
      </c>
      <c r="G39" s="257"/>
      <c r="H39" s="428">
        <v>0</v>
      </c>
      <c r="I39" s="428">
        <v>0</v>
      </c>
      <c r="J39" s="428">
        <v>0</v>
      </c>
      <c r="K39" s="296" t="s">
        <v>317</v>
      </c>
      <c r="L39" s="258"/>
      <c r="M39" s="428"/>
      <c r="N39" s="428"/>
      <c r="O39" s="428"/>
      <c r="P39" s="428"/>
      <c r="Q39" s="453"/>
    </row>
    <row r="40" spans="1:17" ht="15" customHeight="1" x14ac:dyDescent="0.25">
      <c r="A40" s="296" t="s">
        <v>213</v>
      </c>
      <c r="C40" s="447" t="s">
        <v>318</v>
      </c>
      <c r="D40" s="257">
        <f>'Authorized Rev Req'!L59</f>
        <v>416397.65824066353</v>
      </c>
      <c r="E40" s="296" t="s">
        <v>147</v>
      </c>
      <c r="F40" s="257">
        <v>0</v>
      </c>
      <c r="G40" s="257">
        <v>0</v>
      </c>
      <c r="H40" s="257">
        <v>0</v>
      </c>
      <c r="I40" s="257">
        <v>0</v>
      </c>
      <c r="J40" s="257">
        <f t="shared" si="7"/>
        <v>0</v>
      </c>
      <c r="K40" s="296" t="s">
        <v>308</v>
      </c>
      <c r="L40" s="258"/>
      <c r="M40" s="258"/>
      <c r="N40" s="258"/>
      <c r="O40" s="258"/>
      <c r="P40" s="258"/>
      <c r="Q40" s="258"/>
    </row>
    <row r="41" spans="1:17" ht="15" customHeight="1" x14ac:dyDescent="0.25">
      <c r="A41" s="296" t="s">
        <v>189</v>
      </c>
      <c r="C41" s="447" t="s">
        <v>160</v>
      </c>
      <c r="D41" s="257">
        <f>'Authorized Rev Req'!L44</f>
        <v>709.34693655783053</v>
      </c>
      <c r="E41" s="296" t="s">
        <v>142</v>
      </c>
      <c r="F41" s="257">
        <v>709.91335511501586</v>
      </c>
      <c r="G41" s="257">
        <v>0</v>
      </c>
      <c r="H41" s="257">
        <v>0</v>
      </c>
      <c r="I41" s="257">
        <v>0</v>
      </c>
      <c r="J41" s="257">
        <f t="shared" si="7"/>
        <v>0</v>
      </c>
      <c r="K41" s="296" t="s">
        <v>308</v>
      </c>
      <c r="L41" s="258"/>
      <c r="M41" s="258"/>
      <c r="N41" s="258"/>
      <c r="O41" s="258"/>
      <c r="P41" s="258"/>
      <c r="Q41" s="258"/>
    </row>
    <row r="42" spans="1:17" ht="15" customHeight="1" x14ac:dyDescent="0.25">
      <c r="A42" s="296" t="s">
        <v>189</v>
      </c>
      <c r="C42" s="447" t="s">
        <v>192</v>
      </c>
      <c r="D42" s="257">
        <f>'Authorized Rev Req'!L45</f>
        <v>477020.05717311922</v>
      </c>
      <c r="E42" s="296" t="s">
        <v>147</v>
      </c>
      <c r="F42" s="257">
        <f>D42</f>
        <v>477020.05717311922</v>
      </c>
      <c r="G42" s="257">
        <v>160140.56529926337</v>
      </c>
      <c r="H42" s="257">
        <f>G42</f>
        <v>160140.56529926337</v>
      </c>
      <c r="I42" s="257">
        <f>H42</f>
        <v>160140.56529926337</v>
      </c>
      <c r="J42" s="257">
        <f>I42</f>
        <v>160140.56529926337</v>
      </c>
      <c r="K42" s="296" t="s">
        <v>308</v>
      </c>
      <c r="L42" s="258"/>
      <c r="M42" s="258"/>
      <c r="N42" s="258"/>
      <c r="O42" s="258"/>
      <c r="P42" s="258"/>
      <c r="Q42" s="258"/>
    </row>
    <row r="43" spans="1:17" ht="15" customHeight="1" x14ac:dyDescent="0.25">
      <c r="A43" s="296" t="s">
        <v>190</v>
      </c>
      <c r="C43" s="447" t="s">
        <v>160</v>
      </c>
      <c r="D43" s="257">
        <f>'Authorized Rev Req'!L46</f>
        <v>-3199</v>
      </c>
      <c r="E43" s="448" t="s">
        <v>158</v>
      </c>
      <c r="F43" s="257">
        <v>-3199</v>
      </c>
      <c r="G43" s="257">
        <v>0</v>
      </c>
      <c r="H43" s="257">
        <v>0</v>
      </c>
      <c r="I43" s="257">
        <v>0</v>
      </c>
      <c r="J43" s="257">
        <f t="shared" si="7"/>
        <v>0</v>
      </c>
      <c r="K43" s="296" t="s">
        <v>308</v>
      </c>
      <c r="L43" s="258"/>
      <c r="M43" s="258"/>
      <c r="N43" s="258"/>
      <c r="O43" s="258"/>
      <c r="P43" s="258"/>
      <c r="Q43" s="258"/>
    </row>
    <row r="44" spans="1:17" ht="15" customHeight="1" x14ac:dyDescent="0.25">
      <c r="A44" s="296" t="s">
        <v>193</v>
      </c>
      <c r="C44" s="447" t="s">
        <v>160</v>
      </c>
      <c r="D44" s="257">
        <f>'Authorized Rev Req'!L47</f>
        <v>-92235.96705978064</v>
      </c>
      <c r="E44" s="448" t="s">
        <v>157</v>
      </c>
      <c r="F44" s="257">
        <v>-92235.96705978064</v>
      </c>
      <c r="G44" s="257">
        <v>0</v>
      </c>
      <c r="H44" s="257">
        <v>0</v>
      </c>
      <c r="I44" s="257">
        <v>0</v>
      </c>
      <c r="J44" s="257">
        <f t="shared" si="7"/>
        <v>0</v>
      </c>
      <c r="K44" s="296" t="s">
        <v>308</v>
      </c>
      <c r="L44" s="258"/>
      <c r="M44" s="258"/>
      <c r="N44" s="258"/>
      <c r="O44" s="258"/>
      <c r="P44" s="258"/>
      <c r="Q44" s="258"/>
    </row>
    <row r="45" spans="1:17" ht="15" customHeight="1" x14ac:dyDescent="0.25">
      <c r="A45" s="296" t="s">
        <v>194</v>
      </c>
      <c r="C45" s="447" t="s">
        <v>160</v>
      </c>
      <c r="D45" s="257">
        <f>'Authorized Rev Req'!L48</f>
        <v>222996</v>
      </c>
      <c r="E45" s="448" t="s">
        <v>157</v>
      </c>
      <c r="F45" s="257">
        <v>222996</v>
      </c>
      <c r="G45" s="257">
        <v>200000</v>
      </c>
      <c r="H45" s="257">
        <v>200000</v>
      </c>
      <c r="I45" s="257">
        <v>200000</v>
      </c>
      <c r="J45" s="257">
        <f>I45</f>
        <v>200000</v>
      </c>
      <c r="K45" s="296" t="s">
        <v>308</v>
      </c>
      <c r="L45" s="258"/>
      <c r="M45" s="258"/>
      <c r="N45" s="258"/>
      <c r="O45" s="258"/>
      <c r="P45" s="258"/>
      <c r="Q45" s="258"/>
    </row>
    <row r="46" spans="1:17" ht="15" customHeight="1" x14ac:dyDescent="0.25">
      <c r="A46" s="296" t="s">
        <v>195</v>
      </c>
      <c r="C46" s="447" t="s">
        <v>196</v>
      </c>
      <c r="D46" s="257">
        <f>'Authorized Rev Req'!L49</f>
        <v>30050.914394141</v>
      </c>
      <c r="E46" s="452" t="s">
        <v>142</v>
      </c>
      <c r="F46" s="257">
        <v>30050.914394141</v>
      </c>
      <c r="G46" s="257">
        <v>30050.914394141</v>
      </c>
      <c r="H46" s="257">
        <f t="shared" ref="H46:I47" si="12">G46</f>
        <v>30050.914394141</v>
      </c>
      <c r="I46" s="257">
        <f t="shared" si="12"/>
        <v>30050.914394141</v>
      </c>
      <c r="J46" s="257">
        <f t="shared" si="7"/>
        <v>30050.914394141</v>
      </c>
      <c r="K46" s="296" t="s">
        <v>308</v>
      </c>
      <c r="L46" s="258"/>
      <c r="M46" s="258"/>
      <c r="N46" s="258"/>
      <c r="O46" s="258"/>
      <c r="P46" s="258"/>
      <c r="Q46" s="258"/>
    </row>
    <row r="47" spans="1:17" ht="15" customHeight="1" x14ac:dyDescent="0.25">
      <c r="A47" s="296" t="s">
        <v>195</v>
      </c>
      <c r="C47" s="447" t="s">
        <v>196</v>
      </c>
      <c r="D47" s="257">
        <f>'Authorized Rev Req'!L50</f>
        <v>81023.405481569978</v>
      </c>
      <c r="E47" s="452" t="s">
        <v>147</v>
      </c>
      <c r="F47" s="257">
        <v>81023.405481569964</v>
      </c>
      <c r="G47" s="257">
        <v>81023.405481569964</v>
      </c>
      <c r="H47" s="257">
        <f t="shared" si="12"/>
        <v>81023.405481569964</v>
      </c>
      <c r="I47" s="257">
        <f t="shared" si="12"/>
        <v>81023.405481569964</v>
      </c>
      <c r="J47" s="257">
        <f t="shared" si="7"/>
        <v>81023.405481569964</v>
      </c>
      <c r="K47" s="296" t="s">
        <v>308</v>
      </c>
      <c r="L47" s="258"/>
      <c r="M47" s="258"/>
      <c r="N47" s="258"/>
      <c r="O47" s="258"/>
      <c r="P47" s="258"/>
      <c r="Q47" s="428"/>
    </row>
    <row r="48" spans="1:17" ht="15" customHeight="1" x14ac:dyDescent="0.25">
      <c r="A48" s="296" t="s">
        <v>220</v>
      </c>
      <c r="C48" s="296" t="s">
        <v>319</v>
      </c>
      <c r="D48" s="257">
        <f>'Authorized Rev Req'!L63</f>
        <v>-16776.154448631438</v>
      </c>
      <c r="E48" s="296" t="s">
        <v>147</v>
      </c>
      <c r="F48" s="257">
        <v>0</v>
      </c>
      <c r="G48" s="257">
        <v>0</v>
      </c>
      <c r="H48" s="257">
        <v>0</v>
      </c>
      <c r="I48" s="257">
        <v>0</v>
      </c>
      <c r="J48" s="257">
        <f t="shared" si="7"/>
        <v>0</v>
      </c>
      <c r="K48" s="296" t="s">
        <v>308</v>
      </c>
      <c r="L48" s="258"/>
      <c r="M48" s="258"/>
      <c r="N48" s="258"/>
      <c r="O48" s="258"/>
      <c r="P48" s="258"/>
      <c r="Q48" s="428"/>
    </row>
    <row r="49" spans="1:17" ht="15" customHeight="1" x14ac:dyDescent="0.25">
      <c r="A49" s="296" t="s">
        <v>201</v>
      </c>
      <c r="C49" s="447" t="s">
        <v>320</v>
      </c>
      <c r="D49" s="257">
        <f>'Authorized Rev Req'!L53</f>
        <v>39048.886159864582</v>
      </c>
      <c r="E49" s="452" t="s">
        <v>147</v>
      </c>
      <c r="F49" s="257">
        <v>0</v>
      </c>
      <c r="G49" s="257">
        <v>0</v>
      </c>
      <c r="H49" s="257">
        <v>0</v>
      </c>
      <c r="I49" s="257">
        <v>0</v>
      </c>
      <c r="J49" s="257">
        <f t="shared" si="7"/>
        <v>0</v>
      </c>
      <c r="K49" s="296" t="s">
        <v>308</v>
      </c>
      <c r="L49" s="258"/>
      <c r="M49" s="428"/>
      <c r="N49" s="428"/>
      <c r="O49" s="428"/>
      <c r="P49" s="428"/>
      <c r="Q49" s="428"/>
    </row>
    <row r="50" spans="1:17" ht="15" customHeight="1" x14ac:dyDescent="0.25">
      <c r="A50" s="298" t="s">
        <v>321</v>
      </c>
      <c r="C50" s="447" t="s">
        <v>322</v>
      </c>
      <c r="D50" s="257">
        <f>'Authorized Rev Req'!L57</f>
        <v>137139.2098394713</v>
      </c>
      <c r="E50" s="452" t="s">
        <v>147</v>
      </c>
      <c r="F50" s="257">
        <v>0</v>
      </c>
      <c r="G50" s="257">
        <v>0</v>
      </c>
      <c r="H50" s="257">
        <v>0</v>
      </c>
      <c r="I50" s="257">
        <v>0</v>
      </c>
      <c r="J50" s="257">
        <f t="shared" si="7"/>
        <v>0</v>
      </c>
      <c r="K50" s="296" t="s">
        <v>308</v>
      </c>
      <c r="L50" s="258"/>
      <c r="M50" s="428"/>
      <c r="N50" s="428"/>
      <c r="O50" s="428"/>
      <c r="P50" s="428"/>
      <c r="Q50" s="428"/>
    </row>
    <row r="51" spans="1:17" ht="15" customHeight="1" x14ac:dyDescent="0.25">
      <c r="A51" s="296" t="s">
        <v>215</v>
      </c>
      <c r="C51" s="447" t="s">
        <v>160</v>
      </c>
      <c r="D51" s="257">
        <f>'Authorized Rev Req'!L60</f>
        <v>17523.284533918879</v>
      </c>
      <c r="E51" s="452" t="s">
        <v>147</v>
      </c>
      <c r="F51" s="257">
        <f>D51</f>
        <v>17523.284533918879</v>
      </c>
      <c r="G51" s="257">
        <v>0</v>
      </c>
      <c r="H51" s="257">
        <v>0</v>
      </c>
      <c r="I51" s="257">
        <f t="shared" ref="I51" si="13">H51</f>
        <v>0</v>
      </c>
      <c r="J51" s="257">
        <f t="shared" si="7"/>
        <v>0</v>
      </c>
      <c r="K51" s="296" t="s">
        <v>308</v>
      </c>
      <c r="L51" s="258"/>
      <c r="M51" s="428"/>
      <c r="N51" s="428"/>
      <c r="O51" s="428"/>
      <c r="P51" s="428"/>
      <c r="Q51" s="428"/>
    </row>
    <row r="52" spans="1:17" ht="15" customHeight="1" x14ac:dyDescent="0.25">
      <c r="A52" s="298" t="s">
        <v>222</v>
      </c>
      <c r="C52" s="447" t="s">
        <v>323</v>
      </c>
      <c r="D52" s="257">
        <f>'Authorized Rev Req'!L64</f>
        <v>0</v>
      </c>
      <c r="E52" s="452" t="s">
        <v>147</v>
      </c>
      <c r="F52" s="257">
        <v>0</v>
      </c>
      <c r="G52" s="257">
        <v>0</v>
      </c>
      <c r="H52" s="257">
        <v>0</v>
      </c>
      <c r="I52" s="257">
        <v>0</v>
      </c>
      <c r="J52" s="257">
        <f t="shared" si="7"/>
        <v>0</v>
      </c>
      <c r="K52" s="296" t="s">
        <v>308</v>
      </c>
      <c r="L52" s="258"/>
      <c r="M52" s="255"/>
      <c r="N52" s="428"/>
      <c r="O52" s="428"/>
      <c r="P52" s="428"/>
      <c r="Q52" s="428"/>
    </row>
    <row r="53" spans="1:17" ht="15" customHeight="1" x14ac:dyDescent="0.25">
      <c r="A53" s="298" t="s">
        <v>324</v>
      </c>
      <c r="C53" s="447" t="s">
        <v>325</v>
      </c>
      <c r="D53" s="257">
        <v>0</v>
      </c>
      <c r="E53" s="452" t="s">
        <v>147</v>
      </c>
      <c r="F53" s="257">
        <v>49673.592893242734</v>
      </c>
      <c r="G53" s="257"/>
      <c r="H53" s="257">
        <v>0</v>
      </c>
      <c r="I53" s="257">
        <v>0</v>
      </c>
      <c r="J53" s="257">
        <f t="shared" si="7"/>
        <v>0</v>
      </c>
      <c r="K53" s="296" t="s">
        <v>317</v>
      </c>
      <c r="L53" s="258"/>
      <c r="M53" s="255"/>
      <c r="N53" s="428"/>
      <c r="O53" s="428"/>
      <c r="P53" s="428"/>
      <c r="Q53" s="428"/>
    </row>
    <row r="54" spans="1:17" ht="15" customHeight="1" x14ac:dyDescent="0.25">
      <c r="A54" s="297" t="s">
        <v>50</v>
      </c>
      <c r="C54" s="447" t="s">
        <v>229</v>
      </c>
      <c r="D54" s="257">
        <f>'Authorized Rev Req'!L67</f>
        <v>131844.61631190931</v>
      </c>
      <c r="E54" s="452" t="s">
        <v>228</v>
      </c>
      <c r="F54" s="257">
        <v>131844.61631190931</v>
      </c>
      <c r="G54" s="257">
        <f>F54</f>
        <v>131844.61631190931</v>
      </c>
      <c r="H54" s="428">
        <f>G54</f>
        <v>131844.61631190931</v>
      </c>
      <c r="I54" s="428">
        <f>H54</f>
        <v>131844.61631190931</v>
      </c>
      <c r="J54" s="257">
        <f t="shared" si="7"/>
        <v>131844.61631190931</v>
      </c>
      <c r="K54" s="296" t="s">
        <v>308</v>
      </c>
      <c r="L54" s="258"/>
      <c r="M54" s="428"/>
      <c r="N54" s="428"/>
      <c r="O54" s="428"/>
      <c r="P54" s="428"/>
      <c r="Q54" s="428"/>
    </row>
    <row r="55" spans="1:17" ht="15" customHeight="1" x14ac:dyDescent="0.25">
      <c r="A55" s="296" t="s">
        <v>231</v>
      </c>
      <c r="C55" s="447" t="s">
        <v>233</v>
      </c>
      <c r="D55" s="257">
        <f>'Authorized Rev Req'!L68</f>
        <v>19256.772000000001</v>
      </c>
      <c r="E55" s="452" t="s">
        <v>232</v>
      </c>
      <c r="F55" s="257">
        <f>D55</f>
        <v>19256.772000000001</v>
      </c>
      <c r="G55" s="257">
        <f>F55</f>
        <v>19256.772000000001</v>
      </c>
      <c r="H55" s="428">
        <f t="shared" ref="H55:I55" si="14">G55</f>
        <v>19256.772000000001</v>
      </c>
      <c r="I55" s="428">
        <f t="shared" si="14"/>
        <v>19256.772000000001</v>
      </c>
      <c r="J55" s="257">
        <f t="shared" si="7"/>
        <v>19256.772000000001</v>
      </c>
      <c r="K55" s="296" t="s">
        <v>308</v>
      </c>
      <c r="L55" s="258"/>
      <c r="M55" s="428"/>
      <c r="N55" s="428"/>
      <c r="O55" s="428"/>
      <c r="P55" s="428"/>
      <c r="Q55" s="428"/>
    </row>
    <row r="56" spans="1:17" ht="15" customHeight="1" x14ac:dyDescent="0.25">
      <c r="A56" s="296" t="s">
        <v>234</v>
      </c>
      <c r="C56" s="447" t="s">
        <v>235</v>
      </c>
      <c r="D56" s="257">
        <f>'Authorized Rev Req'!L69</f>
        <v>31732.126</v>
      </c>
      <c r="E56" s="452" t="s">
        <v>232</v>
      </c>
      <c r="F56" s="257">
        <f t="shared" ref="F56:F58" si="15">D56</f>
        <v>31732.126</v>
      </c>
      <c r="G56" s="257">
        <f t="shared" ref="G56:G59" si="16">F56</f>
        <v>31732.126</v>
      </c>
      <c r="H56" s="428">
        <f t="shared" ref="H56:I56" si="17">G56</f>
        <v>31732.126</v>
      </c>
      <c r="I56" s="428">
        <f t="shared" si="17"/>
        <v>31732.126</v>
      </c>
      <c r="J56" s="257">
        <f t="shared" si="7"/>
        <v>31732.126</v>
      </c>
      <c r="K56" s="296" t="s">
        <v>308</v>
      </c>
      <c r="L56" s="258"/>
      <c r="M56" s="428"/>
      <c r="N56" s="428"/>
      <c r="O56" s="428"/>
      <c r="P56" s="428"/>
      <c r="Q56" s="428"/>
    </row>
    <row r="57" spans="1:17" ht="15" customHeight="1" x14ac:dyDescent="0.25">
      <c r="A57" s="296" t="str">
        <f>'Authorized Rev Req'!$B$70</f>
        <v>2021 GRC Tracks 1 and 3 Recovery Bonds FRC #3 (AB 1054)</v>
      </c>
      <c r="C57" s="447" t="s">
        <v>237</v>
      </c>
      <c r="D57" s="257">
        <f>'Authorized Rev Req'!L70</f>
        <v>55255.381999999998</v>
      </c>
      <c r="E57" s="452" t="s">
        <v>232</v>
      </c>
      <c r="F57" s="257">
        <f t="shared" si="15"/>
        <v>55255.381999999998</v>
      </c>
      <c r="G57" s="257">
        <f t="shared" si="16"/>
        <v>55255.381999999998</v>
      </c>
      <c r="H57" s="428">
        <f t="shared" ref="H57:I57" si="18">G57</f>
        <v>55255.381999999998</v>
      </c>
      <c r="I57" s="428">
        <f t="shared" si="18"/>
        <v>55255.381999999998</v>
      </c>
      <c r="J57" s="257">
        <f t="shared" si="7"/>
        <v>55255.381999999998</v>
      </c>
      <c r="K57" s="296" t="s">
        <v>308</v>
      </c>
      <c r="L57" s="258"/>
      <c r="M57" s="428"/>
      <c r="N57" s="428"/>
      <c r="O57" s="428"/>
      <c r="P57" s="454"/>
      <c r="Q57" s="428"/>
    </row>
    <row r="58" spans="1:17" ht="15" customHeight="1" x14ac:dyDescent="0.25">
      <c r="A58" s="297" t="s">
        <v>238</v>
      </c>
      <c r="C58" s="447" t="s">
        <v>239</v>
      </c>
      <c r="D58" s="257">
        <f>'Authorized Rev Req'!L71</f>
        <v>121932.058</v>
      </c>
      <c r="E58" s="452" t="s">
        <v>232</v>
      </c>
      <c r="F58" s="257">
        <f t="shared" si="15"/>
        <v>121932.058</v>
      </c>
      <c r="G58" s="257">
        <f t="shared" si="16"/>
        <v>121932.058</v>
      </c>
      <c r="H58" s="428">
        <f t="shared" ref="H58:J59" si="19">G58</f>
        <v>121932.058</v>
      </c>
      <c r="I58" s="428">
        <f t="shared" si="19"/>
        <v>121932.058</v>
      </c>
      <c r="J58" s="257">
        <f t="shared" si="19"/>
        <v>121932.058</v>
      </c>
      <c r="K58" s="296" t="s">
        <v>308</v>
      </c>
      <c r="L58" s="258"/>
      <c r="M58" s="428"/>
      <c r="N58" s="428"/>
      <c r="O58" s="428"/>
      <c r="P58" s="454"/>
      <c r="Q58" s="428"/>
    </row>
    <row r="59" spans="1:17" ht="15" customHeight="1" x14ac:dyDescent="0.25">
      <c r="A59" s="297" t="s">
        <v>326</v>
      </c>
      <c r="C59" s="447" t="s">
        <v>327</v>
      </c>
      <c r="D59" s="257">
        <v>0</v>
      </c>
      <c r="E59" s="452" t="s">
        <v>232</v>
      </c>
      <c r="F59" s="257">
        <v>130300</v>
      </c>
      <c r="G59" s="257">
        <f t="shared" si="16"/>
        <v>130300</v>
      </c>
      <c r="H59" s="428">
        <f t="shared" si="19"/>
        <v>130300</v>
      </c>
      <c r="I59" s="428">
        <f t="shared" si="19"/>
        <v>130300</v>
      </c>
      <c r="J59" s="257">
        <f t="shared" si="19"/>
        <v>130300</v>
      </c>
      <c r="K59" s="296" t="s">
        <v>317</v>
      </c>
      <c r="L59" s="258"/>
      <c r="M59" s="428"/>
      <c r="N59" s="428"/>
      <c r="O59" s="428"/>
      <c r="P59" s="454"/>
      <c r="Q59" s="428"/>
    </row>
    <row r="60" spans="1:17" ht="15" customHeight="1" x14ac:dyDescent="0.25">
      <c r="A60" s="296" t="s">
        <v>328</v>
      </c>
      <c r="C60" s="447" t="s">
        <v>329</v>
      </c>
      <c r="D60" s="257">
        <v>0</v>
      </c>
      <c r="E60" s="452" t="s">
        <v>147</v>
      </c>
      <c r="F60" s="257">
        <v>0</v>
      </c>
      <c r="G60" s="257">
        <v>29400</v>
      </c>
      <c r="H60" s="428">
        <v>0</v>
      </c>
      <c r="I60" s="428">
        <v>0</v>
      </c>
      <c r="J60" s="257">
        <f t="shared" si="7"/>
        <v>0</v>
      </c>
      <c r="K60" s="296" t="s">
        <v>317</v>
      </c>
      <c r="L60" s="258"/>
      <c r="M60" s="428"/>
      <c r="N60" s="428"/>
      <c r="O60" s="428"/>
      <c r="P60" s="454"/>
      <c r="Q60" s="428"/>
    </row>
    <row r="61" spans="1:17" ht="15" customHeight="1" x14ac:dyDescent="0.25">
      <c r="A61" s="296" t="s">
        <v>330</v>
      </c>
      <c r="C61" s="447" t="s">
        <v>331</v>
      </c>
      <c r="D61" s="257">
        <v>0</v>
      </c>
      <c r="E61" s="452" t="s">
        <v>142</v>
      </c>
      <c r="F61" s="257">
        <v>0</v>
      </c>
      <c r="G61" s="257">
        <v>60300</v>
      </c>
      <c r="H61" s="428">
        <v>0</v>
      </c>
      <c r="I61" s="428">
        <v>0</v>
      </c>
      <c r="J61" s="257">
        <f t="shared" si="7"/>
        <v>0</v>
      </c>
      <c r="K61" s="296" t="s">
        <v>317</v>
      </c>
      <c r="L61" s="258"/>
      <c r="M61" s="428"/>
      <c r="N61" s="428"/>
      <c r="O61" s="428"/>
      <c r="P61" s="454"/>
      <c r="Q61" s="428"/>
    </row>
    <row r="62" spans="1:17" ht="15" customHeight="1" x14ac:dyDescent="0.25">
      <c r="A62" s="296" t="s">
        <v>332</v>
      </c>
      <c r="C62" s="447" t="s">
        <v>333</v>
      </c>
      <c r="D62" s="257">
        <v>0</v>
      </c>
      <c r="E62" s="452" t="s">
        <v>142</v>
      </c>
      <c r="F62" s="257">
        <v>0</v>
      </c>
      <c r="G62" s="257">
        <v>9500</v>
      </c>
      <c r="H62" s="428">
        <v>0</v>
      </c>
      <c r="I62" s="428">
        <v>0</v>
      </c>
      <c r="J62" s="257">
        <f t="shared" si="7"/>
        <v>0</v>
      </c>
      <c r="K62" s="296" t="s">
        <v>317</v>
      </c>
      <c r="L62" s="258"/>
      <c r="M62" s="428"/>
      <c r="N62" s="428"/>
      <c r="O62" s="428"/>
      <c r="P62" s="454"/>
      <c r="Q62" s="428"/>
    </row>
    <row r="63" spans="1:17" ht="15" customHeight="1" x14ac:dyDescent="0.25">
      <c r="A63" s="297"/>
      <c r="D63" s="257"/>
      <c r="E63" s="297"/>
      <c r="F63" s="257"/>
      <c r="G63" s="257"/>
      <c r="H63" s="428"/>
      <c r="I63" s="428"/>
      <c r="J63" s="257"/>
      <c r="L63" s="258"/>
      <c r="M63" s="428"/>
      <c r="N63" s="428"/>
      <c r="O63" s="428"/>
      <c r="P63" s="454"/>
      <c r="Q63" s="428"/>
    </row>
    <row r="64" spans="1:17" ht="15" customHeight="1" x14ac:dyDescent="0.25">
      <c r="C64" s="447"/>
      <c r="D64" s="257"/>
      <c r="E64" s="452"/>
      <c r="F64" s="257"/>
      <c r="G64" s="257"/>
      <c r="H64" s="257"/>
      <c r="I64" s="257"/>
      <c r="J64" s="257"/>
      <c r="K64" s="296"/>
      <c r="L64" s="258"/>
      <c r="M64" s="428"/>
      <c r="N64" s="428"/>
      <c r="O64" s="428"/>
      <c r="P64" s="454"/>
      <c r="Q64" s="428"/>
    </row>
    <row r="65" spans="1:25" ht="15" customHeight="1" x14ac:dyDescent="0.25">
      <c r="A65" s="433" t="s">
        <v>240</v>
      </c>
      <c r="C65" s="447"/>
      <c r="D65" s="257"/>
      <c r="F65" s="257"/>
      <c r="G65" s="257"/>
      <c r="H65" s="257"/>
      <c r="I65" s="257"/>
      <c r="J65" s="257"/>
      <c r="K65" s="296"/>
      <c r="L65" s="258"/>
      <c r="M65" s="428"/>
      <c r="N65" s="428"/>
      <c r="O65" s="428"/>
      <c r="P65" s="454"/>
      <c r="Q65" s="428"/>
    </row>
    <row r="66" spans="1:25" ht="15" customHeight="1" x14ac:dyDescent="0.25">
      <c r="A66" s="296" t="s">
        <v>242</v>
      </c>
      <c r="C66" s="447" t="s">
        <v>334</v>
      </c>
      <c r="D66" s="257">
        <f>'Authorized Rev Req'!L75</f>
        <v>12.148995278090503</v>
      </c>
      <c r="E66" s="296" t="s">
        <v>142</v>
      </c>
      <c r="F66" s="257">
        <v>12.081805259705023</v>
      </c>
      <c r="G66" s="257">
        <f>F66</f>
        <v>12.081805259705023</v>
      </c>
      <c r="H66" s="257">
        <f t="shared" ref="H66" si="20">G66</f>
        <v>12.081805259705023</v>
      </c>
      <c r="I66" s="257">
        <f>H66</f>
        <v>12.081805259705023</v>
      </c>
      <c r="J66" s="257">
        <f t="shared" ref="J66" si="21">I66</f>
        <v>12.081805259705023</v>
      </c>
      <c r="K66" s="296" t="s">
        <v>308</v>
      </c>
      <c r="L66" s="258"/>
      <c r="M66" s="258"/>
      <c r="N66" s="258"/>
      <c r="O66" s="258"/>
      <c r="P66" s="258"/>
      <c r="Q66" s="258"/>
    </row>
    <row r="67" spans="1:25" ht="15" customHeight="1" x14ac:dyDescent="0.25">
      <c r="A67" s="296" t="s">
        <v>242</v>
      </c>
      <c r="C67" s="447" t="s">
        <v>334</v>
      </c>
      <c r="D67" s="257">
        <f>'Authorized Rev Req'!L76</f>
        <v>58872.563776696406</v>
      </c>
      <c r="E67" s="448" t="s">
        <v>147</v>
      </c>
      <c r="F67" s="257">
        <f t="shared" ref="F67:F73" si="22">D67</f>
        <v>58872.563776696406</v>
      </c>
      <c r="G67" s="257">
        <v>14717.040438476455</v>
      </c>
      <c r="H67" s="257">
        <f t="shared" ref="H67:H75" si="23">G67</f>
        <v>14717.040438476455</v>
      </c>
      <c r="I67" s="257">
        <f t="shared" ref="I67:I77" si="24">H67</f>
        <v>14717.040438476455</v>
      </c>
      <c r="J67" s="257">
        <f t="shared" ref="J67:J77" si="25">I67</f>
        <v>14717.040438476455</v>
      </c>
      <c r="K67" s="296" t="s">
        <v>308</v>
      </c>
      <c r="L67" s="258"/>
      <c r="M67" s="258"/>
      <c r="N67" s="258"/>
      <c r="O67" s="258"/>
      <c r="P67" s="258"/>
      <c r="Q67" s="258"/>
    </row>
    <row r="68" spans="1:25" ht="15" customHeight="1" x14ac:dyDescent="0.25">
      <c r="A68" s="296" t="s">
        <v>247</v>
      </c>
      <c r="C68" s="447" t="s">
        <v>248</v>
      </c>
      <c r="D68" s="257">
        <f>'Authorized Rev Req'!L77</f>
        <v>243133.16108757805</v>
      </c>
      <c r="E68" s="296" t="s">
        <v>157</v>
      </c>
      <c r="F68" s="257">
        <f t="shared" si="22"/>
        <v>243133.16108757805</v>
      </c>
      <c r="G68" s="257">
        <v>263893.48064665054</v>
      </c>
      <c r="H68" s="257">
        <f>G68</f>
        <v>263893.48064665054</v>
      </c>
      <c r="I68" s="257">
        <f>H68</f>
        <v>263893.48064665054</v>
      </c>
      <c r="J68" s="257">
        <f t="shared" si="25"/>
        <v>263893.48064665054</v>
      </c>
      <c r="K68" s="296" t="s">
        <v>308</v>
      </c>
      <c r="L68" s="258"/>
      <c r="M68" s="258"/>
      <c r="N68" s="258"/>
      <c r="O68" s="258"/>
      <c r="P68" s="258"/>
      <c r="Q68" s="258"/>
    </row>
    <row r="69" spans="1:25" ht="15" customHeight="1" x14ac:dyDescent="0.25">
      <c r="A69" s="297" t="s">
        <v>251</v>
      </c>
      <c r="C69" s="447" t="s">
        <v>252</v>
      </c>
      <c r="D69" s="257">
        <f>'Authorized Rev Req'!$L79</f>
        <v>8663.887921468895</v>
      </c>
      <c r="E69" s="296" t="s">
        <v>157</v>
      </c>
      <c r="F69" s="257">
        <f t="shared" si="22"/>
        <v>8663.887921468895</v>
      </c>
      <c r="G69" s="257">
        <f t="shared" ref="G69:G76" si="26">F69</f>
        <v>8663.887921468895</v>
      </c>
      <c r="H69" s="257">
        <f t="shared" si="23"/>
        <v>8663.887921468895</v>
      </c>
      <c r="I69" s="257">
        <f t="shared" si="24"/>
        <v>8663.887921468895</v>
      </c>
      <c r="J69" s="257">
        <f t="shared" si="25"/>
        <v>8663.887921468895</v>
      </c>
      <c r="K69" s="296" t="s">
        <v>308</v>
      </c>
      <c r="L69" s="258"/>
      <c r="M69" s="258"/>
      <c r="N69" s="258"/>
      <c r="O69" s="258"/>
      <c r="P69" s="258"/>
      <c r="Q69" s="258"/>
    </row>
    <row r="70" spans="1:25" ht="15" customHeight="1" x14ac:dyDescent="0.25">
      <c r="A70" s="296" t="s">
        <v>256</v>
      </c>
      <c r="C70" s="447" t="s">
        <v>335</v>
      </c>
      <c r="D70" s="257">
        <f>'Authorized Rev Req'!$L81</f>
        <v>73221.93335388515</v>
      </c>
      <c r="E70" s="448" t="s">
        <v>147</v>
      </c>
      <c r="F70" s="257">
        <f t="shared" si="22"/>
        <v>73221.93335388515</v>
      </c>
      <c r="G70" s="257">
        <f t="shared" si="26"/>
        <v>73221.93335388515</v>
      </c>
      <c r="H70" s="257">
        <f t="shared" si="23"/>
        <v>73221.93335388515</v>
      </c>
      <c r="I70" s="257">
        <f t="shared" si="24"/>
        <v>73221.93335388515</v>
      </c>
      <c r="J70" s="257">
        <f t="shared" si="25"/>
        <v>73221.93335388515</v>
      </c>
      <c r="K70" s="296" t="s">
        <v>308</v>
      </c>
      <c r="L70" s="258"/>
      <c r="M70" s="258"/>
      <c r="N70" s="258"/>
      <c r="O70" s="258"/>
      <c r="P70" s="258"/>
      <c r="Q70" s="258"/>
      <c r="S70" s="433" t="s">
        <v>336</v>
      </c>
    </row>
    <row r="71" spans="1:25" ht="15" customHeight="1" x14ac:dyDescent="0.25">
      <c r="A71" s="296" t="s">
        <v>258</v>
      </c>
      <c r="C71" s="447" t="s">
        <v>335</v>
      </c>
      <c r="D71" s="257">
        <f>'Authorized Rev Req'!$L82</f>
        <v>21330.399789807085</v>
      </c>
      <c r="E71" s="448" t="s">
        <v>147</v>
      </c>
      <c r="F71" s="257">
        <f t="shared" si="22"/>
        <v>21330.399789807085</v>
      </c>
      <c r="G71" s="257">
        <f t="shared" si="26"/>
        <v>21330.399789807085</v>
      </c>
      <c r="H71" s="257">
        <f t="shared" si="23"/>
        <v>21330.399789807085</v>
      </c>
      <c r="I71" s="257">
        <f t="shared" si="24"/>
        <v>21330.399789807085</v>
      </c>
      <c r="J71" s="257">
        <f t="shared" si="25"/>
        <v>21330.399789807085</v>
      </c>
      <c r="K71" s="296" t="s">
        <v>308</v>
      </c>
      <c r="L71" s="258"/>
      <c r="M71" s="258"/>
      <c r="N71" s="258"/>
      <c r="O71" s="258"/>
      <c r="P71" s="258"/>
      <c r="Q71" s="258"/>
      <c r="T71" s="446">
        <f>T9</f>
        <v>2026</v>
      </c>
      <c r="U71" s="446">
        <f>U9</f>
        <v>2027</v>
      </c>
      <c r="V71" s="446">
        <f>V9</f>
        <v>2028</v>
      </c>
      <c r="W71" s="446">
        <f>W9</f>
        <v>2029</v>
      </c>
      <c r="X71" s="446">
        <f>X9</f>
        <v>2030</v>
      </c>
    </row>
    <row r="72" spans="1:25" ht="15" customHeight="1" x14ac:dyDescent="0.25">
      <c r="A72" s="296" t="s">
        <v>337</v>
      </c>
      <c r="C72" s="447" t="s">
        <v>338</v>
      </c>
      <c r="D72" s="257">
        <v>0</v>
      </c>
      <c r="E72" s="448" t="s">
        <v>147</v>
      </c>
      <c r="F72" s="257">
        <f t="shared" si="22"/>
        <v>0</v>
      </c>
      <c r="G72" s="257">
        <f t="shared" si="26"/>
        <v>0</v>
      </c>
      <c r="H72" s="257">
        <f t="shared" si="23"/>
        <v>0</v>
      </c>
      <c r="I72" s="257">
        <f t="shared" si="24"/>
        <v>0</v>
      </c>
      <c r="J72" s="257">
        <f t="shared" si="25"/>
        <v>0</v>
      </c>
      <c r="K72" s="296" t="s">
        <v>339</v>
      </c>
      <c r="L72" s="258"/>
      <c r="M72" s="428"/>
      <c r="N72" s="428"/>
      <c r="O72" s="428"/>
      <c r="P72" s="428"/>
      <c r="Q72" s="428"/>
      <c r="S72" s="296" t="s">
        <v>142</v>
      </c>
      <c r="T72" s="257">
        <f t="shared" ref="T72:T84" si="27">T10+SUMIFS(L$38:L$129,$Q$38:$Q$129,"Y",$E$38:$E$129,$S72)</f>
        <v>5656575.1844340097</v>
      </c>
      <c r="U72" s="257">
        <f t="shared" ref="U72:U84" si="28">U10+SUMIFS(M$38:M$145,$Q$38:$Q$145,"Y",$E$38:$E$145,$S72)</f>
        <v>5604187.5175467338</v>
      </c>
      <c r="V72" s="257">
        <f t="shared" ref="V72:V84" si="29">V10+SUMIFS(N$38:N$145,$Q$38:$Q$145,"Y",$E$38:$E$145,$S72)</f>
        <v>5351607.0483551146</v>
      </c>
      <c r="W72" s="257">
        <f t="shared" ref="W72:W84" si="30">W10+SUMIFS(O$38:O$145,$Q$38:$Q$145,"Y",$E$38:$E$145,$S72)</f>
        <v>5351607.0483551146</v>
      </c>
      <c r="X72" s="257">
        <f t="shared" ref="X72:X84" si="31">X10+SUMIFS(P$38:P$145,$Q$38:$Q$145,"Y",$E$38:$E$145,$S72)</f>
        <v>5351607.0483551146</v>
      </c>
    </row>
    <row r="73" spans="1:25" ht="15" customHeight="1" x14ac:dyDescent="0.25">
      <c r="A73" s="296" t="s">
        <v>259</v>
      </c>
      <c r="C73" s="447" t="s">
        <v>260</v>
      </c>
      <c r="D73" s="428">
        <f>'Authorized Rev Req'!$L83</f>
        <v>75728.055877278952</v>
      </c>
      <c r="E73" s="448" t="s">
        <v>157</v>
      </c>
      <c r="F73" s="428">
        <f t="shared" si="22"/>
        <v>75728.055877278952</v>
      </c>
      <c r="G73" s="257">
        <f t="shared" ref="G73:I74" si="32">F73</f>
        <v>75728.055877278952</v>
      </c>
      <c r="H73" s="257">
        <f t="shared" si="32"/>
        <v>75728.055877278952</v>
      </c>
      <c r="I73" s="257">
        <f t="shared" si="32"/>
        <v>75728.055877278952</v>
      </c>
      <c r="J73" s="257">
        <f t="shared" si="25"/>
        <v>75728.055877278952</v>
      </c>
      <c r="K73" s="296" t="s">
        <v>308</v>
      </c>
      <c r="L73" s="258"/>
      <c r="M73" s="258"/>
      <c r="N73" s="258"/>
      <c r="O73" s="258"/>
      <c r="P73" s="258"/>
      <c r="Q73" s="258"/>
      <c r="S73" s="296" t="s">
        <v>145</v>
      </c>
      <c r="T73" s="258">
        <f t="shared" si="27"/>
        <v>514473.18652918475</v>
      </c>
      <c r="U73" s="257">
        <f t="shared" si="28"/>
        <v>408314.99075635971</v>
      </c>
      <c r="V73" s="257">
        <f t="shared" si="29"/>
        <v>378105.71734537336</v>
      </c>
      <c r="W73" s="257">
        <f t="shared" si="30"/>
        <v>378105.71734537336</v>
      </c>
      <c r="X73" s="257">
        <f t="shared" si="31"/>
        <v>378105.71734537336</v>
      </c>
    </row>
    <row r="74" spans="1:25" ht="15" customHeight="1" x14ac:dyDescent="0.25">
      <c r="A74" s="451" t="s">
        <v>262</v>
      </c>
      <c r="C74" s="447" t="s">
        <v>263</v>
      </c>
      <c r="D74" s="257">
        <f>'Authorized Rev Req'!$L84</f>
        <v>11089.155401848269</v>
      </c>
      <c r="E74" s="296" t="s">
        <v>157</v>
      </c>
      <c r="F74" s="428">
        <f t="shared" ref="F74:F77" si="33">D74</f>
        <v>11089.155401848269</v>
      </c>
      <c r="G74" s="257">
        <f t="shared" si="32"/>
        <v>11089.155401848269</v>
      </c>
      <c r="H74" s="257">
        <f t="shared" si="32"/>
        <v>11089.155401848269</v>
      </c>
      <c r="I74" s="257">
        <f t="shared" si="32"/>
        <v>11089.155401848269</v>
      </c>
      <c r="J74" s="257">
        <f t="shared" si="25"/>
        <v>11089.155401848269</v>
      </c>
      <c r="K74" s="296" t="s">
        <v>308</v>
      </c>
      <c r="L74" s="258"/>
      <c r="M74" s="431"/>
      <c r="N74" s="431"/>
      <c r="O74" s="431"/>
      <c r="P74" s="431"/>
      <c r="Q74" s="428"/>
      <c r="S74" s="296" t="s">
        <v>147</v>
      </c>
      <c r="T74" s="258">
        <f t="shared" si="27"/>
        <v>10660510.281867869</v>
      </c>
      <c r="U74" s="257">
        <f t="shared" si="28"/>
        <v>9815060.8088352308</v>
      </c>
      <c r="V74" s="257">
        <f t="shared" si="29"/>
        <v>10663931.100454604</v>
      </c>
      <c r="W74" s="257">
        <f t="shared" si="30"/>
        <v>10851486.100454604</v>
      </c>
      <c r="X74" s="257">
        <f t="shared" si="31"/>
        <v>10922714.100454604</v>
      </c>
      <c r="Y74" s="432"/>
    </row>
    <row r="75" spans="1:25" ht="15" customHeight="1" x14ac:dyDescent="0.25">
      <c r="A75" s="485" t="s">
        <v>265</v>
      </c>
      <c r="C75" s="447" t="s">
        <v>266</v>
      </c>
      <c r="D75" s="257">
        <f>'Authorized Rev Req'!$L85</f>
        <v>61745.170774376958</v>
      </c>
      <c r="E75" s="296" t="s">
        <v>157</v>
      </c>
      <c r="F75" s="428">
        <f t="shared" si="33"/>
        <v>61745.170774376958</v>
      </c>
      <c r="G75" s="257">
        <v>76979.071330800944</v>
      </c>
      <c r="H75" s="257">
        <f t="shared" si="23"/>
        <v>76979.071330800944</v>
      </c>
      <c r="I75" s="257">
        <f t="shared" si="24"/>
        <v>76979.071330800944</v>
      </c>
      <c r="J75" s="257">
        <f t="shared" si="25"/>
        <v>76979.071330800944</v>
      </c>
      <c r="K75" s="296" t="s">
        <v>308</v>
      </c>
      <c r="L75" s="258"/>
      <c r="M75" s="431"/>
      <c r="N75" s="431"/>
      <c r="O75" s="431"/>
      <c r="P75" s="431"/>
      <c r="Q75" s="428"/>
      <c r="S75" s="296" t="s">
        <v>173</v>
      </c>
      <c r="T75" s="258">
        <f t="shared" si="27"/>
        <v>-443279</v>
      </c>
      <c r="U75" s="257">
        <f t="shared" si="28"/>
        <v>-616682.33200000005</v>
      </c>
      <c r="V75" s="257">
        <f t="shared" si="29"/>
        <v>-616682.33200000005</v>
      </c>
      <c r="W75" s="257">
        <f t="shared" si="30"/>
        <v>-616682.33200000005</v>
      </c>
      <c r="X75" s="257">
        <f t="shared" si="31"/>
        <v>-616682.33200000005</v>
      </c>
      <c r="Y75" s="432"/>
    </row>
    <row r="76" spans="1:25" ht="15" customHeight="1" x14ac:dyDescent="0.25">
      <c r="A76" s="296" t="s">
        <v>340</v>
      </c>
      <c r="C76" s="296" t="s">
        <v>270</v>
      </c>
      <c r="D76" s="257">
        <f>'Authorized Rev Req'!L87</f>
        <v>3639.6365020612798</v>
      </c>
      <c r="E76" s="296" t="s">
        <v>157</v>
      </c>
      <c r="F76" s="428">
        <f t="shared" si="33"/>
        <v>3639.6365020612798</v>
      </c>
      <c r="G76" s="257">
        <f t="shared" si="26"/>
        <v>3639.6365020612798</v>
      </c>
      <c r="H76" s="257">
        <v>0</v>
      </c>
      <c r="I76" s="257">
        <f t="shared" si="24"/>
        <v>0</v>
      </c>
      <c r="J76" s="257">
        <f t="shared" si="25"/>
        <v>0</v>
      </c>
      <c r="K76" s="296" t="s">
        <v>317</v>
      </c>
      <c r="L76" s="258"/>
      <c r="M76" s="258"/>
      <c r="N76" s="258"/>
      <c r="O76" s="258"/>
      <c r="P76" s="258"/>
      <c r="Q76" s="258"/>
      <c r="S76" s="296" t="s">
        <v>156</v>
      </c>
      <c r="T76" s="258">
        <f t="shared" si="27"/>
        <v>6677.0315948793686</v>
      </c>
      <c r="U76" s="257">
        <f t="shared" si="28"/>
        <v>4909.0493983105653</v>
      </c>
      <c r="V76" s="257">
        <f t="shared" si="29"/>
        <v>3763.7542749254244</v>
      </c>
      <c r="W76" s="257">
        <f t="shared" si="30"/>
        <v>3763.7542749254244</v>
      </c>
      <c r="X76" s="257">
        <f t="shared" si="31"/>
        <v>3763.7542749254244</v>
      </c>
      <c r="Y76" s="432"/>
    </row>
    <row r="77" spans="1:25" ht="15" customHeight="1" x14ac:dyDescent="0.25">
      <c r="A77" s="486" t="s">
        <v>271</v>
      </c>
      <c r="C77" s="296" t="s">
        <v>272</v>
      </c>
      <c r="D77" s="257">
        <f>'Authorized Rev Req'!L88</f>
        <v>6833.8098439259074</v>
      </c>
      <c r="E77" s="296" t="s">
        <v>147</v>
      </c>
      <c r="F77" s="428">
        <f t="shared" si="33"/>
        <v>6833.8098439259074</v>
      </c>
      <c r="G77" s="257"/>
      <c r="H77" s="257">
        <v>0</v>
      </c>
      <c r="I77" s="257">
        <f t="shared" si="24"/>
        <v>0</v>
      </c>
      <c r="J77" s="257">
        <f t="shared" si="25"/>
        <v>0</v>
      </c>
      <c r="K77" s="296" t="s">
        <v>317</v>
      </c>
      <c r="L77" s="258"/>
      <c r="M77" s="258"/>
      <c r="N77" s="258"/>
      <c r="O77" s="258"/>
      <c r="P77" s="258"/>
      <c r="Q77" s="258"/>
      <c r="S77" s="296" t="s">
        <v>158</v>
      </c>
      <c r="T77" s="258">
        <f t="shared" si="27"/>
        <v>2137.996733802267</v>
      </c>
      <c r="U77" s="257">
        <f t="shared" si="28"/>
        <v>5292.9285036549327</v>
      </c>
      <c r="V77" s="257">
        <f t="shared" si="29"/>
        <v>5292.9285036549327</v>
      </c>
      <c r="W77" s="257">
        <f t="shared" si="30"/>
        <v>5292.9285036549327</v>
      </c>
      <c r="X77" s="257">
        <f t="shared" si="31"/>
        <v>5292.9285036549327</v>
      </c>
      <c r="Y77" s="432"/>
    </row>
    <row r="78" spans="1:25" ht="15" customHeight="1" x14ac:dyDescent="0.25">
      <c r="C78" s="447"/>
      <c r="D78" s="257"/>
      <c r="F78" s="257"/>
      <c r="G78" s="257"/>
      <c r="H78" s="257"/>
      <c r="I78" s="257"/>
      <c r="J78" s="257"/>
      <c r="K78" s="296"/>
      <c r="L78" s="258"/>
      <c r="M78" s="428"/>
      <c r="N78" s="428"/>
      <c r="O78" s="428"/>
      <c r="P78" s="428"/>
      <c r="Q78" s="453"/>
      <c r="S78" s="296" t="s">
        <v>157</v>
      </c>
      <c r="T78" s="258">
        <f t="shared" si="27"/>
        <v>589425.03217759123</v>
      </c>
      <c r="U78" s="257">
        <f t="shared" si="28"/>
        <v>744461.56238146638</v>
      </c>
      <c r="V78" s="257">
        <f t="shared" si="29"/>
        <v>829427.12984849385</v>
      </c>
      <c r="W78" s="257">
        <f t="shared" si="30"/>
        <v>862886.12984849396</v>
      </c>
      <c r="X78" s="257">
        <f t="shared" si="31"/>
        <v>786610.12984849385</v>
      </c>
      <c r="Y78" s="432"/>
    </row>
    <row r="79" spans="1:25" ht="15" customHeight="1" x14ac:dyDescent="0.25">
      <c r="C79" s="447"/>
      <c r="D79" s="435"/>
      <c r="E79" s="452"/>
      <c r="F79" s="435"/>
      <c r="G79" s="435"/>
      <c r="H79" s="257"/>
      <c r="I79" s="257"/>
      <c r="J79" s="257"/>
      <c r="K79" s="435"/>
      <c r="L79" s="258"/>
      <c r="M79" s="258"/>
      <c r="N79" s="258"/>
      <c r="O79" s="258"/>
      <c r="P79" s="258"/>
      <c r="Q79" s="428"/>
      <c r="S79" s="296" t="s">
        <v>228</v>
      </c>
      <c r="T79" s="258">
        <f t="shared" si="27"/>
        <v>131844.61631190931</v>
      </c>
      <c r="U79" s="257">
        <f t="shared" si="28"/>
        <v>131844.61631190931</v>
      </c>
      <c r="V79" s="257">
        <f t="shared" si="29"/>
        <v>131844.61631190931</v>
      </c>
      <c r="W79" s="257">
        <f t="shared" si="30"/>
        <v>131844.61631190931</v>
      </c>
      <c r="X79" s="257">
        <f t="shared" si="31"/>
        <v>131844.61631190931</v>
      </c>
      <c r="Y79" s="432"/>
    </row>
    <row r="80" spans="1:25" ht="15" customHeight="1" x14ac:dyDescent="0.25">
      <c r="A80" s="433" t="s">
        <v>273</v>
      </c>
      <c r="C80" s="447"/>
      <c r="D80" s="255"/>
      <c r="F80" s="255"/>
      <c r="G80" s="255"/>
      <c r="H80" s="257"/>
      <c r="I80" s="257"/>
      <c r="J80" s="257"/>
      <c r="L80" s="258"/>
      <c r="M80" s="431"/>
      <c r="N80" s="431"/>
      <c r="O80" s="431"/>
      <c r="P80" s="431"/>
      <c r="Q80" s="428"/>
      <c r="S80" s="296" t="s">
        <v>277</v>
      </c>
      <c r="T80" s="258">
        <f t="shared" si="27"/>
        <v>426374.14794351778</v>
      </c>
      <c r="U80" s="257">
        <f t="shared" si="28"/>
        <v>426374.14794351778</v>
      </c>
      <c r="V80" s="257">
        <f t="shared" si="29"/>
        <v>426374.14794351778</v>
      </c>
      <c r="W80" s="257">
        <f t="shared" si="30"/>
        <v>426374.14794351778</v>
      </c>
      <c r="X80" s="257">
        <f t="shared" si="31"/>
        <v>426374.14794351778</v>
      </c>
      <c r="Y80" s="432"/>
    </row>
    <row r="81" spans="1:25" ht="15" customHeight="1" x14ac:dyDescent="0.25">
      <c r="A81" s="296" t="s">
        <v>280</v>
      </c>
      <c r="C81" s="447" t="s">
        <v>281</v>
      </c>
      <c r="D81" s="255">
        <f>'Authorized Rev Req'!$L94</f>
        <v>426374.14794351778</v>
      </c>
      <c r="E81" s="296" t="s">
        <v>277</v>
      </c>
      <c r="F81" s="255">
        <f>D81</f>
        <v>426374.14794351778</v>
      </c>
      <c r="G81" s="255">
        <f>F81</f>
        <v>426374.14794351778</v>
      </c>
      <c r="H81" s="255">
        <f>G81</f>
        <v>426374.14794351778</v>
      </c>
      <c r="I81" s="255">
        <f>H81</f>
        <v>426374.14794351778</v>
      </c>
      <c r="J81" s="257">
        <f t="shared" ref="J81:J85" si="34">I81</f>
        <v>426374.14794351778</v>
      </c>
      <c r="K81" s="296" t="s">
        <v>308</v>
      </c>
      <c r="L81" s="258"/>
      <c r="M81" s="428"/>
      <c r="N81" s="428"/>
      <c r="O81" s="428"/>
      <c r="P81" s="428"/>
      <c r="Q81" s="428"/>
      <c r="S81" s="452" t="s">
        <v>283</v>
      </c>
      <c r="T81" s="258">
        <f t="shared" si="27"/>
        <v>1500981.9850000001</v>
      </c>
      <c r="U81" s="257">
        <f t="shared" si="28"/>
        <v>1500981.9850000001</v>
      </c>
      <c r="V81" s="257">
        <f t="shared" si="29"/>
        <v>1500981.9850000001</v>
      </c>
      <c r="W81" s="257">
        <f t="shared" si="30"/>
        <v>1500981.9850000001</v>
      </c>
      <c r="X81" s="257">
        <f t="shared" si="31"/>
        <v>1500981.9850000001</v>
      </c>
      <c r="Y81" s="432"/>
    </row>
    <row r="82" spans="1:25" ht="15" customHeight="1" x14ac:dyDescent="0.25">
      <c r="A82" s="296" t="s">
        <v>279</v>
      </c>
      <c r="C82" s="447" t="s">
        <v>284</v>
      </c>
      <c r="D82" s="255">
        <f>'Authorized Rev Req'!$L95</f>
        <v>1500981.9850000001</v>
      </c>
      <c r="E82" s="452" t="s">
        <v>283</v>
      </c>
      <c r="F82" s="255">
        <f>D82</f>
        <v>1500981.9850000001</v>
      </c>
      <c r="G82" s="255">
        <f t="shared" ref="G82:G83" si="35">F82</f>
        <v>1500981.9850000001</v>
      </c>
      <c r="H82" s="255">
        <f t="shared" ref="H82:I82" si="36">G82</f>
        <v>1500981.9850000001</v>
      </c>
      <c r="I82" s="255">
        <f t="shared" si="36"/>
        <v>1500981.9850000001</v>
      </c>
      <c r="J82" s="257">
        <f t="shared" si="34"/>
        <v>1500981.9850000001</v>
      </c>
      <c r="K82" s="296" t="s">
        <v>308</v>
      </c>
      <c r="L82" s="258"/>
      <c r="M82" s="263"/>
      <c r="N82" s="263"/>
      <c r="O82" s="263"/>
      <c r="P82" s="263"/>
      <c r="Q82" s="263"/>
      <c r="S82" s="296" t="s">
        <v>287</v>
      </c>
      <c r="T82" s="258">
        <f t="shared" si="27"/>
        <v>-39455.016679999957</v>
      </c>
      <c r="U82" s="257">
        <f t="shared" si="28"/>
        <v>-39455.016679999957</v>
      </c>
      <c r="V82" s="257">
        <f t="shared" si="29"/>
        <v>-39455.016679999957</v>
      </c>
      <c r="W82" s="257">
        <f t="shared" si="30"/>
        <v>-39455.016679999957</v>
      </c>
      <c r="X82" s="257">
        <f t="shared" si="31"/>
        <v>-39455.016679999957</v>
      </c>
      <c r="Y82" s="432"/>
    </row>
    <row r="83" spans="1:25" ht="15" customHeight="1" x14ac:dyDescent="0.25">
      <c r="A83" s="297" t="s">
        <v>286</v>
      </c>
      <c r="C83" s="447" t="s">
        <v>341</v>
      </c>
      <c r="D83" s="255">
        <v>-178588.59299999999</v>
      </c>
      <c r="E83" s="296" t="s">
        <v>287</v>
      </c>
      <c r="F83" s="255">
        <f>D83</f>
        <v>-178588.59299999999</v>
      </c>
      <c r="G83" s="255">
        <f t="shared" si="35"/>
        <v>-178588.59299999999</v>
      </c>
      <c r="H83" s="255">
        <f t="shared" ref="H83:I83" si="37">G83</f>
        <v>-178588.59299999999</v>
      </c>
      <c r="I83" s="255">
        <f t="shared" si="37"/>
        <v>-178588.59299999999</v>
      </c>
      <c r="J83" s="257">
        <f t="shared" si="34"/>
        <v>-178588.59299999999</v>
      </c>
      <c r="K83" s="296" t="s">
        <v>308</v>
      </c>
      <c r="L83" s="258"/>
      <c r="M83" s="263"/>
      <c r="N83" s="263"/>
      <c r="O83" s="263"/>
      <c r="P83" s="263"/>
      <c r="Q83" s="263"/>
      <c r="S83" s="296" t="s">
        <v>232</v>
      </c>
      <c r="T83" s="258">
        <f t="shared" si="27"/>
        <v>358476.33799999999</v>
      </c>
      <c r="U83" s="257">
        <f t="shared" si="28"/>
        <v>358476.33799999999</v>
      </c>
      <c r="V83" s="257">
        <f t="shared" si="29"/>
        <v>358476.33799999999</v>
      </c>
      <c r="W83" s="257">
        <f t="shared" si="30"/>
        <v>358476.33799999999</v>
      </c>
      <c r="X83" s="257">
        <f t="shared" si="31"/>
        <v>358476.33799999999</v>
      </c>
      <c r="Y83" s="432"/>
    </row>
    <row r="84" spans="1:25" ht="15" customHeight="1" x14ac:dyDescent="0.25">
      <c r="A84" s="297" t="s">
        <v>290</v>
      </c>
      <c r="C84" s="447" t="s">
        <v>342</v>
      </c>
      <c r="D84" s="255">
        <v>9616.6239999999998</v>
      </c>
      <c r="E84" s="296" t="s">
        <v>287</v>
      </c>
      <c r="F84" s="255">
        <f t="shared" ref="F84:F85" si="38">D84</f>
        <v>9616.6239999999998</v>
      </c>
      <c r="G84" s="255">
        <f>F84</f>
        <v>9616.6239999999998</v>
      </c>
      <c r="H84" s="255">
        <f t="shared" ref="H84:I84" si="39">G84</f>
        <v>9616.6239999999998</v>
      </c>
      <c r="I84" s="255">
        <f t="shared" si="39"/>
        <v>9616.6239999999998</v>
      </c>
      <c r="J84" s="257">
        <f t="shared" si="34"/>
        <v>9616.6239999999998</v>
      </c>
      <c r="K84" s="296" t="s">
        <v>308</v>
      </c>
      <c r="L84" s="258"/>
      <c r="M84" s="263"/>
      <c r="N84" s="263"/>
      <c r="O84" s="263"/>
      <c r="P84" s="263"/>
      <c r="Q84" s="263"/>
      <c r="S84" s="264" t="s">
        <v>296</v>
      </c>
      <c r="T84" s="261">
        <f t="shared" si="27"/>
        <v>80445.31203240779</v>
      </c>
      <c r="U84" s="261">
        <f t="shared" si="28"/>
        <v>80445.31203240779</v>
      </c>
      <c r="V84" s="261">
        <f t="shared" si="29"/>
        <v>80445.31203240779</v>
      </c>
      <c r="W84" s="261">
        <f t="shared" si="30"/>
        <v>80445.31203240779</v>
      </c>
      <c r="X84" s="261">
        <f t="shared" si="31"/>
        <v>80445.31203240779</v>
      </c>
    </row>
    <row r="85" spans="1:25" ht="15" customHeight="1" x14ac:dyDescent="0.25">
      <c r="A85" s="486" t="s">
        <v>293</v>
      </c>
      <c r="C85" s="447" t="s">
        <v>294</v>
      </c>
      <c r="D85" s="255">
        <v>129516.95232000003</v>
      </c>
      <c r="E85" s="296" t="s">
        <v>287</v>
      </c>
      <c r="F85" s="255">
        <f t="shared" si="38"/>
        <v>129516.95232000003</v>
      </c>
      <c r="G85" s="255">
        <f>F85</f>
        <v>129516.95232000003</v>
      </c>
      <c r="H85" s="255">
        <f t="shared" ref="H85:I85" si="40">G85</f>
        <v>129516.95232000003</v>
      </c>
      <c r="I85" s="255">
        <f t="shared" si="40"/>
        <v>129516.95232000003</v>
      </c>
      <c r="J85" s="257">
        <f t="shared" si="34"/>
        <v>129516.95232000003</v>
      </c>
      <c r="K85" s="296" t="s">
        <v>308</v>
      </c>
      <c r="L85" s="258"/>
      <c r="M85" s="455"/>
      <c r="N85" s="455"/>
      <c r="O85" s="455"/>
      <c r="P85" s="455"/>
      <c r="Q85" s="455"/>
      <c r="Y85" s="432"/>
    </row>
    <row r="86" spans="1:25" ht="15" customHeight="1" x14ac:dyDescent="0.25">
      <c r="K86" s="296"/>
      <c r="L86" s="258"/>
      <c r="S86" s="296" t="s">
        <v>71</v>
      </c>
      <c r="T86" s="257">
        <f>SUM(T72:T84)</f>
        <v>19445187.095945172</v>
      </c>
      <c r="U86" s="257">
        <f>SUM(U72:U84)</f>
        <v>18424211.908029594</v>
      </c>
      <c r="V86" s="257">
        <f>SUM(V72:V84)</f>
        <v>19074112.729390003</v>
      </c>
      <c r="W86" s="257">
        <f>SUM(W72:W84)</f>
        <v>19295126.729390003</v>
      </c>
      <c r="X86" s="257">
        <f>SUM(X72:X84)</f>
        <v>19290078.729390003</v>
      </c>
    </row>
    <row r="87" spans="1:25" ht="15" customHeight="1" thickBot="1" x14ac:dyDescent="0.3">
      <c r="A87" s="433" t="s">
        <v>292</v>
      </c>
      <c r="C87" s="447"/>
      <c r="D87" s="456">
        <f>SUM(D10:D85)</f>
        <v>19757718.299838323</v>
      </c>
      <c r="F87" s="457">
        <f>SUM(F10:F85)</f>
        <v>19360504.783912763</v>
      </c>
      <c r="G87" s="457">
        <f>SUM(G10:G85)</f>
        <v>18460828.143333714</v>
      </c>
      <c r="H87" s="457">
        <f>SUM(H10:H85)</f>
        <v>18803411.160768598</v>
      </c>
      <c r="I87" s="457">
        <f>SUM(I10:I85)</f>
        <v>18803411.160768598</v>
      </c>
      <c r="J87" s="457">
        <f>SUM(J10:J85)</f>
        <v>18803411.160768598</v>
      </c>
      <c r="K87" s="296"/>
      <c r="L87" s="258"/>
      <c r="M87" s="435"/>
      <c r="N87" s="435"/>
      <c r="O87" s="435"/>
      <c r="P87" s="435"/>
      <c r="Q87" s="435"/>
      <c r="S87" s="296" t="s">
        <v>343</v>
      </c>
      <c r="T87" s="257">
        <f>T86-T23</f>
        <v>4237</v>
      </c>
      <c r="U87" s="257">
        <f>U86-U23</f>
        <v>-117061.54733652994</v>
      </c>
      <c r="V87" s="257">
        <f>V86-V23</f>
        <v>190256.25658899173</v>
      </c>
      <c r="W87" s="257">
        <f>W86-W23</f>
        <v>411270.25658899173</v>
      </c>
      <c r="X87" s="257">
        <f>X86-X23</f>
        <v>406222.25658899173</v>
      </c>
      <c r="Y87" s="432"/>
    </row>
    <row r="88" spans="1:25" ht="15" customHeight="1" thickTop="1" x14ac:dyDescent="0.25">
      <c r="A88" s="296" t="s">
        <v>296</v>
      </c>
      <c r="C88" s="447"/>
      <c r="D88" s="255">
        <f>'Authorized Rev Req'!L100</f>
        <v>80445.31203240779</v>
      </c>
      <c r="E88" s="296" t="s">
        <v>296</v>
      </c>
      <c r="F88" s="257">
        <f>D88</f>
        <v>80445.31203240779</v>
      </c>
      <c r="G88" s="257">
        <f>F88</f>
        <v>80445.31203240779</v>
      </c>
      <c r="H88" s="257">
        <f>G88</f>
        <v>80445.31203240779</v>
      </c>
      <c r="I88" s="257">
        <f>H88</f>
        <v>80445.31203240779</v>
      </c>
      <c r="J88" s="257">
        <f t="shared" ref="J88" si="41">I88</f>
        <v>80445.31203240779</v>
      </c>
      <c r="K88" s="296"/>
      <c r="L88" s="258"/>
      <c r="Y88" s="432"/>
    </row>
    <row r="89" spans="1:25" ht="15" customHeight="1" x14ac:dyDescent="0.25">
      <c r="D89" s="434">
        <f>SUM(D87:D88)</f>
        <v>19838163.611870732</v>
      </c>
      <c r="E89" s="296" t="s">
        <v>344</v>
      </c>
      <c r="F89" s="458">
        <f>SUM(F87:F88)</f>
        <v>19440950.095945172</v>
      </c>
      <c r="G89" s="458">
        <f>SUM(G87:G88)</f>
        <v>18541273.455366123</v>
      </c>
      <c r="H89" s="458">
        <f>SUM(H87:H88)</f>
        <v>18883856.472801007</v>
      </c>
      <c r="I89" s="458">
        <f>SUM(I87:I88)</f>
        <v>18883856.472801007</v>
      </c>
      <c r="J89" s="458">
        <f>SUM(J87:J88)</f>
        <v>18883856.472801007</v>
      </c>
      <c r="L89" s="258"/>
      <c r="S89" s="255" t="s">
        <v>311</v>
      </c>
      <c r="T89" s="257">
        <f>T87-L133</f>
        <v>0</v>
      </c>
      <c r="U89" s="257">
        <f>U87-M133</f>
        <v>1.1059455573558807E-9</v>
      </c>
      <c r="V89" s="257">
        <f>V87-N133</f>
        <v>-1.5133991837501526E-9</v>
      </c>
      <c r="W89" s="257">
        <f>W87-O133</f>
        <v>-1.57160684466362E-9</v>
      </c>
      <c r="X89" s="257">
        <f>X87-P133</f>
        <v>-1.5133991837501526E-9</v>
      </c>
      <c r="Y89" s="432"/>
    </row>
    <row r="90" spans="1:25" ht="15" customHeight="1" x14ac:dyDescent="0.25">
      <c r="D90" s="428">
        <f>-'Authorized Rev Req'!L101+D89</f>
        <v>0</v>
      </c>
      <c r="F90" s="428"/>
      <c r="G90" s="255"/>
      <c r="H90" s="255"/>
      <c r="I90" s="262"/>
      <c r="J90" s="459"/>
      <c r="N90" s="432"/>
      <c r="Y90" s="432"/>
    </row>
    <row r="91" spans="1:25" ht="15" customHeight="1" x14ac:dyDescent="0.25">
      <c r="L91" s="428"/>
      <c r="M91" s="428"/>
      <c r="N91" s="432"/>
      <c r="S91" s="255"/>
      <c r="Y91" s="432"/>
    </row>
    <row r="92" spans="1:25" ht="15" customHeight="1" x14ac:dyDescent="0.25">
      <c r="M92" s="262"/>
      <c r="N92" s="432"/>
      <c r="S92" s="460"/>
      <c r="T92" s="402"/>
      <c r="U92" s="391"/>
      <c r="V92" s="391"/>
      <c r="W92" s="391"/>
      <c r="X92" s="391"/>
      <c r="Y92" s="432"/>
    </row>
    <row r="93" spans="1:25" ht="15" customHeight="1" x14ac:dyDescent="0.25">
      <c r="F93" s="260"/>
      <c r="G93" s="255"/>
      <c r="H93" s="432"/>
      <c r="I93" s="432"/>
      <c r="J93" s="432"/>
      <c r="M93" s="449"/>
      <c r="N93" s="428"/>
      <c r="O93" s="428"/>
      <c r="P93" s="428"/>
      <c r="T93" s="255"/>
      <c r="U93" s="255"/>
      <c r="V93" s="255"/>
      <c r="W93" s="255"/>
      <c r="X93" s="255"/>
      <c r="Y93" s="432"/>
    </row>
    <row r="94" spans="1:25" ht="15" customHeight="1" x14ac:dyDescent="0.25">
      <c r="A94" s="461" t="s">
        <v>345</v>
      </c>
      <c r="B94" s="462"/>
      <c r="C94" s="462"/>
      <c r="D94" s="462"/>
      <c r="E94" s="463"/>
      <c r="F94" s="464"/>
      <c r="G94" s="462"/>
      <c r="H94" s="462"/>
      <c r="I94" s="462"/>
      <c r="J94" s="462"/>
      <c r="K94" s="441"/>
      <c r="L94" s="441"/>
      <c r="M94" s="441"/>
      <c r="N94" s="441"/>
      <c r="O94" s="441"/>
      <c r="P94" s="441"/>
      <c r="Q94" s="441"/>
      <c r="T94" s="255"/>
      <c r="U94" s="255"/>
      <c r="V94" s="255"/>
      <c r="W94" s="255"/>
      <c r="X94" s="255"/>
      <c r="Y94" s="432"/>
    </row>
    <row r="95" spans="1:25" ht="15" customHeight="1" x14ac:dyDescent="0.25">
      <c r="A95" s="465" t="s">
        <v>135</v>
      </c>
      <c r="B95" s="465" t="s">
        <v>304</v>
      </c>
      <c r="C95" s="466" t="s">
        <v>346</v>
      </c>
      <c r="D95" s="466" t="s">
        <v>347</v>
      </c>
      <c r="E95" s="466" t="s">
        <v>348</v>
      </c>
      <c r="F95" s="441">
        <f>F8</f>
        <v>2026</v>
      </c>
      <c r="G95" s="441">
        <f>F95+1</f>
        <v>2027</v>
      </c>
      <c r="H95" s="441">
        <f t="shared" ref="H95:J95" si="42">G95+1</f>
        <v>2028</v>
      </c>
      <c r="I95" s="441">
        <f t="shared" si="42"/>
        <v>2029</v>
      </c>
      <c r="J95" s="441">
        <f t="shared" si="42"/>
        <v>2030</v>
      </c>
      <c r="K95" s="466" t="s">
        <v>306</v>
      </c>
      <c r="L95" s="441">
        <f>F95</f>
        <v>2026</v>
      </c>
      <c r="M95" s="441">
        <f t="shared" ref="M95:P95" si="43">G95</f>
        <v>2027</v>
      </c>
      <c r="N95" s="441">
        <f t="shared" si="43"/>
        <v>2028</v>
      </c>
      <c r="O95" s="441">
        <f t="shared" si="43"/>
        <v>2029</v>
      </c>
      <c r="P95" s="441">
        <f t="shared" si="43"/>
        <v>2030</v>
      </c>
      <c r="Q95" s="467"/>
      <c r="T95" s="255"/>
      <c r="U95" s="255"/>
      <c r="V95" s="255"/>
      <c r="W95" s="255"/>
      <c r="X95" s="255"/>
    </row>
    <row r="96" spans="1:25" ht="15" customHeight="1" x14ac:dyDescent="0.25">
      <c r="A96" s="433" t="s">
        <v>139</v>
      </c>
      <c r="C96" s="452"/>
      <c r="D96" s="452"/>
      <c r="E96" s="452"/>
      <c r="K96" s="296"/>
      <c r="Q96" s="444" t="s">
        <v>349</v>
      </c>
    </row>
    <row r="97" spans="1:17" ht="15" customHeight="1" x14ac:dyDescent="0.25">
      <c r="A97" s="296" t="s">
        <v>350</v>
      </c>
      <c r="B97" s="296" t="s">
        <v>351</v>
      </c>
      <c r="C97" s="296" t="s">
        <v>352</v>
      </c>
      <c r="D97" s="266">
        <f>G97</f>
        <v>4346932.2840460092</v>
      </c>
      <c r="E97" s="452" t="s">
        <v>142</v>
      </c>
      <c r="F97" s="428">
        <v>0</v>
      </c>
      <c r="G97" s="428">
        <v>4346932.2840460092</v>
      </c>
      <c r="H97" s="428">
        <f>G97</f>
        <v>4346932.2840460092</v>
      </c>
      <c r="I97" s="428">
        <f>H97</f>
        <v>4346932.2840460092</v>
      </c>
      <c r="J97" s="428">
        <f>I97</f>
        <v>4346932.2840460092</v>
      </c>
      <c r="K97" s="296" t="s">
        <v>353</v>
      </c>
      <c r="L97" s="428">
        <f t="shared" ref="L97:L108" si="44">F97</f>
        <v>0</v>
      </c>
      <c r="M97" s="432">
        <f>G97-G23</f>
        <v>131476.84879927337</v>
      </c>
      <c r="N97" s="432">
        <f t="shared" ref="N97:P97" si="45">H97-H23</f>
        <v>131476.84879927337</v>
      </c>
      <c r="O97" s="432">
        <f t="shared" si="45"/>
        <v>131476.84879927337</v>
      </c>
      <c r="P97" s="432">
        <f t="shared" si="45"/>
        <v>131476.84879927337</v>
      </c>
      <c r="Q97" s="453" t="str">
        <f t="shared" ref="Q97:Q99" si="46">$Q$100</f>
        <v>Y</v>
      </c>
    </row>
    <row r="98" spans="1:17" ht="15" customHeight="1" x14ac:dyDescent="0.25">
      <c r="A98" s="296" t="s">
        <v>350</v>
      </c>
      <c r="B98" s="296" t="s">
        <v>351</v>
      </c>
      <c r="C98" s="296" t="s">
        <v>352</v>
      </c>
      <c r="D98" s="266">
        <f t="shared" ref="D98:D107" si="47">G98</f>
        <v>312964.71774893434</v>
      </c>
      <c r="E98" s="452" t="s">
        <v>145</v>
      </c>
      <c r="F98" s="428">
        <v>0</v>
      </c>
      <c r="G98" s="428">
        <v>312964.71774893434</v>
      </c>
      <c r="H98" s="428">
        <f t="shared" ref="H98:J108" si="48">G98</f>
        <v>312964.71774893434</v>
      </c>
      <c r="I98" s="428">
        <f t="shared" si="48"/>
        <v>312964.71774893434</v>
      </c>
      <c r="J98" s="428">
        <f t="shared" si="48"/>
        <v>312964.71774893434</v>
      </c>
      <c r="K98" s="296" t="s">
        <v>353</v>
      </c>
      <c r="L98" s="428">
        <f t="shared" si="44"/>
        <v>0</v>
      </c>
      <c r="M98" s="432">
        <f>G98-G24</f>
        <v>-160503.78969540715</v>
      </c>
      <c r="N98" s="432">
        <f t="shared" ref="N98:P104" si="49">H98-H24</f>
        <v>-160503.78969540715</v>
      </c>
      <c r="O98" s="432">
        <f t="shared" si="49"/>
        <v>-160503.78969540715</v>
      </c>
      <c r="P98" s="432">
        <f t="shared" si="49"/>
        <v>-160503.78969540715</v>
      </c>
      <c r="Q98" s="453" t="str">
        <f t="shared" si="46"/>
        <v>Y</v>
      </c>
    </row>
    <row r="99" spans="1:17" ht="15" customHeight="1" x14ac:dyDescent="0.25">
      <c r="A99" s="296" t="s">
        <v>354</v>
      </c>
      <c r="B99" s="296" t="s">
        <v>351</v>
      </c>
      <c r="C99" s="296" t="s">
        <v>352</v>
      </c>
      <c r="D99" s="266">
        <f>G100</f>
        <v>-616682.33200000005</v>
      </c>
      <c r="E99" s="452" t="s">
        <v>145</v>
      </c>
      <c r="F99" s="428">
        <v>0</v>
      </c>
      <c r="G99" s="428">
        <v>29935.086306672121</v>
      </c>
      <c r="H99" s="428">
        <v>0</v>
      </c>
      <c r="I99" s="428">
        <f t="shared" si="48"/>
        <v>0</v>
      </c>
      <c r="J99" s="428">
        <f t="shared" si="48"/>
        <v>0</v>
      </c>
      <c r="K99" s="296" t="s">
        <v>353</v>
      </c>
      <c r="L99" s="428">
        <f t="shared" si="44"/>
        <v>0</v>
      </c>
      <c r="M99" s="432">
        <f t="shared" ref="M99:M104" si="50">G99-G25</f>
        <v>29935.086306672121</v>
      </c>
      <c r="N99" s="432">
        <f t="shared" si="49"/>
        <v>0</v>
      </c>
      <c r="O99" s="432">
        <f t="shared" si="49"/>
        <v>0</v>
      </c>
      <c r="P99" s="432">
        <f t="shared" si="49"/>
        <v>0</v>
      </c>
      <c r="Q99" s="453" t="str">
        <f t="shared" si="46"/>
        <v>Y</v>
      </c>
    </row>
    <row r="100" spans="1:17" ht="15" customHeight="1" x14ac:dyDescent="0.25">
      <c r="A100" s="296" t="s">
        <v>21</v>
      </c>
      <c r="B100" s="296" t="s">
        <v>351</v>
      </c>
      <c r="C100" s="296" t="s">
        <v>352</v>
      </c>
      <c r="D100" s="266">
        <f>G101</f>
        <v>5292.9285036549327</v>
      </c>
      <c r="E100" s="452" t="s">
        <v>173</v>
      </c>
      <c r="F100" s="428">
        <v>0</v>
      </c>
      <c r="G100" s="428">
        <v>-616682.33200000005</v>
      </c>
      <c r="H100" s="428">
        <f t="shared" si="48"/>
        <v>-616682.33200000005</v>
      </c>
      <c r="I100" s="428">
        <f t="shared" si="48"/>
        <v>-616682.33200000005</v>
      </c>
      <c r="J100" s="428">
        <f t="shared" si="48"/>
        <v>-616682.33200000005</v>
      </c>
      <c r="K100" s="296" t="s">
        <v>353</v>
      </c>
      <c r="L100" s="428">
        <f t="shared" si="44"/>
        <v>0</v>
      </c>
      <c r="M100" s="432">
        <f t="shared" si="50"/>
        <v>-173403.33200000005</v>
      </c>
      <c r="N100" s="432">
        <f t="shared" si="49"/>
        <v>-173403.33200000005</v>
      </c>
      <c r="O100" s="432">
        <f t="shared" si="49"/>
        <v>-173403.33200000005</v>
      </c>
      <c r="P100" s="432">
        <f t="shared" si="49"/>
        <v>-173403.33200000005</v>
      </c>
      <c r="Q100" s="453" t="str">
        <f>VLOOKUP('Incremental Rev Req'!A100,Summary!$B$8:$D$24,3,FALSE)</f>
        <v>Y</v>
      </c>
    </row>
    <row r="101" spans="1:17" ht="15" customHeight="1" x14ac:dyDescent="0.25">
      <c r="A101" s="296" t="s">
        <v>21</v>
      </c>
      <c r="B101" s="296" t="s">
        <v>351</v>
      </c>
      <c r="C101" s="296" t="s">
        <v>352</v>
      </c>
      <c r="D101" s="266">
        <f>G102</f>
        <v>-2804.6189670114318</v>
      </c>
      <c r="E101" s="452" t="s">
        <v>158</v>
      </c>
      <c r="F101" s="428">
        <v>0</v>
      </c>
      <c r="G101" s="428">
        <v>5292.9285036549327</v>
      </c>
      <c r="H101" s="428">
        <f t="shared" si="48"/>
        <v>5292.9285036549327</v>
      </c>
      <c r="I101" s="428">
        <f t="shared" si="48"/>
        <v>5292.9285036549327</v>
      </c>
      <c r="J101" s="428">
        <f t="shared" si="48"/>
        <v>5292.9285036549327</v>
      </c>
      <c r="K101" s="296" t="s">
        <v>353</v>
      </c>
      <c r="L101" s="428">
        <f t="shared" si="44"/>
        <v>0</v>
      </c>
      <c r="M101" s="432">
        <f t="shared" si="50"/>
        <v>-44.068230147334361</v>
      </c>
      <c r="N101" s="432">
        <f t="shared" si="49"/>
        <v>-44.068230147334361</v>
      </c>
      <c r="O101" s="432">
        <f t="shared" si="49"/>
        <v>-44.068230147334361</v>
      </c>
      <c r="P101" s="432">
        <f t="shared" si="49"/>
        <v>-44.068230147334361</v>
      </c>
      <c r="Q101" s="453" t="str">
        <f>$Q$100</f>
        <v>Y</v>
      </c>
    </row>
    <row r="102" spans="1:17" ht="15" customHeight="1" x14ac:dyDescent="0.25">
      <c r="A102" s="296" t="s">
        <v>21</v>
      </c>
      <c r="B102" s="296" t="s">
        <v>351</v>
      </c>
      <c r="C102" s="296" t="s">
        <v>352</v>
      </c>
      <c r="D102" s="266">
        <f>G103</f>
        <v>22088.038157455128</v>
      </c>
      <c r="E102" s="452" t="s">
        <v>147</v>
      </c>
      <c r="F102" s="428">
        <v>0</v>
      </c>
      <c r="G102" s="428">
        <v>-2804.6189670114318</v>
      </c>
      <c r="H102" s="428">
        <f t="shared" si="48"/>
        <v>-2804.6189670114318</v>
      </c>
      <c r="I102" s="428">
        <f t="shared" si="48"/>
        <v>-2804.6189670114318</v>
      </c>
      <c r="J102" s="428">
        <f t="shared" si="48"/>
        <v>-2804.6189670114318</v>
      </c>
      <c r="K102" s="296" t="s">
        <v>353</v>
      </c>
      <c r="L102" s="428">
        <f t="shared" si="44"/>
        <v>0</v>
      </c>
      <c r="M102" s="432">
        <f t="shared" si="50"/>
        <v>-118.46227129517229</v>
      </c>
      <c r="N102" s="432">
        <f t="shared" si="49"/>
        <v>-118.46227129517229</v>
      </c>
      <c r="O102" s="432">
        <f t="shared" si="49"/>
        <v>-118.46227129517229</v>
      </c>
      <c r="P102" s="432">
        <f t="shared" si="49"/>
        <v>-118.46227129517229</v>
      </c>
      <c r="Q102" s="453" t="str">
        <f t="shared" ref="Q102:Q108" si="51">$Q$100</f>
        <v>Y</v>
      </c>
    </row>
    <row r="103" spans="1:17" ht="15" customHeight="1" x14ac:dyDescent="0.25">
      <c r="A103" s="296" t="s">
        <v>21</v>
      </c>
      <c r="B103" s="296" t="s">
        <v>351</v>
      </c>
      <c r="C103" s="296" t="s">
        <v>352</v>
      </c>
      <c r="D103" s="266">
        <f>G103</f>
        <v>22088.038157455128</v>
      </c>
      <c r="E103" s="452" t="s">
        <v>157</v>
      </c>
      <c r="F103" s="428">
        <v>0</v>
      </c>
      <c r="G103" s="428">
        <v>22088.038157455128</v>
      </c>
      <c r="H103" s="428">
        <f t="shared" si="48"/>
        <v>22088.038157455128</v>
      </c>
      <c r="I103" s="428">
        <f t="shared" si="48"/>
        <v>22088.038157455128</v>
      </c>
      <c r="J103" s="428">
        <f t="shared" si="48"/>
        <v>22088.038157455128</v>
      </c>
      <c r="K103" s="296" t="s">
        <v>353</v>
      </c>
      <c r="L103" s="428">
        <f t="shared" si="44"/>
        <v>0</v>
      </c>
      <c r="M103" s="432">
        <f t="shared" si="50"/>
        <v>-6755.0063054737111</v>
      </c>
      <c r="N103" s="432">
        <f t="shared" si="49"/>
        <v>-6755.0063054737111</v>
      </c>
      <c r="O103" s="432">
        <f t="shared" si="49"/>
        <v>-6755.0063054737111</v>
      </c>
      <c r="P103" s="432">
        <f t="shared" si="49"/>
        <v>-6755.0063054737111</v>
      </c>
      <c r="Q103" s="453" t="str">
        <f t="shared" si="51"/>
        <v>Y</v>
      </c>
    </row>
    <row r="104" spans="1:17" ht="15" customHeight="1" x14ac:dyDescent="0.25">
      <c r="A104" s="296" t="s">
        <v>21</v>
      </c>
      <c r="B104" s="296" t="s">
        <v>351</v>
      </c>
      <c r="C104" s="296" t="s">
        <v>352</v>
      </c>
      <c r="D104" s="266">
        <f>G104</f>
        <v>3763.7542749254244</v>
      </c>
      <c r="E104" s="452" t="s">
        <v>156</v>
      </c>
      <c r="F104" s="428"/>
      <c r="G104" s="428">
        <v>3763.7542749254244</v>
      </c>
      <c r="H104" s="428">
        <f t="shared" si="48"/>
        <v>3763.7542749254244</v>
      </c>
      <c r="I104" s="428">
        <f t="shared" si="48"/>
        <v>3763.7542749254244</v>
      </c>
      <c r="J104" s="428">
        <f t="shared" si="48"/>
        <v>3763.7542749254244</v>
      </c>
      <c r="K104" s="296" t="s">
        <v>353</v>
      </c>
      <c r="L104" s="428">
        <f t="shared" si="44"/>
        <v>0</v>
      </c>
      <c r="M104" s="432">
        <f t="shared" si="50"/>
        <v>78.754274925424397</v>
      </c>
      <c r="N104" s="432">
        <f t="shared" si="49"/>
        <v>78.754274925424397</v>
      </c>
      <c r="O104" s="432">
        <f t="shared" si="49"/>
        <v>78.754274925424397</v>
      </c>
      <c r="P104" s="432">
        <f t="shared" si="49"/>
        <v>78.754274925424397</v>
      </c>
      <c r="Q104" s="453" t="str">
        <f t="shared" si="51"/>
        <v>Y</v>
      </c>
    </row>
    <row r="105" spans="1:17" ht="15" customHeight="1" x14ac:dyDescent="0.25">
      <c r="A105" s="296" t="s">
        <v>21</v>
      </c>
      <c r="B105" s="296" t="s">
        <v>351</v>
      </c>
      <c r="C105" s="296" t="s">
        <v>352</v>
      </c>
      <c r="D105" s="266">
        <f>G105</f>
        <v>1145.2951233851406</v>
      </c>
      <c r="E105" s="452" t="s">
        <v>156</v>
      </c>
      <c r="F105" s="428"/>
      <c r="G105" s="428">
        <v>1145.2951233851406</v>
      </c>
      <c r="H105" s="428">
        <v>0</v>
      </c>
      <c r="I105" s="428">
        <f t="shared" si="48"/>
        <v>0</v>
      </c>
      <c r="J105" s="428">
        <f t="shared" si="48"/>
        <v>0</v>
      </c>
      <c r="K105" s="296" t="s">
        <v>353</v>
      </c>
      <c r="L105" s="428">
        <f t="shared" si="44"/>
        <v>0</v>
      </c>
      <c r="M105" s="432">
        <f>G105</f>
        <v>1145.2951233851406</v>
      </c>
      <c r="N105" s="432">
        <f t="shared" ref="N105:P105" si="52">H105</f>
        <v>0</v>
      </c>
      <c r="O105" s="432">
        <f t="shared" si="52"/>
        <v>0</v>
      </c>
      <c r="P105" s="432">
        <f t="shared" si="52"/>
        <v>0</v>
      </c>
      <c r="Q105" s="453" t="str">
        <f t="shared" si="51"/>
        <v>Y</v>
      </c>
    </row>
    <row r="106" spans="1:17" ht="15" customHeight="1" x14ac:dyDescent="0.25">
      <c r="A106" s="296" t="s">
        <v>354</v>
      </c>
      <c r="B106" s="296" t="s">
        <v>351</v>
      </c>
      <c r="C106" s="296" t="s">
        <v>352</v>
      </c>
      <c r="D106" s="266">
        <f>G106</f>
        <v>7179.3153842606389</v>
      </c>
      <c r="E106" s="452" t="s">
        <v>157</v>
      </c>
      <c r="F106" s="428"/>
      <c r="G106" s="428">
        <v>7179.3153842606389</v>
      </c>
      <c r="H106" s="428">
        <v>0</v>
      </c>
      <c r="I106" s="428">
        <f t="shared" si="48"/>
        <v>0</v>
      </c>
      <c r="J106" s="428">
        <f t="shared" si="48"/>
        <v>0</v>
      </c>
      <c r="K106" s="296" t="s">
        <v>353</v>
      </c>
      <c r="L106" s="428">
        <f t="shared" si="44"/>
        <v>0</v>
      </c>
      <c r="M106" s="428">
        <f>G106-G31</f>
        <v>7179.3153842606389</v>
      </c>
      <c r="N106" s="428">
        <f t="shared" ref="N106:P108" si="53">H106-H31</f>
        <v>0</v>
      </c>
      <c r="O106" s="428">
        <f t="shared" si="53"/>
        <v>0</v>
      </c>
      <c r="P106" s="428">
        <f t="shared" si="53"/>
        <v>0</v>
      </c>
      <c r="Q106" s="453" t="str">
        <f t="shared" si="51"/>
        <v>Y</v>
      </c>
    </row>
    <row r="107" spans="1:17" ht="15" customHeight="1" x14ac:dyDescent="0.25">
      <c r="A107" s="296" t="s">
        <v>355</v>
      </c>
      <c r="B107" s="296" t="s">
        <v>351</v>
      </c>
      <c r="C107" s="296" t="s">
        <v>352</v>
      </c>
      <c r="D107" s="266">
        <f t="shared" si="47"/>
        <v>227129.01861350724</v>
      </c>
      <c r="E107" s="452" t="s">
        <v>142</v>
      </c>
      <c r="F107" s="428"/>
      <c r="G107" s="428">
        <v>227129.01861350724</v>
      </c>
      <c r="H107" s="428">
        <v>0</v>
      </c>
      <c r="I107" s="428">
        <f t="shared" si="48"/>
        <v>0</v>
      </c>
      <c r="J107" s="428">
        <f t="shared" si="48"/>
        <v>0</v>
      </c>
      <c r="K107" s="296" t="s">
        <v>353</v>
      </c>
      <c r="L107" s="428">
        <f t="shared" si="44"/>
        <v>0</v>
      </c>
      <c r="M107" s="428">
        <f t="shared" ref="M107:M108" si="54">G107-G32</f>
        <v>227129.01861350724</v>
      </c>
      <c r="N107" s="428">
        <f t="shared" si="53"/>
        <v>0</v>
      </c>
      <c r="O107" s="428">
        <f t="shared" si="53"/>
        <v>0</v>
      </c>
      <c r="P107" s="428">
        <f t="shared" si="53"/>
        <v>0</v>
      </c>
      <c r="Q107" s="453" t="str">
        <f t="shared" si="51"/>
        <v>Y</v>
      </c>
    </row>
    <row r="108" spans="1:17" ht="15" customHeight="1" x14ac:dyDescent="0.25">
      <c r="A108" s="296" t="s">
        <v>356</v>
      </c>
      <c r="B108" s="296" t="s">
        <v>351</v>
      </c>
      <c r="C108" s="296" t="s">
        <v>352</v>
      </c>
      <c r="D108" s="266">
        <f>G108</f>
        <v>13487.74875067832</v>
      </c>
      <c r="E108" s="452" t="s">
        <v>157</v>
      </c>
      <c r="F108" s="428"/>
      <c r="G108" s="428">
        <v>13487.74875067832</v>
      </c>
      <c r="H108" s="428">
        <f t="shared" si="48"/>
        <v>13487.74875067832</v>
      </c>
      <c r="I108" s="428">
        <f t="shared" si="48"/>
        <v>13487.74875067832</v>
      </c>
      <c r="J108" s="428">
        <f t="shared" si="48"/>
        <v>13487.74875067832</v>
      </c>
      <c r="K108" s="296" t="s">
        <v>353</v>
      </c>
      <c r="L108" s="428">
        <f t="shared" si="44"/>
        <v>0</v>
      </c>
      <c r="M108" s="428">
        <f t="shared" si="54"/>
        <v>10207.62025480493</v>
      </c>
      <c r="N108" s="428">
        <f t="shared" si="53"/>
        <v>10207.62025480493</v>
      </c>
      <c r="O108" s="428">
        <f t="shared" si="53"/>
        <v>10207.62025480493</v>
      </c>
      <c r="P108" s="428">
        <f t="shared" si="53"/>
        <v>10207.62025480493</v>
      </c>
      <c r="Q108" s="453" t="str">
        <f t="shared" si="51"/>
        <v>Y</v>
      </c>
    </row>
    <row r="109" spans="1:17" ht="15" customHeight="1" x14ac:dyDescent="0.25">
      <c r="A109" s="296" t="s">
        <v>25</v>
      </c>
      <c r="B109" s="296" t="s">
        <v>357</v>
      </c>
      <c r="C109" s="296" t="s">
        <v>352</v>
      </c>
      <c r="D109" s="255">
        <f t="shared" ref="D109:D110" si="55">G109</f>
        <v>3793</v>
      </c>
      <c r="E109" s="296" t="s">
        <v>147</v>
      </c>
      <c r="F109" s="428">
        <v>0</v>
      </c>
      <c r="G109" s="428">
        <v>3793</v>
      </c>
      <c r="H109" s="428">
        <v>0</v>
      </c>
      <c r="I109" s="428">
        <v>0</v>
      </c>
      <c r="J109" s="428">
        <v>0</v>
      </c>
      <c r="K109" s="296" t="s">
        <v>317</v>
      </c>
      <c r="L109" s="428">
        <f t="shared" ref="L109:L113" si="56">F109</f>
        <v>0</v>
      </c>
      <c r="M109" s="428">
        <f t="shared" ref="M109:M112" si="57">G109</f>
        <v>3793</v>
      </c>
      <c r="N109" s="428">
        <f t="shared" ref="N109:N112" si="58">H109</f>
        <v>0</v>
      </c>
      <c r="O109" s="428">
        <v>0</v>
      </c>
      <c r="P109" s="428">
        <v>0</v>
      </c>
      <c r="Q109" s="453" t="str">
        <f>VLOOKUP('Incremental Rev Req'!A109,Summary!$B$8:$D$24,3,FALSE)</f>
        <v>Y</v>
      </c>
    </row>
    <row r="110" spans="1:17" ht="15" customHeight="1" x14ac:dyDescent="0.25">
      <c r="A110" s="296" t="s">
        <v>25</v>
      </c>
      <c r="B110" s="296" t="s">
        <v>357</v>
      </c>
      <c r="C110" s="296" t="s">
        <v>352</v>
      </c>
      <c r="D110" s="255">
        <f t="shared" si="55"/>
        <v>199</v>
      </c>
      <c r="E110" s="296" t="s">
        <v>157</v>
      </c>
      <c r="F110" s="428">
        <v>0</v>
      </c>
      <c r="G110" s="428">
        <v>199</v>
      </c>
      <c r="H110" s="428">
        <v>0</v>
      </c>
      <c r="I110" s="428">
        <v>0</v>
      </c>
      <c r="J110" s="428">
        <v>0</v>
      </c>
      <c r="K110" s="296" t="s">
        <v>317</v>
      </c>
      <c r="L110" s="428">
        <f t="shared" si="56"/>
        <v>0</v>
      </c>
      <c r="M110" s="428">
        <f t="shared" si="57"/>
        <v>199</v>
      </c>
      <c r="N110" s="428">
        <f t="shared" si="58"/>
        <v>0</v>
      </c>
      <c r="O110" s="428">
        <v>0</v>
      </c>
      <c r="P110" s="428">
        <v>0</v>
      </c>
      <c r="Q110" s="453" t="str">
        <f t="shared" ref="Q110" si="59">Q109</f>
        <v>Y</v>
      </c>
    </row>
    <row r="111" spans="1:17" ht="15" customHeight="1" x14ac:dyDescent="0.25">
      <c r="A111" s="296" t="s">
        <v>26</v>
      </c>
      <c r="B111" s="296" t="s">
        <v>358</v>
      </c>
      <c r="C111" s="296" t="s">
        <v>352</v>
      </c>
      <c r="D111" s="428">
        <f>H111</f>
        <v>11113</v>
      </c>
      <c r="E111" s="296" t="s">
        <v>147</v>
      </c>
      <c r="F111" s="428">
        <v>0</v>
      </c>
      <c r="G111" s="428">
        <v>0</v>
      </c>
      <c r="H111" s="428">
        <v>11113</v>
      </c>
      <c r="I111" s="428">
        <v>0</v>
      </c>
      <c r="J111" s="428">
        <v>0</v>
      </c>
      <c r="K111" s="296" t="s">
        <v>317</v>
      </c>
      <c r="L111" s="428">
        <f t="shared" si="56"/>
        <v>0</v>
      </c>
      <c r="M111" s="428">
        <f t="shared" si="57"/>
        <v>0</v>
      </c>
      <c r="N111" s="428">
        <f t="shared" si="58"/>
        <v>11113</v>
      </c>
      <c r="O111" s="428">
        <f t="shared" ref="O111:O112" si="60">I111</f>
        <v>0</v>
      </c>
      <c r="P111" s="428">
        <f t="shared" ref="P111:P112" si="61">J111</f>
        <v>0</v>
      </c>
      <c r="Q111" s="453" t="str">
        <f>VLOOKUP('Incremental Rev Req'!A111,Summary!$B$8:$D$24,3,FALSE)</f>
        <v>Y</v>
      </c>
    </row>
    <row r="112" spans="1:17" ht="15" customHeight="1" x14ac:dyDescent="0.25">
      <c r="A112" s="296" t="s">
        <v>26</v>
      </c>
      <c r="B112" s="296" t="s">
        <v>358</v>
      </c>
      <c r="C112" s="296" t="s">
        <v>352</v>
      </c>
      <c r="D112" s="428">
        <f>H112</f>
        <v>280</v>
      </c>
      <c r="E112" s="296" t="s">
        <v>157</v>
      </c>
      <c r="F112" s="428">
        <v>0</v>
      </c>
      <c r="G112" s="428">
        <v>0</v>
      </c>
      <c r="H112" s="428">
        <v>280</v>
      </c>
      <c r="I112" s="428">
        <v>0</v>
      </c>
      <c r="J112" s="428">
        <v>0</v>
      </c>
      <c r="K112" s="296" t="s">
        <v>317</v>
      </c>
      <c r="L112" s="428">
        <f t="shared" si="56"/>
        <v>0</v>
      </c>
      <c r="M112" s="428">
        <f t="shared" si="57"/>
        <v>0</v>
      </c>
      <c r="N112" s="428">
        <f t="shared" si="58"/>
        <v>280</v>
      </c>
      <c r="O112" s="428">
        <f t="shared" si="60"/>
        <v>0</v>
      </c>
      <c r="P112" s="428">
        <f t="shared" si="61"/>
        <v>0</v>
      </c>
      <c r="Q112" s="453" t="str">
        <f>Q111</f>
        <v>Y</v>
      </c>
    </row>
    <row r="113" spans="1:17" ht="15" customHeight="1" x14ac:dyDescent="0.25">
      <c r="A113" s="296" t="s">
        <v>50</v>
      </c>
      <c r="B113" s="296" t="s">
        <v>359</v>
      </c>
      <c r="C113" s="296" t="s">
        <v>352</v>
      </c>
      <c r="D113" s="428">
        <f>G113</f>
        <v>208000</v>
      </c>
      <c r="E113" s="296" t="s">
        <v>157</v>
      </c>
      <c r="F113" s="428">
        <v>0</v>
      </c>
      <c r="G113" s="428">
        <v>208000</v>
      </c>
      <c r="H113" s="428">
        <f>G113</f>
        <v>208000</v>
      </c>
      <c r="I113" s="428">
        <f>H113</f>
        <v>208000</v>
      </c>
      <c r="J113" s="428">
        <f>I113</f>
        <v>208000</v>
      </c>
      <c r="K113" s="296" t="s">
        <v>353</v>
      </c>
      <c r="L113" s="428">
        <f t="shared" si="56"/>
        <v>0</v>
      </c>
      <c r="M113" s="428">
        <f>G113-G54</f>
        <v>76155.383688090689</v>
      </c>
      <c r="N113" s="428">
        <f>H113-H54</f>
        <v>76155.383688090689</v>
      </c>
      <c r="O113" s="428">
        <f>I113-I54</f>
        <v>76155.383688090689</v>
      </c>
      <c r="P113" s="428">
        <f>J113-J54</f>
        <v>76155.383688090689</v>
      </c>
      <c r="Q113" s="453" t="str">
        <f>VLOOKUP('Incremental Rev Req'!A113,Summary!$B$8:$D$24,3,FALSE)</f>
        <v>Y</v>
      </c>
    </row>
    <row r="114" spans="1:17" ht="15" customHeight="1" x14ac:dyDescent="0.25">
      <c r="A114" s="296" t="s">
        <v>28</v>
      </c>
      <c r="B114" s="296" t="s">
        <v>360</v>
      </c>
      <c r="C114" s="296" t="s">
        <v>352</v>
      </c>
      <c r="D114" s="428">
        <f>G114</f>
        <v>31100</v>
      </c>
      <c r="E114" s="452" t="s">
        <v>142</v>
      </c>
      <c r="F114" s="428">
        <v>0</v>
      </c>
      <c r="G114" s="428">
        <v>31100</v>
      </c>
      <c r="H114" s="428">
        <v>0</v>
      </c>
      <c r="I114" s="428">
        <v>0</v>
      </c>
      <c r="J114" s="428">
        <v>0</v>
      </c>
      <c r="K114" s="296" t="s">
        <v>317</v>
      </c>
      <c r="L114" s="428">
        <f t="shared" ref="L114:P119" si="62">F114</f>
        <v>0</v>
      </c>
      <c r="M114" s="428">
        <f t="shared" si="62"/>
        <v>31100</v>
      </c>
      <c r="N114" s="428">
        <f t="shared" si="62"/>
        <v>0</v>
      </c>
      <c r="O114" s="428">
        <f t="shared" si="62"/>
        <v>0</v>
      </c>
      <c r="P114" s="428">
        <f t="shared" si="62"/>
        <v>0</v>
      </c>
      <c r="Q114" s="453" t="str">
        <f>VLOOKUP('Incremental Rev Req'!A114,Summary!$B$8:$D$24,3,FALSE)</f>
        <v>Y</v>
      </c>
    </row>
    <row r="115" spans="1:17" ht="15" customHeight="1" x14ac:dyDescent="0.25">
      <c r="A115" s="296" t="s">
        <v>31</v>
      </c>
      <c r="B115" s="296" t="s">
        <v>96</v>
      </c>
      <c r="C115" s="296" t="s">
        <v>352</v>
      </c>
      <c r="D115" s="428">
        <f>F115</f>
        <v>4237</v>
      </c>
      <c r="E115" s="296" t="s">
        <v>147</v>
      </c>
      <c r="F115" s="428">
        <v>4237</v>
      </c>
      <c r="G115" s="428">
        <v>20695</v>
      </c>
      <c r="H115" s="428">
        <v>173998</v>
      </c>
      <c r="I115" s="428">
        <v>281729</v>
      </c>
      <c r="J115" s="428">
        <v>235523</v>
      </c>
      <c r="K115" s="296" t="s">
        <v>317</v>
      </c>
      <c r="L115" s="428">
        <f t="shared" si="62"/>
        <v>4237</v>
      </c>
      <c r="M115" s="428">
        <f t="shared" si="62"/>
        <v>20695</v>
      </c>
      <c r="N115" s="428">
        <f t="shared" si="62"/>
        <v>173998</v>
      </c>
      <c r="O115" s="428">
        <f t="shared" si="62"/>
        <v>281729</v>
      </c>
      <c r="P115" s="428">
        <f t="shared" si="62"/>
        <v>235523</v>
      </c>
      <c r="Q115" s="453" t="str">
        <f>VLOOKUP('Incremental Rev Req'!A115,Summary!$B$8:$D$24,3,FALSE)</f>
        <v>Y</v>
      </c>
    </row>
    <row r="116" spans="1:17" ht="15" customHeight="1" x14ac:dyDescent="0.25">
      <c r="A116" s="447" t="s">
        <v>38</v>
      </c>
      <c r="B116" s="296" t="s">
        <v>361</v>
      </c>
      <c r="C116" s="296" t="s">
        <v>352</v>
      </c>
      <c r="D116" s="428">
        <f>G116</f>
        <v>1490</v>
      </c>
      <c r="E116" s="296" t="s">
        <v>147</v>
      </c>
      <c r="F116" s="428">
        <v>0</v>
      </c>
      <c r="G116" s="428">
        <v>1490</v>
      </c>
      <c r="H116" s="428">
        <v>0</v>
      </c>
      <c r="I116" s="428">
        <v>0</v>
      </c>
      <c r="J116" s="428">
        <v>0</v>
      </c>
      <c r="K116" s="296" t="s">
        <v>317</v>
      </c>
      <c r="L116" s="428">
        <f t="shared" si="62"/>
        <v>0</v>
      </c>
      <c r="M116" s="428">
        <f>G116</f>
        <v>1490</v>
      </c>
      <c r="N116" s="428">
        <f t="shared" ref="M116:N117" si="63">H116</f>
        <v>0</v>
      </c>
      <c r="O116" s="428">
        <v>0</v>
      </c>
      <c r="P116" s="428">
        <v>0</v>
      </c>
      <c r="Q116" s="453" t="str">
        <f>VLOOKUP('Incremental Rev Req'!A116,Summary!$B$8:$D$24,3,FALSE)</f>
        <v>Y</v>
      </c>
    </row>
    <row r="117" spans="1:17" ht="15" customHeight="1" x14ac:dyDescent="0.25">
      <c r="A117" s="296" t="s">
        <v>37</v>
      </c>
      <c r="B117" s="296" t="s">
        <v>362</v>
      </c>
      <c r="C117" s="296" t="s">
        <v>352</v>
      </c>
      <c r="D117" s="428">
        <f>G117</f>
        <v>47707</v>
      </c>
      <c r="E117" s="448" t="s">
        <v>147</v>
      </c>
      <c r="F117" s="428">
        <v>0</v>
      </c>
      <c r="G117" s="257">
        <v>47707</v>
      </c>
      <c r="H117" s="428">
        <v>0</v>
      </c>
      <c r="I117" s="428">
        <v>0</v>
      </c>
      <c r="J117" s="428">
        <v>0</v>
      </c>
      <c r="K117" s="296" t="s">
        <v>317</v>
      </c>
      <c r="L117" s="428">
        <f t="shared" si="62"/>
        <v>0</v>
      </c>
      <c r="M117" s="428">
        <f t="shared" si="63"/>
        <v>47707</v>
      </c>
      <c r="N117" s="428">
        <f t="shared" si="63"/>
        <v>0</v>
      </c>
      <c r="O117" s="428">
        <v>0</v>
      </c>
      <c r="P117" s="428">
        <v>0</v>
      </c>
      <c r="Q117" s="453" t="str">
        <f>VLOOKUP('Incremental Rev Req'!A117,Summary!$B$8:$D$24,3,FALSE)</f>
        <v>Y</v>
      </c>
    </row>
    <row r="118" spans="1:17" ht="15" customHeight="1" x14ac:dyDescent="0.25">
      <c r="A118" s="447" t="s">
        <v>40</v>
      </c>
      <c r="B118" s="296" t="s">
        <v>363</v>
      </c>
      <c r="C118" s="296" t="s">
        <v>352</v>
      </c>
      <c r="D118" s="428">
        <f>G118</f>
        <v>-3198</v>
      </c>
      <c r="E118" s="296" t="s">
        <v>147</v>
      </c>
      <c r="F118" s="428">
        <v>0</v>
      </c>
      <c r="G118" s="428">
        <v>-3198</v>
      </c>
      <c r="H118" s="428">
        <v>0</v>
      </c>
      <c r="I118" s="428">
        <v>0</v>
      </c>
      <c r="J118" s="428">
        <v>0</v>
      </c>
      <c r="K118" s="296" t="s">
        <v>317</v>
      </c>
      <c r="L118" s="428">
        <f t="shared" si="62"/>
        <v>0</v>
      </c>
      <c r="M118" s="428">
        <f>G118</f>
        <v>-3198</v>
      </c>
      <c r="N118" s="428">
        <f t="shared" ref="N118:P118" si="64">H118</f>
        <v>0</v>
      </c>
      <c r="O118" s="428">
        <f t="shared" si="64"/>
        <v>0</v>
      </c>
      <c r="P118" s="428">
        <f t="shared" si="64"/>
        <v>0</v>
      </c>
      <c r="Q118" s="453" t="str">
        <f>VLOOKUP('Incremental Rev Req'!A118,Summary!$B$8:$D$24,3,FALSE)</f>
        <v>Y</v>
      </c>
    </row>
    <row r="119" spans="1:17" ht="15" customHeight="1" x14ac:dyDescent="0.25">
      <c r="A119" s="296" t="s">
        <v>48</v>
      </c>
      <c r="B119" s="296" t="s">
        <v>364</v>
      </c>
      <c r="C119" s="296" t="s">
        <v>352</v>
      </c>
      <c r="D119" s="428">
        <f>H119</f>
        <v>46709</v>
      </c>
      <c r="E119" s="296" t="s">
        <v>147</v>
      </c>
      <c r="F119" s="428">
        <v>0</v>
      </c>
      <c r="G119" s="428">
        <v>0</v>
      </c>
      <c r="H119" s="428">
        <v>46709</v>
      </c>
      <c r="I119" s="428">
        <v>137646</v>
      </c>
      <c r="J119" s="428">
        <v>255080</v>
      </c>
      <c r="K119" s="296" t="s">
        <v>317</v>
      </c>
      <c r="L119" s="428">
        <f t="shared" si="62"/>
        <v>0</v>
      </c>
      <c r="M119" s="428">
        <f>G119</f>
        <v>0</v>
      </c>
      <c r="N119" s="428">
        <f t="shared" ref="N119:N121" si="65">H119</f>
        <v>46709</v>
      </c>
      <c r="O119" s="428">
        <f t="shared" ref="O119:O121" si="66">I119</f>
        <v>137646</v>
      </c>
      <c r="P119" s="428">
        <f t="shared" ref="P119:P121" si="67">J119</f>
        <v>255080</v>
      </c>
      <c r="Q119" s="453" t="str">
        <f>VLOOKUP('Incremental Rev Req'!A119,Summary!$B$8:$D$24,3,FALSE)</f>
        <v>Y</v>
      </c>
    </row>
    <row r="120" spans="1:17" ht="15" customHeight="1" x14ac:dyDescent="0.25">
      <c r="A120" s="296" t="s">
        <v>51</v>
      </c>
      <c r="B120" s="296" t="s">
        <v>365</v>
      </c>
      <c r="C120" s="296" t="s">
        <v>366</v>
      </c>
      <c r="D120" s="428">
        <f>G120</f>
        <v>-48127</v>
      </c>
      <c r="E120" s="448" t="s">
        <v>142</v>
      </c>
      <c r="F120" s="428">
        <v>0</v>
      </c>
      <c r="G120" s="257">
        <v>-48127</v>
      </c>
      <c r="H120" s="428">
        <v>0</v>
      </c>
      <c r="I120" s="428">
        <v>0</v>
      </c>
      <c r="J120" s="428">
        <v>0</v>
      </c>
      <c r="K120" s="296" t="s">
        <v>353</v>
      </c>
      <c r="L120" s="428"/>
      <c r="M120" s="428">
        <f>G120</f>
        <v>-48127</v>
      </c>
      <c r="N120" s="428">
        <f t="shared" si="65"/>
        <v>0</v>
      </c>
      <c r="O120" s="428">
        <f t="shared" si="66"/>
        <v>0</v>
      </c>
      <c r="P120" s="428">
        <f t="shared" si="67"/>
        <v>0</v>
      </c>
      <c r="Q120" s="453" t="str">
        <f>VLOOKUP('Incremental Rev Req'!A120,Summary!$B$8:$D$24,3,FALSE)</f>
        <v>Y</v>
      </c>
    </row>
    <row r="121" spans="1:17" ht="15" customHeight="1" x14ac:dyDescent="0.25">
      <c r="A121" s="296" t="s">
        <v>51</v>
      </c>
      <c r="B121" s="296" t="s">
        <v>365</v>
      </c>
      <c r="C121" s="296" t="s">
        <v>366</v>
      </c>
      <c r="D121" s="428">
        <f>G121</f>
        <v>-298562</v>
      </c>
      <c r="E121" s="452" t="s">
        <v>147</v>
      </c>
      <c r="F121" s="428">
        <v>0</v>
      </c>
      <c r="G121" s="257">
        <v>-298562</v>
      </c>
      <c r="H121" s="428">
        <v>0</v>
      </c>
      <c r="I121" s="428">
        <v>0</v>
      </c>
      <c r="J121" s="428">
        <v>0</v>
      </c>
      <c r="K121" s="296" t="s">
        <v>353</v>
      </c>
      <c r="L121" s="428"/>
      <c r="M121" s="428">
        <f>G121</f>
        <v>-298562</v>
      </c>
      <c r="N121" s="428">
        <f t="shared" si="65"/>
        <v>0</v>
      </c>
      <c r="O121" s="428">
        <f t="shared" si="66"/>
        <v>0</v>
      </c>
      <c r="P121" s="428">
        <f t="shared" si="67"/>
        <v>0</v>
      </c>
      <c r="Q121" s="453" t="str">
        <f>Q120</f>
        <v>Y</v>
      </c>
    </row>
    <row r="122" spans="1:17" ht="15" customHeight="1" x14ac:dyDescent="0.25">
      <c r="D122" s="428"/>
      <c r="F122" s="428"/>
      <c r="G122" s="428"/>
      <c r="H122" s="428"/>
      <c r="I122" s="428"/>
      <c r="J122" s="428"/>
      <c r="K122" s="296"/>
      <c r="L122" s="428"/>
      <c r="M122" s="428"/>
      <c r="N122" s="428"/>
      <c r="O122" s="428"/>
      <c r="P122" s="428"/>
      <c r="Q122" s="453"/>
    </row>
    <row r="123" spans="1:17" ht="15" customHeight="1" x14ac:dyDescent="0.25">
      <c r="A123" s="433" t="s">
        <v>240</v>
      </c>
      <c r="D123" s="266"/>
      <c r="E123" s="452"/>
      <c r="F123" s="428"/>
      <c r="G123" s="257"/>
      <c r="H123" s="257"/>
      <c r="I123" s="257"/>
      <c r="J123" s="257"/>
      <c r="K123" s="296"/>
    </row>
    <row r="124" spans="1:17" ht="15" customHeight="1" x14ac:dyDescent="0.25">
      <c r="A124" s="296" t="s">
        <v>34</v>
      </c>
      <c r="B124" s="296" t="s">
        <v>367</v>
      </c>
      <c r="C124" s="296" t="s">
        <v>352</v>
      </c>
      <c r="D124" s="266">
        <f>G124</f>
        <v>60834</v>
      </c>
      <c r="E124" s="448" t="s">
        <v>157</v>
      </c>
      <c r="F124" s="428">
        <v>0</v>
      </c>
      <c r="G124" s="257">
        <v>60834</v>
      </c>
      <c r="H124" s="428">
        <v>0</v>
      </c>
      <c r="I124" s="428">
        <f>H124</f>
        <v>0</v>
      </c>
      <c r="J124" s="428">
        <f>I124</f>
        <v>0</v>
      </c>
      <c r="K124" s="296" t="s">
        <v>308</v>
      </c>
      <c r="L124" s="428">
        <f t="shared" ref="L124:L128" si="68">F124</f>
        <v>0</v>
      </c>
      <c r="M124" s="428">
        <f>G124-G73</f>
        <v>-14894.055877278952</v>
      </c>
      <c r="N124" s="428">
        <v>0</v>
      </c>
      <c r="O124" s="428">
        <v>0</v>
      </c>
      <c r="P124" s="428">
        <v>0</v>
      </c>
      <c r="Q124" s="453" t="str">
        <f>VLOOKUP('Incremental Rev Req'!A124,Summary!$B$8:$D$24,3,FALSE)</f>
        <v>Y</v>
      </c>
    </row>
    <row r="125" spans="1:17" ht="15" customHeight="1" x14ac:dyDescent="0.25">
      <c r="A125" s="296" t="s">
        <v>34</v>
      </c>
      <c r="B125" s="296" t="s">
        <v>367</v>
      </c>
      <c r="C125" s="296" t="s">
        <v>352</v>
      </c>
      <c r="D125" s="266">
        <f>G125</f>
        <v>11342</v>
      </c>
      <c r="E125" s="448" t="s">
        <v>157</v>
      </c>
      <c r="F125" s="428">
        <v>0</v>
      </c>
      <c r="G125" s="257">
        <v>11342</v>
      </c>
      <c r="H125" s="428">
        <v>0</v>
      </c>
      <c r="I125" s="428">
        <v>0</v>
      </c>
      <c r="J125" s="428">
        <v>0</v>
      </c>
      <c r="K125" s="296" t="s">
        <v>308</v>
      </c>
      <c r="L125" s="428">
        <f t="shared" si="68"/>
        <v>0</v>
      </c>
      <c r="M125" s="428">
        <f>G125-G74</f>
        <v>252.84459815173068</v>
      </c>
      <c r="N125" s="428">
        <v>0</v>
      </c>
      <c r="O125" s="428">
        <v>0</v>
      </c>
      <c r="P125" s="428">
        <v>0</v>
      </c>
      <c r="Q125" s="453" t="str">
        <f>Q124</f>
        <v>Y</v>
      </c>
    </row>
    <row r="126" spans="1:17" ht="15" customHeight="1" x14ac:dyDescent="0.25">
      <c r="A126" s="296" t="s">
        <v>42</v>
      </c>
      <c r="B126" s="296" t="s">
        <v>368</v>
      </c>
      <c r="C126" s="296" t="s">
        <v>352</v>
      </c>
      <c r="D126" s="428">
        <f>H126</f>
        <v>104794</v>
      </c>
      <c r="E126" s="296" t="s">
        <v>157</v>
      </c>
      <c r="F126" s="428">
        <v>0</v>
      </c>
      <c r="G126" s="428">
        <v>0</v>
      </c>
      <c r="H126" s="428">
        <v>104794</v>
      </c>
      <c r="I126" s="428">
        <v>107699</v>
      </c>
      <c r="J126" s="428">
        <v>110868</v>
      </c>
      <c r="K126" s="296" t="s">
        <v>308</v>
      </c>
      <c r="L126" s="428">
        <f t="shared" si="68"/>
        <v>0</v>
      </c>
      <c r="M126" s="428">
        <f>G126</f>
        <v>0</v>
      </c>
      <c r="N126" s="428">
        <f t="shared" ref="N126:P127" si="69">H126-H73</f>
        <v>29065.944122721048</v>
      </c>
      <c r="O126" s="428">
        <f t="shared" si="69"/>
        <v>31970.944122721048</v>
      </c>
      <c r="P126" s="428">
        <f t="shared" si="69"/>
        <v>35139.944122721048</v>
      </c>
      <c r="Q126" s="453" t="str">
        <f>VLOOKUP('Incremental Rev Req'!A126,Summary!$B$8:$D$24,3,FALSE)</f>
        <v>Y</v>
      </c>
    </row>
    <row r="127" spans="1:17" ht="15" customHeight="1" x14ac:dyDescent="0.25">
      <c r="A127" s="296" t="s">
        <v>42</v>
      </c>
      <c r="B127" s="296" t="s">
        <v>369</v>
      </c>
      <c r="C127" s="296" t="s">
        <v>352</v>
      </c>
      <c r="D127" s="428">
        <f>H127</f>
        <v>18189</v>
      </c>
      <c r="E127" s="296" t="s">
        <v>157</v>
      </c>
      <c r="F127" s="428">
        <v>0</v>
      </c>
      <c r="G127" s="428">
        <v>0</v>
      </c>
      <c r="H127" s="428">
        <v>18189</v>
      </c>
      <c r="I127" s="428">
        <v>22473</v>
      </c>
      <c r="J127" s="428">
        <v>15588</v>
      </c>
      <c r="K127" s="296" t="s">
        <v>308</v>
      </c>
      <c r="L127" s="428">
        <f t="shared" si="68"/>
        <v>0</v>
      </c>
      <c r="M127" s="428">
        <f>G127</f>
        <v>0</v>
      </c>
      <c r="N127" s="428">
        <f t="shared" si="69"/>
        <v>7099.8445981517307</v>
      </c>
      <c r="O127" s="428">
        <f t="shared" si="69"/>
        <v>11383.844598151731</v>
      </c>
      <c r="P127" s="428">
        <f t="shared" si="69"/>
        <v>4498.8445981517307</v>
      </c>
      <c r="Q127" s="453" t="str">
        <f>Q126</f>
        <v>Y</v>
      </c>
    </row>
    <row r="128" spans="1:17" ht="15" customHeight="1" x14ac:dyDescent="0.25">
      <c r="A128" s="296" t="s">
        <v>46</v>
      </c>
      <c r="B128" s="296" t="s">
        <v>370</v>
      </c>
      <c r="C128" s="296" t="s">
        <v>352</v>
      </c>
      <c r="D128" s="428">
        <f>H128</f>
        <v>308790</v>
      </c>
      <c r="E128" s="296" t="s">
        <v>157</v>
      </c>
      <c r="F128" s="428">
        <v>0</v>
      </c>
      <c r="G128" s="428">
        <v>0</v>
      </c>
      <c r="H128" s="428">
        <v>308790</v>
      </c>
      <c r="I128" s="255">
        <v>335340.00000000006</v>
      </c>
      <c r="J128" s="255">
        <v>262780</v>
      </c>
      <c r="K128" s="296" t="s">
        <v>308</v>
      </c>
      <c r="L128" s="428">
        <f t="shared" si="68"/>
        <v>0</v>
      </c>
      <c r="M128" s="428">
        <f>G128</f>
        <v>0</v>
      </c>
      <c r="N128" s="428">
        <f>H128-H68</f>
        <v>44896.51935334946</v>
      </c>
      <c r="O128" s="428">
        <f>I128-I68</f>
        <v>71446.519353349518</v>
      </c>
      <c r="P128" s="428">
        <f>J128-J68</f>
        <v>-1113.4806466505397</v>
      </c>
      <c r="Q128" s="453" t="str">
        <f>VLOOKUP('Incremental Rev Req'!A128,Summary!$B$8:$D$24,3,FALSE)</f>
        <v>Y</v>
      </c>
    </row>
    <row r="129" spans="1:26" ht="15" customHeight="1" x14ac:dyDescent="0.25">
      <c r="C129" s="452"/>
      <c r="D129" s="255"/>
      <c r="E129" s="452"/>
      <c r="F129" s="255"/>
      <c r="H129" s="255"/>
      <c r="I129" s="255"/>
      <c r="J129" s="255"/>
      <c r="K129" s="296"/>
      <c r="L129" s="428"/>
      <c r="M129" s="428"/>
      <c r="N129" s="428"/>
      <c r="O129" s="428"/>
      <c r="P129" s="428"/>
      <c r="Q129" s="453"/>
      <c r="Z129" s="449"/>
    </row>
    <row r="130" spans="1:26" ht="15" customHeight="1" x14ac:dyDescent="0.25">
      <c r="A130" s="433" t="s">
        <v>273</v>
      </c>
      <c r="C130" s="452"/>
      <c r="D130" s="452"/>
      <c r="E130" s="448"/>
      <c r="F130" s="255"/>
      <c r="H130" s="255"/>
      <c r="I130" s="255"/>
      <c r="J130" s="255"/>
      <c r="K130" s="296"/>
      <c r="L130" s="428"/>
      <c r="M130" s="428"/>
      <c r="N130" s="428"/>
      <c r="O130" s="428"/>
      <c r="P130" s="428"/>
      <c r="Q130" s="453"/>
      <c r="Z130" s="449"/>
    </row>
    <row r="131" spans="1:26" ht="15" customHeight="1" x14ac:dyDescent="0.25">
      <c r="F131" s="255"/>
      <c r="G131" s="255"/>
      <c r="H131" s="255"/>
      <c r="I131" s="255"/>
      <c r="J131" s="255"/>
      <c r="Q131" s="448"/>
    </row>
    <row r="132" spans="1:26" ht="15" customHeight="1" x14ac:dyDescent="0.25">
      <c r="D132" s="468"/>
      <c r="E132" s="452"/>
      <c r="F132" s="255"/>
      <c r="G132" s="255"/>
      <c r="H132" s="255"/>
      <c r="I132" s="255"/>
      <c r="J132" s="255"/>
      <c r="K132" s="255"/>
      <c r="L132" s="263"/>
      <c r="M132" s="263"/>
      <c r="N132" s="263"/>
      <c r="O132" s="263"/>
      <c r="P132" s="263"/>
      <c r="Q132" s="453"/>
    </row>
    <row r="133" spans="1:26" ht="15" customHeight="1" thickBot="1" x14ac:dyDescent="0.3">
      <c r="A133" s="433" t="s">
        <v>371</v>
      </c>
      <c r="D133" s="456">
        <f>SUM(D97:D131)</f>
        <v>4851274.1877932539</v>
      </c>
      <c r="F133" s="456">
        <f>SUM(F97:F131)</f>
        <v>4237</v>
      </c>
      <c r="G133" s="456">
        <f>SUM(G97:G131)</f>
        <v>4385704.2359424718</v>
      </c>
      <c r="H133" s="456">
        <f>SUM(H97:H131)</f>
        <v>4956915.5205146456</v>
      </c>
      <c r="I133" s="456">
        <f>SUM(I97:I131)</f>
        <v>5177929.5205146456</v>
      </c>
      <c r="J133" s="456">
        <f>SUM(J97:J131)</f>
        <v>5172881.5205146456</v>
      </c>
      <c r="K133" s="296"/>
      <c r="L133" s="456">
        <f>SUM(L97:L131)</f>
        <v>4237</v>
      </c>
      <c r="M133" s="469">
        <f>SUM(M97:M131)</f>
        <v>-117061.54733653105</v>
      </c>
      <c r="N133" s="456">
        <f>SUM(N97:N131)</f>
        <v>190256.25658899324</v>
      </c>
      <c r="O133" s="456">
        <f>SUM(O97:O131)</f>
        <v>411270.2565889933</v>
      </c>
      <c r="P133" s="456">
        <f>SUM(P97:P131)</f>
        <v>406222.25658899324</v>
      </c>
      <c r="Q133" s="263"/>
      <c r="R133" s="263"/>
    </row>
    <row r="134" spans="1:26" ht="15" customHeight="1" thickTop="1" x14ac:dyDescent="0.25">
      <c r="F134" s="435"/>
      <c r="G134" s="435"/>
      <c r="H134" s="435"/>
      <c r="I134" s="435"/>
      <c r="J134" s="435"/>
      <c r="L134" s="431">
        <f>L133+F89</f>
        <v>19445187.095945172</v>
      </c>
      <c r="M134" s="431">
        <f>M133+G89</f>
        <v>18424211.908029594</v>
      </c>
      <c r="N134" s="431">
        <f>N133+H89</f>
        <v>19074112.729389999</v>
      </c>
      <c r="O134" s="431">
        <f>O133+I89</f>
        <v>19295126.729389999</v>
      </c>
      <c r="P134" s="431">
        <f>P133+J89</f>
        <v>19290078.729389999</v>
      </c>
      <c r="Q134" s="263"/>
    </row>
    <row r="135" spans="1:26" ht="15" customHeight="1" x14ac:dyDescent="0.25">
      <c r="D135" s="432"/>
      <c r="K135" s="487"/>
      <c r="L135" s="488"/>
      <c r="M135" s="488"/>
      <c r="N135" s="488"/>
      <c r="O135" s="488"/>
      <c r="P135" s="488"/>
      <c r="Q135" s="263"/>
    </row>
    <row r="136" spans="1:26" x14ac:dyDescent="0.25">
      <c r="L136" s="470"/>
      <c r="M136" s="470"/>
      <c r="N136" s="470"/>
      <c r="O136" s="470"/>
      <c r="P136" s="470"/>
    </row>
    <row r="137" spans="1:26" ht="15" customHeight="1" x14ac:dyDescent="0.25">
      <c r="A137" s="471" t="s">
        <v>372</v>
      </c>
      <c r="B137" s="462"/>
      <c r="C137" s="462"/>
      <c r="D137" s="462"/>
      <c r="E137" s="462"/>
      <c r="F137" s="462"/>
      <c r="G137" s="462"/>
      <c r="H137" s="462"/>
      <c r="I137" s="462"/>
      <c r="J137" s="462"/>
      <c r="K137" s="462"/>
      <c r="L137" s="472"/>
      <c r="M137" s="473"/>
      <c r="N137" s="472"/>
      <c r="O137" s="474"/>
      <c r="P137" s="474"/>
      <c r="Q137" s="475"/>
    </row>
    <row r="138" spans="1:26" ht="15" customHeight="1" x14ac:dyDescent="0.25">
      <c r="A138" s="465" t="s">
        <v>135</v>
      </c>
      <c r="B138" s="466" t="s">
        <v>373</v>
      </c>
      <c r="C138" s="466" t="s">
        <v>374</v>
      </c>
      <c r="D138" s="466" t="s">
        <v>347</v>
      </c>
      <c r="E138" s="466" t="s">
        <v>348</v>
      </c>
      <c r="F138" s="441">
        <f>F95</f>
        <v>2026</v>
      </c>
      <c r="G138" s="441">
        <f>F138+1</f>
        <v>2027</v>
      </c>
      <c r="H138" s="441">
        <f t="shared" ref="H138" si="70">G138+1</f>
        <v>2028</v>
      </c>
      <c r="I138" s="441">
        <f t="shared" ref="I138" si="71">H138+1</f>
        <v>2029</v>
      </c>
      <c r="J138" s="441">
        <f t="shared" ref="J138" si="72">I138+1</f>
        <v>2030</v>
      </c>
      <c r="K138" s="465" t="s">
        <v>306</v>
      </c>
      <c r="Q138" s="448"/>
    </row>
    <row r="139" spans="1:26" ht="15" customHeight="1" x14ac:dyDescent="0.25">
      <c r="A139" s="433" t="s">
        <v>139</v>
      </c>
      <c r="C139" s="452"/>
      <c r="D139" s="452"/>
      <c r="E139" s="452"/>
      <c r="K139" s="296"/>
      <c r="N139" s="431"/>
      <c r="Q139" s="453"/>
      <c r="T139" s="258"/>
      <c r="U139" s="258"/>
    </row>
    <row r="140" spans="1:26" ht="15" customHeight="1" x14ac:dyDescent="0.25">
      <c r="A140" s="476"/>
      <c r="B140" s="477"/>
      <c r="C140" s="478"/>
      <c r="D140" s="285"/>
      <c r="E140" s="478"/>
      <c r="F140" s="286"/>
      <c r="G140" s="286"/>
      <c r="H140" s="286"/>
      <c r="I140" s="286"/>
      <c r="J140" s="286"/>
      <c r="K140" s="476"/>
      <c r="L140" s="479"/>
      <c r="M140" s="428"/>
      <c r="N140" s="479"/>
      <c r="O140" s="479"/>
      <c r="P140" s="479"/>
      <c r="Q140" s="480"/>
      <c r="T140" s="260"/>
      <c r="U140" s="260"/>
      <c r="V140" s="260"/>
      <c r="W140" s="260"/>
      <c r="X140" s="260"/>
    </row>
    <row r="141" spans="1:26" ht="15" customHeight="1" x14ac:dyDescent="0.25">
      <c r="A141" s="433" t="s">
        <v>240</v>
      </c>
      <c r="B141" s="481"/>
      <c r="F141" s="255"/>
      <c r="G141" s="255"/>
      <c r="H141" s="255"/>
      <c r="I141" s="255"/>
      <c r="J141" s="255"/>
      <c r="K141" s="296"/>
      <c r="L141" s="428"/>
      <c r="M141" s="428"/>
      <c r="N141" s="428"/>
      <c r="O141" s="428"/>
      <c r="P141" s="428"/>
      <c r="Q141" s="453"/>
      <c r="T141" s="258"/>
      <c r="U141" s="258"/>
    </row>
    <row r="142" spans="1:26" ht="15" customHeight="1" x14ac:dyDescent="0.25">
      <c r="B142" s="482"/>
      <c r="D142" s="255"/>
      <c r="F142" s="255"/>
      <c r="G142" s="255"/>
      <c r="H142" s="255"/>
      <c r="I142" s="255"/>
      <c r="J142" s="255"/>
      <c r="K142" s="296"/>
      <c r="M142" s="428"/>
      <c r="N142" s="428"/>
      <c r="O142" s="428"/>
      <c r="P142" s="428"/>
      <c r="Q142" s="453"/>
      <c r="T142" s="265"/>
      <c r="U142" s="258"/>
    </row>
    <row r="143" spans="1:26" ht="15" customHeight="1" x14ac:dyDescent="0.25">
      <c r="A143" s="452"/>
      <c r="B143" s="482"/>
      <c r="D143" s="255"/>
      <c r="F143" s="267"/>
      <c r="G143" s="267"/>
      <c r="H143" s="267"/>
      <c r="I143" s="267"/>
      <c r="J143" s="267"/>
      <c r="K143" s="296"/>
      <c r="L143" s="465"/>
      <c r="M143" s="483"/>
      <c r="N143" s="483"/>
      <c r="O143" s="483"/>
      <c r="P143" s="483"/>
      <c r="Q143" s="453"/>
      <c r="T143" s="265"/>
      <c r="U143" s="258"/>
    </row>
    <row r="144" spans="1:26" ht="15" customHeight="1" x14ac:dyDescent="0.25">
      <c r="A144" s="433" t="s">
        <v>273</v>
      </c>
      <c r="F144" s="428">
        <f>SUM(F139:F143)</f>
        <v>0</v>
      </c>
      <c r="G144" s="428">
        <f>SUM(G139:G143)</f>
        <v>0</v>
      </c>
      <c r="H144" s="428">
        <f>SUM(H139:H143)</f>
        <v>0</v>
      </c>
      <c r="I144" s="428">
        <f>SUM(I139:I143)</f>
        <v>0</v>
      </c>
      <c r="J144" s="428">
        <f>SUM(J139:J143)</f>
        <v>0</v>
      </c>
      <c r="K144" s="255"/>
      <c r="L144" s="428">
        <f t="shared" ref="L144:P144" si="73">SUM(L139:L143)</f>
        <v>0</v>
      </c>
      <c r="M144" s="428">
        <f t="shared" si="73"/>
        <v>0</v>
      </c>
      <c r="N144" s="428">
        <f>SUM(N139:N143)</f>
        <v>0</v>
      </c>
      <c r="O144" s="428">
        <f t="shared" si="73"/>
        <v>0</v>
      </c>
      <c r="P144" s="428">
        <f t="shared" si="73"/>
        <v>0</v>
      </c>
      <c r="Q144" s="428"/>
      <c r="T144" s="265"/>
      <c r="U144" s="258"/>
    </row>
    <row r="145" spans="1:21" ht="15" customHeight="1" x14ac:dyDescent="0.25">
      <c r="F145" s="255"/>
      <c r="G145" s="255"/>
      <c r="H145" s="255"/>
      <c r="I145" s="255"/>
      <c r="J145" s="255"/>
      <c r="K145" s="484"/>
      <c r="L145" s="428"/>
      <c r="M145" s="428"/>
      <c r="N145" s="428"/>
      <c r="O145" s="428"/>
      <c r="P145" s="428"/>
      <c r="Q145" s="428"/>
      <c r="T145" s="265"/>
      <c r="U145" s="258"/>
    </row>
    <row r="146" spans="1:21" ht="15" customHeight="1" x14ac:dyDescent="0.25">
      <c r="A146" s="433" t="s">
        <v>375</v>
      </c>
      <c r="F146" s="255"/>
      <c r="G146" s="255"/>
      <c r="H146" s="255"/>
      <c r="I146" s="255"/>
      <c r="J146" s="255"/>
      <c r="U146" s="258"/>
    </row>
    <row r="147" spans="1:21" ht="15" customHeight="1" x14ac:dyDescent="0.25">
      <c r="F147" s="255"/>
      <c r="G147" s="255"/>
      <c r="H147" s="255"/>
      <c r="I147" s="255"/>
      <c r="J147" s="255"/>
      <c r="K147" s="296"/>
    </row>
    <row r="148" spans="1:21" ht="15" customHeight="1" x14ac:dyDescent="0.25">
      <c r="K148" s="484"/>
      <c r="L148" s="255"/>
      <c r="M148" s="255"/>
      <c r="N148" s="255"/>
      <c r="O148" s="255"/>
      <c r="P148" s="255"/>
    </row>
    <row r="149" spans="1:21" ht="15" customHeight="1" x14ac:dyDescent="0.25">
      <c r="L149" s="428"/>
      <c r="M149" s="428"/>
      <c r="N149" s="428"/>
      <c r="O149" s="428"/>
      <c r="P149" s="428"/>
    </row>
    <row r="150" spans="1:21" ht="15" customHeight="1" x14ac:dyDescent="0.25"/>
    <row r="151" spans="1:21" ht="15" customHeight="1" x14ac:dyDescent="0.25">
      <c r="F151" s="433"/>
      <c r="G151" s="433"/>
      <c r="H151" s="433"/>
      <c r="I151" s="433"/>
      <c r="J151" s="433"/>
    </row>
    <row r="152" spans="1:21" ht="15" customHeight="1" x14ac:dyDescent="0.25">
      <c r="F152" s="432"/>
      <c r="G152" s="432"/>
      <c r="H152" s="432"/>
      <c r="I152" s="432"/>
      <c r="J152" s="432"/>
    </row>
    <row r="153" spans="1:21" ht="15" customHeight="1" x14ac:dyDescent="0.25">
      <c r="F153" s="432"/>
      <c r="G153" s="432"/>
      <c r="H153" s="432"/>
      <c r="I153" s="432"/>
      <c r="J153" s="432"/>
    </row>
    <row r="154" spans="1:21" x14ac:dyDescent="0.25">
      <c r="F154" s="432"/>
      <c r="G154" s="432"/>
      <c r="H154" s="432"/>
      <c r="I154" s="432"/>
      <c r="J154" s="432"/>
    </row>
  </sheetData>
  <sheetProtection algorithmName="SHA-512" hashValue="Y1C3a/bVC30j8sFhJluy9c8s0/f8UYDqm5R6FChYKuh0X4IKSa6/0ZTf+EM511NdGvascUZ0rcP9UOIBguEFFg==" saltValue="zzbxWwFfL7/rrEm3S2auiA==" spinCount="100000" sheet="1" objects="1" scenarios="1"/>
  <autoFilter ref="A9:AC85" xr:uid="{00000000-0001-0000-0200-000000000000}"/>
  <phoneticPr fontId="31" type="noConversion"/>
  <dataValidations disablePrompts="1" count="3">
    <dataValidation type="list" allowBlank="1" showInputMessage="1" showErrorMessage="1" sqref="K139:K140 L138:M139 L9:P9 F9:J9 O138:O139 P96" xr:uid="{00000000-0002-0000-0200-000000000000}">
      <formula1>"2019,2020,2021,2022,2023,2024,2025"</formula1>
    </dataValidation>
    <dataValidation type="list" allowBlank="1" showInputMessage="1" showErrorMessage="1" sqref="A3" xr:uid="{00000000-0002-0000-0200-000002000000}">
      <formula1>"Reporting Date: Quarter Ended March 31,Reporting Date: Quarter Ended June 30,Reporting Date: Quarter Ended September 30, Reporting Date: Quarter Ended December 31"</formula1>
    </dataValidation>
    <dataValidation type="list" allowBlank="1" showInputMessage="1" showErrorMessage="1" sqref="P138:P140" xr:uid="{75F7AD48-6E4C-4AB3-94A4-31CE62C6C3D7}">
      <formula1>"2019,2020,2021,2022,2023,2024,2025,2026"</formula1>
    </dataValidation>
  </dataValidations>
  <pageMargins left="0.7" right="0.7" top="0.75" bottom="0.75" header="0.3" footer="0.3"/>
  <pageSetup paperSize="17" scale="26" orientation="landscape" r:id="rId1"/>
  <ignoredErrors>
    <ignoredError sqref="D115 Q126 Q111 M113:P113 Q100 D1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1:AC96"/>
  <sheetViews>
    <sheetView showGridLines="0" zoomScale="74" zoomScaleNormal="80" workbookViewId="0">
      <selection activeCell="W32" sqref="W32"/>
    </sheetView>
  </sheetViews>
  <sheetFormatPr defaultColWidth="8.7109375" defaultRowHeight="15" x14ac:dyDescent="0.25"/>
  <cols>
    <col min="1" max="1" width="3.5703125" style="38" customWidth="1"/>
    <col min="2" max="3" width="19.42578125" style="38" customWidth="1"/>
    <col min="4" max="4" width="15.7109375" style="38" customWidth="1"/>
    <col min="5" max="5" width="10.5703125" style="38" customWidth="1"/>
    <col min="6" max="6" width="20.7109375" style="38" customWidth="1"/>
    <col min="7" max="15" width="15" style="38" customWidth="1"/>
    <col min="16" max="17" width="17" style="38" customWidth="1"/>
    <col min="18" max="18" width="20.5703125" style="38" customWidth="1"/>
    <col min="19" max="19" width="14" style="38" customWidth="1"/>
    <col min="20" max="20" width="16.42578125" style="38" customWidth="1"/>
    <col min="21" max="21" width="15.7109375" style="38" bestFit="1" customWidth="1"/>
    <col min="22" max="22" width="16.5703125" style="38" bestFit="1" customWidth="1"/>
    <col min="23" max="23" width="15.42578125" style="38" customWidth="1"/>
    <col min="24" max="24" width="16.5703125" style="38" bestFit="1" customWidth="1"/>
    <col min="25" max="25" width="15" style="38" bestFit="1" customWidth="1"/>
    <col min="26" max="26" width="14.7109375" style="38" customWidth="1"/>
    <col min="27" max="27" width="15.42578125" style="38" customWidth="1"/>
    <col min="28" max="16384" width="8.7109375" style="38"/>
  </cols>
  <sheetData>
    <row r="1" spans="2:25"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2:25" ht="15.75" x14ac:dyDescent="0.25">
      <c r="B2" s="112"/>
      <c r="C2" s="513" t="s">
        <v>377</v>
      </c>
      <c r="D2" s="513"/>
      <c r="E2" s="112"/>
      <c r="F2" s="112"/>
      <c r="G2" s="112"/>
      <c r="H2" s="112"/>
      <c r="I2" s="112"/>
      <c r="J2" s="112"/>
      <c r="K2" s="112"/>
      <c r="L2" s="112"/>
      <c r="M2" s="112"/>
      <c r="N2" s="112"/>
      <c r="O2" s="112"/>
      <c r="P2" s="112"/>
      <c r="Q2" s="112"/>
      <c r="R2" s="112"/>
      <c r="S2" s="112"/>
      <c r="T2" s="112"/>
      <c r="U2" s="112"/>
      <c r="V2" s="112"/>
    </row>
    <row r="3" spans="2:25" x14ac:dyDescent="0.25">
      <c r="B3" s="4"/>
      <c r="C3" s="114" t="s">
        <v>378</v>
      </c>
      <c r="D3" s="114" t="s">
        <v>379</v>
      </c>
      <c r="J3" s="132"/>
      <c r="P3" s="89"/>
      <c r="Q3" s="89"/>
      <c r="R3" s="89"/>
      <c r="S3" s="89"/>
      <c r="T3" s="89"/>
      <c r="U3" s="89"/>
      <c r="V3" s="89"/>
    </row>
    <row r="4" spans="2:25" ht="15.75" x14ac:dyDescent="0.25">
      <c r="B4" s="67" t="s">
        <v>142</v>
      </c>
      <c r="C4" s="120">
        <f>INDEX('Incremental Rev Req'!$S$9:$X$22,MATCH(B4,'Incremental Rev Req'!$S$9:$S$22,0),MATCH(Summary!$D$3,'Incremental Rev Req'!$S$9:$X$9,0))</f>
        <v>5656575.1844340097</v>
      </c>
      <c r="D4" s="120">
        <f>INDEX('Incremental Rev Req'!$S$71:$X$84,MATCH(B4,'Incremental Rev Req'!$S$71:$S$84,0),MATCH(Summary!$D$3,'Incremental Rev Req'!$S$71:$X$71,0))</f>
        <v>5656575.1844340097</v>
      </c>
      <c r="G4" s="512" t="s">
        <v>380</v>
      </c>
      <c r="H4" s="512"/>
      <c r="I4" s="512"/>
      <c r="J4" s="512"/>
      <c r="K4" s="512"/>
      <c r="L4" s="512"/>
      <c r="M4" s="512"/>
      <c r="N4" s="512"/>
      <c r="O4" s="512"/>
      <c r="P4" s="512"/>
      <c r="Q4" s="10"/>
      <c r="R4" s="2"/>
      <c r="S4" s="2"/>
      <c r="T4" s="2"/>
      <c r="U4" s="2"/>
      <c r="V4" s="2"/>
      <c r="W4" s="2"/>
      <c r="X4" s="2"/>
    </row>
    <row r="5" spans="2:25" ht="15.75" x14ac:dyDescent="0.25">
      <c r="B5" s="67" t="s">
        <v>147</v>
      </c>
      <c r="C5" s="5">
        <f>INDEX('Incremental Rev Req'!$S$9:$X$22,MATCH(B5,'Incremental Rev Req'!$S$9:$S$22,0),MATCH(Summary!$D$3,'Incremental Rev Req'!$S$9:$X$9,0))</f>
        <v>10656273.281867869</v>
      </c>
      <c r="D5" s="5">
        <f>INDEX('Incremental Rev Req'!$S$71:$X$84,MATCH(B5,'Incremental Rev Req'!$S$71:$S$84,0),MATCH(Summary!$D$3,'Incremental Rev Req'!$S$71:$X$71,0))</f>
        <v>10660510.281867869</v>
      </c>
      <c r="F5" s="9"/>
      <c r="G5" s="10" t="s">
        <v>142</v>
      </c>
      <c r="H5" s="10" t="s">
        <v>147</v>
      </c>
      <c r="I5" s="10" t="s">
        <v>381</v>
      </c>
      <c r="J5" s="10" t="s">
        <v>382</v>
      </c>
      <c r="K5" s="10" t="s">
        <v>228</v>
      </c>
      <c r="L5" s="10" t="s">
        <v>383</v>
      </c>
      <c r="M5" s="10" t="s">
        <v>384</v>
      </c>
      <c r="N5" s="10" t="s">
        <v>287</v>
      </c>
      <c r="O5" s="94" t="s">
        <v>385</v>
      </c>
      <c r="P5" s="94" t="s">
        <v>386</v>
      </c>
      <c r="Q5" s="94" t="s">
        <v>296</v>
      </c>
      <c r="R5" s="94" t="s">
        <v>387</v>
      </c>
    </row>
    <row r="6" spans="2:25" ht="15.75" x14ac:dyDescent="0.25">
      <c r="B6" s="67" t="s">
        <v>158</v>
      </c>
      <c r="C6" s="5">
        <f>INDEX('Incremental Rev Req'!$S$9:$X$22,MATCH(B6,'Incremental Rev Req'!$S$9:$S$22,0),MATCH(Summary!$D$3,'Incremental Rev Req'!$S$9:$X$9,0))</f>
        <v>2137.996733802267</v>
      </c>
      <c r="D6" s="5">
        <f>INDEX('Incremental Rev Req'!$S$71:$X$84,MATCH(B6,'Incremental Rev Req'!$S$71:$S$84,0),MATCH(Summary!$D$3,'Incremental Rev Req'!$S$71:$X$71,0))</f>
        <v>2137.996733802267</v>
      </c>
      <c r="F6" s="9" t="s">
        <v>64</v>
      </c>
      <c r="G6" s="149">
        <f>VLOOKUP(Summary!$D$3,'SAR and RAR'!$F$37:$R$42,'SAR and RAR'!G$35,TRUE)</f>
        <v>0.4392179092111192</v>
      </c>
      <c r="H6" s="149">
        <f>VLOOKUP(Summary!$D$3,'SAR and RAR'!$F$37:$R$42,'SAR and RAR'!H$35,TRUE)</f>
        <v>0.49349137801998566</v>
      </c>
      <c r="I6" s="149">
        <f>VLOOKUP(Summary!$D$3,'SAR and RAR'!$F$37:$R$42,'SAR and RAR'!I$35,TRUE)</f>
        <v>0.33985821314569858</v>
      </c>
      <c r="J6" s="149">
        <f>VLOOKUP(Summary!$D$3,'SAR and RAR'!$F$37:$R$42,'SAR and RAR'!J$35,TRUE)</f>
        <v>0.4597191715095667</v>
      </c>
      <c r="K6" s="149">
        <f>VLOOKUP(Summary!$D$3,'SAR and RAR'!$F$37:$R$42,'SAR and RAR'!K$35,TRUE)</f>
        <v>0.46036755275429397</v>
      </c>
      <c r="L6" s="149">
        <f>VLOOKUP(Summary!$D$3,'SAR and RAR'!$F$37:$R$42,'SAR and RAR'!L$35,TRUE)</f>
        <v>0.44059506075429322</v>
      </c>
      <c r="M6" s="149">
        <f>VLOOKUP(Summary!$D$3,'SAR and RAR'!$F$37:$R$42,'SAR and RAR'!M$35,TRUE)</f>
        <v>0.47013057583015611</v>
      </c>
      <c r="N6" s="149">
        <f>VLOOKUP(Summary!$D$3,'SAR and RAR'!$F$37:$R$42,'SAR and RAR'!N$35,TRUE)</f>
        <v>0.31182347091966511</v>
      </c>
      <c r="O6" s="149">
        <f>VLOOKUP(Summary!$D$3,'SAR and RAR'!$F$37:$R$42,'SAR and RAR'!O$35,TRUE)</f>
        <v>0.78974502168115579</v>
      </c>
      <c r="P6" s="149">
        <f>VLOOKUP(Summary!$D$3,'SAR and RAR'!$F$37:$R$42,'SAR and RAR'!P$35,TRUE)</f>
        <v>0.26390379068008285</v>
      </c>
      <c r="Q6" s="149">
        <f>VLOOKUP(Summary!$D$3,'SAR and RAR'!$F$37:$R$42,'SAR and RAR'!Q$35,TRUE)</f>
        <v>0.3398582131456987</v>
      </c>
      <c r="R6" s="149">
        <f>VLOOKUP(Summary!$D$3,'SAR and RAR'!$F$37:$R$42,'SAR and RAR'!R$35,TRUE)</f>
        <v>0.36779708140033684</v>
      </c>
    </row>
    <row r="7" spans="2:25" ht="15.75" x14ac:dyDescent="0.25">
      <c r="B7" s="67" t="s">
        <v>157</v>
      </c>
      <c r="C7" s="5">
        <f>INDEX('Incremental Rev Req'!$S$9:$X$22,MATCH(B7,'Incremental Rev Req'!$S$9:$S$22,0),MATCH(Summary!$D$3,'Incremental Rev Req'!$S$9:$X$9,0))</f>
        <v>589425.03217759123</v>
      </c>
      <c r="D7" s="5">
        <f>INDEX('Incremental Rev Req'!$S$71:$X$84,MATCH(B7,'Incremental Rev Req'!$S$71:$S$84,0),MATCH(Summary!$D$3,'Incremental Rev Req'!$S$71:$X$71,0))</f>
        <v>589425.03217759123</v>
      </c>
      <c r="F7" s="9"/>
      <c r="G7" s="12"/>
      <c r="H7" s="12"/>
      <c r="I7" s="12"/>
      <c r="J7" s="12"/>
      <c r="L7" s="12"/>
      <c r="M7" s="12"/>
      <c r="N7" s="12"/>
      <c r="O7" s="12"/>
      <c r="P7" s="12"/>
      <c r="Q7" s="12"/>
      <c r="R7" s="12"/>
    </row>
    <row r="8" spans="2:25" ht="16.350000000000001" customHeight="1" x14ac:dyDescent="0.25">
      <c r="B8" s="67" t="s">
        <v>228</v>
      </c>
      <c r="C8" s="5">
        <f>INDEX('Incremental Rev Req'!$S$9:$X$22,MATCH(B8,'Incremental Rev Req'!$S$9:$S$22,0),MATCH(Summary!$D$3,'Incremental Rev Req'!$S$9:$X$9,0))</f>
        <v>131844.61631190931</v>
      </c>
      <c r="D8" s="5">
        <f>INDEX('Incremental Rev Req'!$S$71:$X$84,MATCH(B8,'Incremental Rev Req'!$S$71:$S$84,0),MATCH(Summary!$D$3,'Incremental Rev Req'!$S$71:$X$71,0))</f>
        <v>131844.61631190931</v>
      </c>
      <c r="F8" s="37"/>
      <c r="G8" s="512" t="s">
        <v>388</v>
      </c>
      <c r="H8" s="512"/>
      <c r="I8" s="512"/>
      <c r="J8" s="512"/>
      <c r="K8" s="512"/>
      <c r="L8" s="512"/>
      <c r="M8" s="512"/>
      <c r="N8" s="512"/>
      <c r="O8" s="512"/>
      <c r="P8" s="512"/>
      <c r="Q8" s="185"/>
      <c r="R8" s="185"/>
      <c r="S8" s="158"/>
      <c r="W8" s="9"/>
      <c r="X8" s="116" t="s">
        <v>378</v>
      </c>
      <c r="Y8" s="116" t="s">
        <v>389</v>
      </c>
    </row>
    <row r="9" spans="2:25" ht="15.75" customHeight="1" x14ac:dyDescent="0.25">
      <c r="B9" s="67" t="s">
        <v>145</v>
      </c>
      <c r="C9" s="5">
        <f>INDEX('Incremental Rev Req'!$S$9:$X$22,MATCH(B9,'Incremental Rev Req'!$S$9:$S$22,0),MATCH(Summary!$D$3,'Incremental Rev Req'!$S$9:$X$9,0))</f>
        <v>514473.18652918475</v>
      </c>
      <c r="D9" s="5">
        <f>INDEX('Incremental Rev Req'!$S$71:$X$84,MATCH(B9,'Incremental Rev Req'!$S$71:$S$84,0),MATCH(Summary!$D$3,'Incremental Rev Req'!$S$71:$X$71,0))</f>
        <v>514473.18652918475</v>
      </c>
      <c r="F9" s="115" t="s">
        <v>378</v>
      </c>
      <c r="G9" s="10" t="s">
        <v>142</v>
      </c>
      <c r="H9" s="10" t="s">
        <v>147</v>
      </c>
      <c r="I9" s="10" t="s">
        <v>381</v>
      </c>
      <c r="J9" s="10" t="s">
        <v>382</v>
      </c>
      <c r="K9" s="10" t="s">
        <v>228</v>
      </c>
      <c r="L9" s="10" t="s">
        <v>383</v>
      </c>
      <c r="M9" s="10" t="s">
        <v>384</v>
      </c>
      <c r="N9" s="10" t="s">
        <v>287</v>
      </c>
      <c r="O9" s="10" t="s">
        <v>385</v>
      </c>
      <c r="P9" s="10" t="s">
        <v>386</v>
      </c>
      <c r="Q9" s="94" t="s">
        <v>296</v>
      </c>
      <c r="R9" s="94" t="s">
        <v>387</v>
      </c>
      <c r="S9" s="10" t="s">
        <v>71</v>
      </c>
      <c r="T9" s="94" t="s">
        <v>390</v>
      </c>
      <c r="U9" s="33"/>
      <c r="W9" s="105" t="s">
        <v>391</v>
      </c>
      <c r="X9" s="213">
        <f>VLOOKUP(Summary!$D$3,$F$58:$Q$63,$Q$35,TRUE)</f>
        <v>0.30361324593050965</v>
      </c>
      <c r="Y9" s="214">
        <f>X9</f>
        <v>0.30361324593050965</v>
      </c>
    </row>
    <row r="10" spans="2:25" ht="15.75" x14ac:dyDescent="0.25">
      <c r="B10" s="67" t="s">
        <v>283</v>
      </c>
      <c r="C10" s="5">
        <f>INDEX('Incremental Rev Req'!$S$9:$X$22,MATCH(B10,'Incremental Rev Req'!$S$9:$S$22,0),MATCH(Summary!$D$3,'Incremental Rev Req'!$S$9:$X$9,0))</f>
        <v>1500981.9850000001</v>
      </c>
      <c r="D10" s="5">
        <f>INDEX('Incremental Rev Req'!$S$71:$X$84,MATCH(B10,'Incremental Rev Req'!$S$71:$S$84,0),MATCH(Summary!$D$3,'Incremental Rev Req'!$S$71:$X$71,0))</f>
        <v>1500981.9850000001</v>
      </c>
      <c r="F10" s="9" t="s">
        <v>64</v>
      </c>
      <c r="G10" s="72">
        <f>G6*G11</f>
        <v>2484469.1258026068</v>
      </c>
      <c r="H10" s="72">
        <f>H6*H11</f>
        <v>5258778.9864265295</v>
      </c>
      <c r="I10" s="72">
        <f>I6*I11</f>
        <v>726.61574966137823</v>
      </c>
      <c r="J10" s="72">
        <f>J6*J11</f>
        <v>270969.98745968193</v>
      </c>
      <c r="K10" s="72">
        <f t="shared" ref="K10:Q10" si="0">K6*K11</f>
        <v>60696.983355342556</v>
      </c>
      <c r="L10" s="72">
        <f t="shared" si="0"/>
        <v>226674.34487528098</v>
      </c>
      <c r="M10" s="72">
        <f t="shared" si="0"/>
        <v>705657.52491874073</v>
      </c>
      <c r="N10" s="72">
        <f t="shared" si="0"/>
        <v>-12303.000246350868</v>
      </c>
      <c r="O10" s="72">
        <f t="shared" si="0"/>
        <v>-350077.38346580107</v>
      </c>
      <c r="P10" s="72">
        <f t="shared" si="0"/>
        <v>112521.75389028479</v>
      </c>
      <c r="Q10" s="72">
        <f t="shared" si="0"/>
        <v>27340.000003282286</v>
      </c>
      <c r="R10" s="72">
        <f>R6*R11</f>
        <v>131846.55086748066</v>
      </c>
      <c r="S10" s="72">
        <f>SUM(G10:R10)</f>
        <v>8917301.4896367416</v>
      </c>
      <c r="T10" s="72">
        <f>-X11+X14</f>
        <v>-707819.21834831405</v>
      </c>
      <c r="U10" s="188"/>
      <c r="W10" s="105" t="s">
        <v>392</v>
      </c>
      <c r="X10" s="213">
        <v>0.32500000000000001</v>
      </c>
      <c r="Y10" s="214">
        <f>X10</f>
        <v>0.32500000000000001</v>
      </c>
    </row>
    <row r="11" spans="2:25" ht="15.75" x14ac:dyDescent="0.25">
      <c r="B11" s="67" t="s">
        <v>287</v>
      </c>
      <c r="C11" s="5">
        <f>INDEX('Incremental Rev Req'!$S$9:$X$22,MATCH(B11,'Incremental Rev Req'!$S$9:$S$22,0),MATCH(Summary!$D$3,'Incremental Rev Req'!$S$9:$X$9,0))</f>
        <v>-39455.016679999957</v>
      </c>
      <c r="D11" s="5">
        <f>INDEX('Incremental Rev Req'!$S$71:$X$84,MATCH(B11,'Incremental Rev Req'!$S$71:$S$84,0),MATCH(Summary!$D$3,'Incremental Rev Req'!$S$71:$X$71,0))</f>
        <v>-39455.016679999957</v>
      </c>
      <c r="F11" s="9" t="s">
        <v>393</v>
      </c>
      <c r="G11" s="73">
        <f>C4</f>
        <v>5656575.1844340097</v>
      </c>
      <c r="H11" s="73">
        <f>C5</f>
        <v>10656273.281867869</v>
      </c>
      <c r="I11" s="73">
        <f>C6</f>
        <v>2137.996733802267</v>
      </c>
      <c r="J11" s="73">
        <f>C7</f>
        <v>589425.03217759123</v>
      </c>
      <c r="K11" s="73">
        <f>C8</f>
        <v>131844.61631190931</v>
      </c>
      <c r="L11" s="73">
        <f>C9</f>
        <v>514473.18652918475</v>
      </c>
      <c r="M11" s="73">
        <f>C10</f>
        <v>1500981.9850000001</v>
      </c>
      <c r="N11" s="73">
        <f>C11</f>
        <v>-39455.016679999957</v>
      </c>
      <c r="O11" s="73">
        <f>C12</f>
        <v>-443279</v>
      </c>
      <c r="P11" s="73">
        <f>C14</f>
        <v>426374.14794351778</v>
      </c>
      <c r="Q11" s="73">
        <f>C15</f>
        <v>80445.31203240779</v>
      </c>
      <c r="R11" s="73">
        <f>C16</f>
        <v>358476.33799999999</v>
      </c>
      <c r="S11" s="72">
        <f>SUM(G11:R11)</f>
        <v>19434273.064350292</v>
      </c>
      <c r="T11" s="72">
        <v>0</v>
      </c>
      <c r="W11" s="105" t="s">
        <v>394</v>
      </c>
      <c r="X11" s="73">
        <f>SUM(G10*G19/K71*O71,H10:N10,Q10)*X9*X10</f>
        <v>963629.04761817271</v>
      </c>
      <c r="Y11" s="73">
        <f>SUM(G13*G19/K71*O71,H13:N13,Q13)*Y9*Y10</f>
        <v>963835.36798876303</v>
      </c>
    </row>
    <row r="12" spans="2:25" ht="15.75" x14ac:dyDescent="0.25">
      <c r="B12" s="67" t="s">
        <v>173</v>
      </c>
      <c r="C12" s="5">
        <f>INDEX('Incremental Rev Req'!$S$9:$X$22,MATCH(B12,'Incremental Rev Req'!$S$9:$S$22,0),MATCH(Summary!$D$3,'Incremental Rev Req'!$S$9:$X$9,0))</f>
        <v>-443279</v>
      </c>
      <c r="D12" s="5">
        <f>INDEX('Incremental Rev Req'!$S$71:$X$84,MATCH(B12,'Incremental Rev Req'!$S$71:$S$84,0),MATCH(Summary!$D$3,'Incremental Rev Req'!$S$71:$X$71,0))</f>
        <v>-443279</v>
      </c>
      <c r="F12" s="115" t="s">
        <v>389</v>
      </c>
      <c r="W12" s="105" t="s">
        <v>395</v>
      </c>
      <c r="X12" s="73">
        <f>VLOOKUP(Summary!$D$3,'SAR and RAR'!$F$58:$G$63,2,TRUE)</f>
        <v>19039213.856099002</v>
      </c>
      <c r="Y12" s="73">
        <f>X12</f>
        <v>19039213.856099002</v>
      </c>
    </row>
    <row r="13" spans="2:25" ht="15.75" customHeight="1" x14ac:dyDescent="0.25">
      <c r="B13" s="43" t="s">
        <v>156</v>
      </c>
      <c r="C13" s="5">
        <f>INDEX('Incremental Rev Req'!$S$9:$X$22,MATCH(B13,'Incremental Rev Req'!$S$9:$S$22,0),MATCH(Summary!$D$3,'Incremental Rev Req'!$S$9:$X$9,0))</f>
        <v>6677.0315948793686</v>
      </c>
      <c r="D13" s="5">
        <f>INDEX('Incremental Rev Req'!$S$71:$X$84,MATCH(B13,'Incremental Rev Req'!$S$71:$S$84,0),MATCH(Summary!$D$3,'Incremental Rev Req'!$S$71:$X$71,0))</f>
        <v>6677.0315948793686</v>
      </c>
      <c r="F13" s="9" t="s">
        <v>64</v>
      </c>
      <c r="G13" s="72">
        <f>G6*G14</f>
        <v>2484469.1258026068</v>
      </c>
      <c r="H13" s="72">
        <f>H6*H14</f>
        <v>5260869.9093952002</v>
      </c>
      <c r="I13" s="72">
        <f>I6*I14</f>
        <v>726.61574966137823</v>
      </c>
      <c r="J13" s="72">
        <f>J6*J14</f>
        <v>270969.98745968193</v>
      </c>
      <c r="K13" s="72">
        <f t="shared" ref="K13:P13" si="1">K6*K14</f>
        <v>60696.983355342556</v>
      </c>
      <c r="L13" s="72">
        <f t="shared" si="1"/>
        <v>226674.34487528098</v>
      </c>
      <c r="M13" s="72">
        <f t="shared" si="1"/>
        <v>705657.52491874073</v>
      </c>
      <c r="N13" s="72">
        <f t="shared" si="1"/>
        <v>-12303.000246350868</v>
      </c>
      <c r="O13" s="72">
        <f t="shared" si="1"/>
        <v>-350077.38346580107</v>
      </c>
      <c r="P13" s="72">
        <f t="shared" si="1"/>
        <v>112521.75389028479</v>
      </c>
      <c r="Q13" s="72">
        <f t="shared" ref="Q13" si="2">Q6*Q14</f>
        <v>27340.000003282286</v>
      </c>
      <c r="R13" s="72">
        <f>R6*R14</f>
        <v>131846.55086748066</v>
      </c>
      <c r="S13" s="72">
        <f>SUM(G13:R13)</f>
        <v>8919392.4126054123</v>
      </c>
      <c r="T13" s="72">
        <f>-Y11+Y14</f>
        <v>-707970.76787227404</v>
      </c>
      <c r="W13" s="105" t="s">
        <v>396</v>
      </c>
      <c r="X13" s="73">
        <f>VLOOKUP(Summary!$D$3,'SAR and RAR'!$F$64:$G$69,2,TRUE)</f>
        <v>71720228.921294004</v>
      </c>
      <c r="Y13" s="73">
        <f>X13</f>
        <v>71720228.921294004</v>
      </c>
    </row>
    <row r="14" spans="2:25" ht="15.75" customHeight="1" x14ac:dyDescent="0.25">
      <c r="B14" s="67" t="s">
        <v>277</v>
      </c>
      <c r="C14" s="5">
        <f>INDEX('Incremental Rev Req'!$S$9:$X$22,MATCH(B14,'Incremental Rev Req'!$S$9:$S$22,0),MATCH(Summary!$D$3,'Incremental Rev Req'!$S$9:$X$9,0))</f>
        <v>426374.14794351778</v>
      </c>
      <c r="D14" s="5">
        <f>INDEX('Incremental Rev Req'!$S$71:$X$84,MATCH(B14,'Incremental Rev Req'!$S$71:$S$84,0),MATCH(Summary!$D$3,'Incremental Rev Req'!$S$71:$X$71,0))</f>
        <v>426374.14794351778</v>
      </c>
      <c r="F14" s="9" t="s">
        <v>393</v>
      </c>
      <c r="G14" s="73">
        <f>D4</f>
        <v>5656575.1844340097</v>
      </c>
      <c r="H14" s="73">
        <f>D5</f>
        <v>10660510.281867869</v>
      </c>
      <c r="I14" s="73">
        <f>D6</f>
        <v>2137.996733802267</v>
      </c>
      <c r="J14" s="73">
        <f>D7</f>
        <v>589425.03217759123</v>
      </c>
      <c r="K14" s="73">
        <f>D8</f>
        <v>131844.61631190931</v>
      </c>
      <c r="L14" s="73">
        <f>D9</f>
        <v>514473.18652918475</v>
      </c>
      <c r="M14" s="73">
        <f>D10</f>
        <v>1500981.9850000001</v>
      </c>
      <c r="N14" s="73">
        <f>D11</f>
        <v>-39455.016679999957</v>
      </c>
      <c r="O14" s="73">
        <f>D12</f>
        <v>-443279</v>
      </c>
      <c r="P14" s="73">
        <f>D14</f>
        <v>426374.14794351778</v>
      </c>
      <c r="Q14" s="73">
        <f>D15</f>
        <v>80445.31203240779</v>
      </c>
      <c r="R14" s="73">
        <f>D16</f>
        <v>358476.33799999999</v>
      </c>
      <c r="S14" s="73">
        <f>SUM(G14:R14)</f>
        <v>19438510.064350292</v>
      </c>
      <c r="T14" s="72">
        <v>0</v>
      </c>
      <c r="W14" s="105" t="s">
        <v>397</v>
      </c>
      <c r="X14" s="73">
        <f>X11*X12/X13</f>
        <v>255809.82926985866</v>
      </c>
      <c r="Y14" s="73">
        <f>Y11*Y12/Y13</f>
        <v>255864.60011648896</v>
      </c>
    </row>
    <row r="15" spans="2:25" x14ac:dyDescent="0.25">
      <c r="B15" s="67" t="s">
        <v>296</v>
      </c>
      <c r="C15" s="5">
        <f>INDEX('Incremental Rev Req'!$S$9:$X$22,MATCH(B15,'Incremental Rev Req'!$S$9:$S$22,0),MATCH(Summary!$D$3,'Incremental Rev Req'!$S$9:$X$9,0))</f>
        <v>80445.31203240779</v>
      </c>
      <c r="D15" s="5">
        <f>INDEX('Incremental Rev Req'!$S$71:$X$84,MATCH(B15,'Incremental Rev Req'!$S$71:$S$84,0),MATCH(Summary!$D$3,'Incremental Rev Req'!$S$71:$X$71,0))</f>
        <v>80445.31203240779</v>
      </c>
      <c r="F15" s="7"/>
      <c r="G15" s="6"/>
      <c r="H15" s="6"/>
      <c r="I15" s="6"/>
      <c r="J15" s="37"/>
      <c r="W15" s="43" t="s">
        <v>398</v>
      </c>
      <c r="X15" s="274">
        <v>0.75523257159718327</v>
      </c>
      <c r="Y15" s="170">
        <f>X15</f>
        <v>0.75523257159718327</v>
      </c>
    </row>
    <row r="16" spans="2:25" ht="15.75" x14ac:dyDescent="0.25">
      <c r="B16" s="67" t="s">
        <v>387</v>
      </c>
      <c r="C16" s="65">
        <f>INDEX('Incremental Rev Req'!$S$9:$X$22,MATCH(B16,'Incremental Rev Req'!$S$9:$S$22,0),MATCH(Summary!$D$3,'Incremental Rev Req'!$S$9:$X$9,0))</f>
        <v>358476.33799999999</v>
      </c>
      <c r="D16" s="65">
        <f>INDEX('Incremental Rev Req'!$S$71:$X$84,MATCH(B16,'Incremental Rev Req'!$S$71:$S$84,0),MATCH(Summary!$D$3,'Incremental Rev Req'!$S$71:$X$71,0))</f>
        <v>358476.33799999999</v>
      </c>
      <c r="S16" s="143" t="s">
        <v>378</v>
      </c>
      <c r="T16" s="116" t="s">
        <v>389</v>
      </c>
      <c r="U16" s="115"/>
      <c r="W16" s="43" t="s">
        <v>399</v>
      </c>
      <c r="X16" s="274">
        <v>0.6235254349928121</v>
      </c>
      <c r="Y16" s="170">
        <f>X16</f>
        <v>0.6235254349928121</v>
      </c>
    </row>
    <row r="17" spans="2:29" ht="15.75" x14ac:dyDescent="0.25">
      <c r="B17" s="67" t="s">
        <v>71</v>
      </c>
      <c r="C17" s="66">
        <f>SUM(C4:C16)</f>
        <v>19440950.095945172</v>
      </c>
      <c r="D17" s="66">
        <f>SUM(D4:D16)</f>
        <v>19445187.095945172</v>
      </c>
      <c r="F17" s="37"/>
      <c r="G17" s="514" t="s">
        <v>400</v>
      </c>
      <c r="H17" s="514"/>
      <c r="I17" s="514"/>
      <c r="J17" s="514"/>
      <c r="K17" s="514"/>
      <c r="L17" s="514"/>
      <c r="M17" s="514"/>
      <c r="N17" s="514"/>
      <c r="O17" s="514"/>
      <c r="P17" s="514"/>
      <c r="Q17" s="186"/>
      <c r="R17" s="186"/>
      <c r="S17" s="515" t="s">
        <v>401</v>
      </c>
      <c r="T17" s="514"/>
      <c r="U17" s="9"/>
      <c r="W17" s="43" t="s">
        <v>402</v>
      </c>
      <c r="X17" s="103">
        <f>SUM(-X11*X15)+SUM(X11*X16)</f>
        <v>-126916.82261058677</v>
      </c>
      <c r="Y17" s="103">
        <f>SUM(-Y11*Y15)+SUM(Y11*Y16)</f>
        <v>-126943.99647582043</v>
      </c>
      <c r="Z17" s="116"/>
    </row>
    <row r="18" spans="2:29" ht="15.75" x14ac:dyDescent="0.25">
      <c r="B18" s="11"/>
      <c r="C18" s="5"/>
      <c r="E18" s="37"/>
      <c r="G18" s="94" t="s">
        <v>142</v>
      </c>
      <c r="H18" s="10" t="s">
        <v>147</v>
      </c>
      <c r="I18" s="10" t="s">
        <v>381</v>
      </c>
      <c r="J18" s="10" t="s">
        <v>382</v>
      </c>
      <c r="K18" s="10" t="s">
        <v>228</v>
      </c>
      <c r="L18" s="10" t="s">
        <v>383</v>
      </c>
      <c r="M18" s="10" t="s">
        <v>384</v>
      </c>
      <c r="N18" s="10" t="s">
        <v>287</v>
      </c>
      <c r="O18" s="10" t="s">
        <v>385</v>
      </c>
      <c r="P18" s="10" t="s">
        <v>386</v>
      </c>
      <c r="Q18" s="94" t="s">
        <v>296</v>
      </c>
      <c r="R18" s="94" t="s">
        <v>387</v>
      </c>
      <c r="S18" s="106" t="s">
        <v>71</v>
      </c>
      <c r="T18" s="144" t="s">
        <v>71</v>
      </c>
      <c r="U18" s="33"/>
      <c r="X18" s="145"/>
      <c r="Y18" s="134"/>
      <c r="Z18" s="134"/>
    </row>
    <row r="19" spans="2:29" ht="15.75" x14ac:dyDescent="0.25">
      <c r="B19" s="11"/>
      <c r="C19" s="5"/>
      <c r="F19" s="9" t="s">
        <v>64</v>
      </c>
      <c r="G19" s="159">
        <f>VLOOKUP(Summary!$D$3,'SAR and RAR'!$F$44:$R$49,'SAR and RAR'!G$35,TRUE)</f>
        <v>0.92931330893271435</v>
      </c>
      <c r="H19" s="159">
        <f>VLOOKUP(Summary!$D$3,'SAR and RAR'!$F$44:$R$49,'SAR and RAR'!H$35,TRUE)</f>
        <v>0.70339959493398363</v>
      </c>
      <c r="I19" s="159">
        <f>VLOOKUP(Summary!$D$3,'SAR and RAR'!$F$44:$R$49,'SAR and RAR'!I$35,TRUE)</f>
        <v>0.71543158412674246</v>
      </c>
      <c r="J19" s="159">
        <f>VLOOKUP(Summary!$D$3,'SAR and RAR'!$F$44:$R$49,'SAR and RAR'!J$35,TRUE)</f>
        <v>0.70415704076223773</v>
      </c>
      <c r="K19" s="159">
        <f>VLOOKUP(Summary!$D$3,'SAR and RAR'!$F$44:$R$49,'SAR and RAR'!K$35,TRUE)</f>
        <v>0.71543158412674235</v>
      </c>
      <c r="L19" s="159">
        <f>VLOOKUP(Summary!$D$3,'SAR and RAR'!$F$44:$R$49,'SAR and RAR'!L$35,TRUE)</f>
        <v>0.71543158412674235</v>
      </c>
      <c r="M19" s="159">
        <f>VLOOKUP(Summary!$D$3,'SAR and RAR'!$F$44:$R$49,'SAR and RAR'!M$35,TRUE)</f>
        <v>0.71543158412674246</v>
      </c>
      <c r="N19" s="159">
        <f>VLOOKUP(Summary!$D$3,'SAR and RAR'!$F$44:$R$49,'SAR and RAR'!N$35,TRUE)</f>
        <v>0.71543158412674235</v>
      </c>
      <c r="O19" s="159">
        <f>VLOOKUP(Summary!$D$3,'SAR and RAR'!$F$44:$R$49,'SAR and RAR'!O$35,TRUE)</f>
        <v>0.7043649741929412</v>
      </c>
      <c r="P19" s="159">
        <f>VLOOKUP(Summary!$D$3,'SAR and RAR'!$F$44:$R$49,'SAR and RAR'!P$35,TRUE)</f>
        <v>0.69700272675953612</v>
      </c>
      <c r="Q19" s="159">
        <f>VLOOKUP(Summary!$D$3,'SAR and RAR'!$F$44:$R$49,'SAR and RAR'!Q$35,TRUE)</f>
        <v>0.71543158412674246</v>
      </c>
      <c r="R19" s="159">
        <f>VLOOKUP(Summary!$D$3,'SAR and RAR'!$F$44:$R$49,'SAR and RAR'!R$35,TRUE)</f>
        <v>0.69700272675953623</v>
      </c>
      <c r="S19" s="275">
        <f>SUMPRODUCT(G10:R10,G19:R19)+T10*X15</f>
        <v>6309575.6506314464</v>
      </c>
      <c r="T19" s="276">
        <f>SUMPRODUCT(G13:R13,G19:R19)+T13*Y15</f>
        <v>6310931.9498639433</v>
      </c>
      <c r="U19" s="108"/>
      <c r="X19" s="145"/>
      <c r="Y19" s="134"/>
      <c r="Z19" s="134"/>
      <c r="AA19" s="103"/>
    </row>
    <row r="20" spans="2:29" ht="15.75" x14ac:dyDescent="0.25">
      <c r="B20" s="11"/>
      <c r="C20" s="11"/>
      <c r="D20" s="9"/>
      <c r="F20" s="9" t="s">
        <v>393</v>
      </c>
      <c r="G20" s="159">
        <f>VLOOKUP(Summary!$D$3,'SAR and RAR'!$F$50:$R$55,'SAR and RAR'!G$35,TRUE)</f>
        <v>0.92577705930122733</v>
      </c>
      <c r="H20" s="159">
        <f>VLOOKUP(Summary!$D$3,'SAR and RAR'!$F$50:$R$55,'SAR and RAR'!H$35,TRUE)</f>
        <v>0.6582513662307431</v>
      </c>
      <c r="I20" s="159">
        <f>VLOOKUP(Summary!$D$3,'SAR and RAR'!$F$50:$R$55,'SAR and RAR'!I$35,TRUE)</f>
        <v>0.63884781761044163</v>
      </c>
      <c r="J20" s="159">
        <f>VLOOKUP(Summary!$D$3,'SAR and RAR'!$F$50:$R$55,'SAR and RAR'!J$35,TRUE)</f>
        <v>0.64896038306051473</v>
      </c>
      <c r="K20" s="159">
        <f>VLOOKUP(Summary!$D$3,'SAR and RAR'!$F$50:$R$55,'SAR and RAR'!K$35,TRUE)</f>
        <v>0.65202373338515018</v>
      </c>
      <c r="L20" s="159">
        <f>VLOOKUP(Summary!$D$3,'SAR and RAR'!$F$50:$R$55,'SAR and RAR'!L$35,TRUE)</f>
        <v>0.64852684011010642</v>
      </c>
      <c r="M20" s="159">
        <f>VLOOKUP(Summary!$D$3,'SAR and RAR'!$F$50:$R$55,'SAR and RAR'!M$35,TRUE)</f>
        <v>0.6706488897125521</v>
      </c>
      <c r="N20" s="159">
        <f>VLOOKUP(Summary!$D$3,'SAR and RAR'!$F$50:$R$55,'SAR and RAR'!N$35,TRUE)</f>
        <v>0.63598061936817685</v>
      </c>
      <c r="O20" s="159">
        <f>VLOOKUP(Summary!$D$3,'SAR and RAR'!$F$50:$R$55,'SAR and RAR'!O$35,TRUE)</f>
        <v>0.68066315360358887</v>
      </c>
      <c r="P20" s="159">
        <f>VLOOKUP(Summary!$D$3,'SAR and RAR'!$F$50:$R$55,'SAR and RAR'!P$35,TRUE)</f>
        <v>0.62517281715196638</v>
      </c>
      <c r="Q20" s="159">
        <f>VLOOKUP(Summary!$D$3,'SAR and RAR'!$F$50:$R$55,'SAR and RAR'!Q$35,TRUE)</f>
        <v>0.63884781761044174</v>
      </c>
      <c r="R20" s="159">
        <f>VLOOKUP(Summary!$D$3,'SAR and RAR'!$F$50:$R$55,'SAR and RAR'!R$35,TRUE)</f>
        <v>0.63537665490889106</v>
      </c>
      <c r="S20" s="107">
        <f>SUMPRODUCT(G11:R11,G20:R20)+X17</f>
        <v>14153344.931688327</v>
      </c>
      <c r="T20" s="108">
        <f>SUMPRODUCT(G14:R14,G20:R20)+Y17</f>
        <v>14156106.768861815</v>
      </c>
      <c r="U20" s="108"/>
      <c r="X20" s="145"/>
      <c r="Y20" s="73"/>
      <c r="Z20" s="73"/>
      <c r="AA20" s="103"/>
    </row>
    <row r="21" spans="2:29" ht="15.75" x14ac:dyDescent="0.25">
      <c r="B21" s="11"/>
      <c r="C21" s="11"/>
      <c r="D21" s="9"/>
      <c r="G21" s="103"/>
      <c r="H21" s="103"/>
      <c r="I21" s="103"/>
      <c r="J21" s="103"/>
      <c r="L21" s="103"/>
      <c r="M21" s="103"/>
      <c r="N21" s="103"/>
      <c r="O21" s="103"/>
      <c r="P21" s="103"/>
      <c r="Q21" s="103"/>
      <c r="R21" s="103"/>
      <c r="T21" s="9"/>
      <c r="X21" s="145"/>
      <c r="Y21" s="138"/>
      <c r="Z21" s="73"/>
      <c r="AA21" s="9"/>
    </row>
    <row r="22" spans="2:29" ht="15.75" x14ac:dyDescent="0.25">
      <c r="B22" s="11"/>
      <c r="C22" s="11"/>
      <c r="D22" s="9"/>
      <c r="F22" s="2"/>
      <c r="G22" s="188"/>
      <c r="H22" s="188"/>
      <c r="I22" s="188"/>
      <c r="J22" s="188"/>
      <c r="K22" s="188"/>
      <c r="L22" s="188"/>
      <c r="M22" s="188"/>
      <c r="N22" s="188"/>
      <c r="O22" s="188"/>
      <c r="P22" s="188"/>
      <c r="Q22" s="43" t="s">
        <v>403</v>
      </c>
      <c r="S22" s="108">
        <f>O10*O19</f>
        <v>-246582.24717042135</v>
      </c>
      <c r="T22" s="108">
        <f>O13*O19</f>
        <v>-246582.24717042135</v>
      </c>
      <c r="X22" s="145"/>
      <c r="Y22" s="138"/>
      <c r="Z22" s="73"/>
    </row>
    <row r="23" spans="2:29" ht="15.75" x14ac:dyDescent="0.25">
      <c r="B23" s="11"/>
      <c r="C23" s="11"/>
      <c r="D23" s="9"/>
      <c r="E23" s="9"/>
      <c r="F23" s="9"/>
      <c r="G23" s="11"/>
      <c r="H23" s="11"/>
      <c r="I23" s="11"/>
      <c r="J23" s="11"/>
      <c r="K23" s="11"/>
      <c r="L23" s="11"/>
      <c r="M23" s="11"/>
      <c r="N23" s="11"/>
      <c r="O23" s="11"/>
      <c r="P23" s="11"/>
      <c r="Q23" s="11" t="s">
        <v>404</v>
      </c>
      <c r="S23" s="108">
        <f>O11*O20</f>
        <v>-301723.6820662453</v>
      </c>
      <c r="T23" s="108">
        <f>O14*O20</f>
        <v>-301723.6820662453</v>
      </c>
      <c r="U23" s="9"/>
      <c r="W23" s="145"/>
      <c r="X23" s="73"/>
      <c r="Y23" s="73"/>
      <c r="Z23" s="103"/>
    </row>
    <row r="24" spans="2:29" ht="15.75" x14ac:dyDescent="0.25">
      <c r="B24" s="11"/>
      <c r="C24" s="11"/>
      <c r="E24" s="33"/>
      <c r="F24" s="33"/>
      <c r="G24" s="11"/>
      <c r="H24" s="11"/>
      <c r="I24" s="11"/>
      <c r="J24" s="11"/>
      <c r="K24" s="11"/>
      <c r="L24" s="11"/>
      <c r="M24" s="11"/>
      <c r="N24" s="11"/>
      <c r="O24" s="11"/>
      <c r="P24" s="11"/>
      <c r="Q24" s="11"/>
      <c r="R24" s="32"/>
      <c r="S24" s="32"/>
      <c r="T24" s="90"/>
      <c r="U24" s="90"/>
      <c r="V24" s="413"/>
      <c r="X24" s="9"/>
    </row>
    <row r="25" spans="2:29" ht="15.75" x14ac:dyDescent="0.25">
      <c r="B25" s="11"/>
      <c r="C25" s="11"/>
      <c r="E25" s="33"/>
      <c r="F25" s="33"/>
      <c r="G25" s="33"/>
      <c r="H25" s="33"/>
      <c r="I25" s="33"/>
      <c r="J25" s="33"/>
      <c r="K25" s="33"/>
      <c r="L25" s="33"/>
      <c r="M25" s="33"/>
      <c r="N25" s="33"/>
      <c r="O25" s="33"/>
      <c r="P25" s="33"/>
      <c r="Q25" s="33"/>
      <c r="R25" s="113"/>
      <c r="S25" s="91"/>
      <c r="T25" s="91"/>
      <c r="U25" s="91"/>
      <c r="W25" s="9"/>
      <c r="X25" s="11"/>
    </row>
    <row r="26" spans="2:29" ht="15.75" x14ac:dyDescent="0.25">
      <c r="B26" s="11"/>
      <c r="C26" s="11"/>
      <c r="E26" s="9"/>
      <c r="F26" s="507" t="s">
        <v>405</v>
      </c>
      <c r="G26" s="508"/>
      <c r="H26" s="508"/>
      <c r="I26" s="508"/>
      <c r="J26" s="508"/>
      <c r="K26" s="509"/>
      <c r="M26" s="9"/>
      <c r="N26" s="510" t="s">
        <v>406</v>
      </c>
      <c r="O26" s="510"/>
      <c r="P26" s="510"/>
      <c r="Q26" s="510"/>
      <c r="R26" s="510"/>
      <c r="S26" s="510"/>
      <c r="T26" s="9"/>
      <c r="U26" s="92"/>
      <c r="V26" s="117" t="s">
        <v>407</v>
      </c>
      <c r="Y26" s="9"/>
      <c r="Z26" s="9"/>
    </row>
    <row r="27" spans="2:29" ht="47.25" x14ac:dyDescent="0.25">
      <c r="B27" s="11"/>
      <c r="C27" s="11"/>
      <c r="D27" s="11"/>
      <c r="E27" s="9"/>
      <c r="F27" s="10" t="str">
        <f>Summary!D3&amp;" Sales"</f>
        <v>2026 Sales</v>
      </c>
      <c r="G27" s="10" t="str">
        <f>'SAR and AR (GS1)'!$G$27</f>
        <v>6/1/2026 Avg Rates</v>
      </c>
      <c r="H27" s="10" t="s">
        <v>408</v>
      </c>
      <c r="I27" s="10" t="s">
        <v>409</v>
      </c>
      <c r="J27" s="10" t="s">
        <v>410</v>
      </c>
      <c r="K27" s="10" t="s">
        <v>411</v>
      </c>
      <c r="M27" s="9"/>
      <c r="N27" s="10" t="str">
        <f>Summary!N4&amp;" Sales"</f>
        <v>2026 Sales</v>
      </c>
      <c r="O27" s="10" t="str">
        <f>G27</f>
        <v>6/1/2026 Avg Rates</v>
      </c>
      <c r="P27" s="10" t="s">
        <v>408</v>
      </c>
      <c r="Q27" s="10" t="s">
        <v>409</v>
      </c>
      <c r="R27" s="10" t="s">
        <v>410</v>
      </c>
      <c r="S27" s="10" t="s">
        <v>411</v>
      </c>
      <c r="U27" s="92"/>
      <c r="V27" s="281"/>
      <c r="W27" s="282" t="s">
        <v>412</v>
      </c>
      <c r="X27" s="282" t="s">
        <v>413</v>
      </c>
      <c r="Y27" s="281"/>
      <c r="Z27" s="282" t="s">
        <v>414</v>
      </c>
      <c r="AA27" s="282" t="s">
        <v>415</v>
      </c>
    </row>
    <row r="28" spans="2:29" ht="15.75" x14ac:dyDescent="0.25">
      <c r="B28" s="11"/>
      <c r="C28" s="11"/>
      <c r="D28" s="9"/>
      <c r="E28" s="13" t="s">
        <v>64</v>
      </c>
      <c r="F28" s="72">
        <f>VLOOKUP(Summary!$D$3,'SAR and RAR'!$J$58:$K$63,2,TRUE)</f>
        <v>19559899.509799</v>
      </c>
      <c r="G28" s="146">
        <f>IF(Summary!$J$3="Y",W32,X32)</f>
        <v>33.160020131115076</v>
      </c>
      <c r="H28" s="137">
        <f>IF(Summary!$J$3="Y",S19/$F$28*100,SUM(S19-'SAR and RAR'!S22)/$F$28*100)</f>
        <v>32.257709951273078</v>
      </c>
      <c r="I28" s="137">
        <f>IF(Summary!$J$3="Y",T19/$F$28*100,SUM(T19-'SAR and RAR'!T22)/$F$28*100)</f>
        <v>32.264644032053084</v>
      </c>
      <c r="J28" s="15">
        <f>H28/G28-1</f>
        <v>-2.721078504398533E-2</v>
      </c>
      <c r="K28" s="15">
        <f>I28/G28-1</f>
        <v>-2.7001675376603029E-2</v>
      </c>
      <c r="M28" s="13" t="s">
        <v>64</v>
      </c>
      <c r="N28" s="72">
        <f>VLOOKUP(Summary!$D$3,'SAR and RAR'!$N$58:$O$63,2,TRUE)</f>
        <v>27339999.999769002</v>
      </c>
      <c r="O28" s="146">
        <f>IF(Summary!$J$3="Y",Z32,AA32)</f>
        <v>30.767019365343749</v>
      </c>
      <c r="P28" s="137">
        <f>IF(Summary!$J$3="Y",SUM(S10:T10)/N28*100,SUM(S10,T10,-O10)/N28*100)</f>
        <v>30.027367488506911</v>
      </c>
      <c r="Q28" s="137">
        <f>IF(Summary!$J$3="Y",SUM(S13:T13)/N28*100,SUM(S13,T13,-O13)/N28*100)</f>
        <v>30.034461027075775</v>
      </c>
      <c r="R28" s="15">
        <f>P28/O28-1</f>
        <v>-2.4040413796794002E-2</v>
      </c>
      <c r="S28" s="15">
        <f>Q28/O28-1</f>
        <v>-2.3809857223060615E-2</v>
      </c>
      <c r="U28" s="92"/>
      <c r="V28" s="283" t="s">
        <v>64</v>
      </c>
      <c r="W28" s="284">
        <v>33.190146727107717</v>
      </c>
      <c r="X28" s="284">
        <v>34.450798387306023</v>
      </c>
      <c r="Y28" s="280" t="s">
        <v>416</v>
      </c>
      <c r="Z28" s="284">
        <v>30.775644761399516</v>
      </c>
      <c r="AA28" s="284">
        <v>32.056103113720468</v>
      </c>
    </row>
    <row r="29" spans="2:29" ht="15.75" x14ac:dyDescent="0.25">
      <c r="B29" s="11"/>
      <c r="C29" s="11"/>
      <c r="D29" s="9"/>
      <c r="E29" s="13" t="s">
        <v>417</v>
      </c>
      <c r="F29" s="72">
        <f>VLOOKUP(Summary!$D$3,'SAR and RAR'!$J$64:$K$69,2,TRUE)</f>
        <v>51392312.0224078</v>
      </c>
      <c r="G29" s="146">
        <f>IF(Summary!$J$3="Y",W33,X33)</f>
        <v>28.240685784565855</v>
      </c>
      <c r="H29" s="137">
        <f>IF(Summary!$J$3="Y",S20/$F$29*100,SUM(S20-S23)/$F$29*100)</f>
        <v>27.539809700558443</v>
      </c>
      <c r="I29" s="137">
        <f>IF(Summary!$J$3="Y",T20/$F$29*100,SUM(T20-T23)/$F$29*100)</f>
        <v>27.545183728433049</v>
      </c>
      <c r="J29" s="15">
        <f>H29/G29-1</f>
        <v>-2.4817955532455804E-2</v>
      </c>
      <c r="K29" s="15">
        <f>I29/G29-1</f>
        <v>-2.462766171609454E-2</v>
      </c>
      <c r="M29" s="13" t="s">
        <v>393</v>
      </c>
      <c r="N29" s="72">
        <f>VLOOKUP(Summary!$D$3,'SAR and RAR'!$N$64:$O$69,2,TRUE)</f>
        <v>80445312.022437811</v>
      </c>
      <c r="O29" s="146">
        <f>IF(Summary!$J$3="Y",Z33,AA33)</f>
        <v>24.611669415409594</v>
      </c>
      <c r="P29" s="137">
        <f>IF(Summary!$J$3="Y",SUM(S11:T11)/N29*100,SUM(S11,T11,-O11)/N29*100)</f>
        <v>24.158366194079381</v>
      </c>
      <c r="Q29" s="137">
        <f>IF(Summary!$J$3="Y",SUM(S14:T14)/N29*100,SUM(S14,T14,-O14)/N29*100)</f>
        <v>24.163633126226799</v>
      </c>
      <c r="R29" s="15">
        <f>P29/O29-1</f>
        <v>-1.8418223228953146E-2</v>
      </c>
      <c r="S29" s="15">
        <f>Q29/O29-1</f>
        <v>-1.8204221811230603E-2</v>
      </c>
      <c r="U29" s="93"/>
      <c r="V29" s="283" t="s">
        <v>405</v>
      </c>
      <c r="W29" s="284">
        <v>28.271050151011046</v>
      </c>
      <c r="X29" s="284">
        <v>28.858148901602505</v>
      </c>
      <c r="Y29" s="280" t="s">
        <v>393</v>
      </c>
      <c r="Z29" s="284">
        <v>24.643420454890382</v>
      </c>
      <c r="AA29" s="284">
        <v>25.194451832968483</v>
      </c>
    </row>
    <row r="30" spans="2:29" ht="15.75" x14ac:dyDescent="0.25">
      <c r="B30" s="11"/>
      <c r="C30" s="11"/>
      <c r="E30" s="38" t="str">
        <f>M29</f>
        <v>Total System</v>
      </c>
      <c r="F30" s="188">
        <f>N29</f>
        <v>80445312.022437811</v>
      </c>
      <c r="P30" s="9"/>
      <c r="Q30" s="9"/>
      <c r="R30" s="113"/>
      <c r="S30" s="91"/>
      <c r="T30" s="113"/>
      <c r="U30" s="92"/>
      <c r="V30" s="414" t="s">
        <v>418</v>
      </c>
      <c r="W30" s="92"/>
      <c r="X30" s="92"/>
      <c r="Y30" s="92"/>
      <c r="Z30" s="92"/>
      <c r="AA30" s="92"/>
      <c r="AB30" s="92"/>
      <c r="AC30" s="92"/>
    </row>
    <row r="31" spans="2:29" ht="47.25" x14ac:dyDescent="0.25">
      <c r="F31" s="138"/>
      <c r="G31" s="146"/>
      <c r="H31" s="278"/>
      <c r="I31" s="278"/>
      <c r="J31" s="147"/>
      <c r="K31" s="147"/>
      <c r="M31" s="13"/>
      <c r="N31" s="72"/>
      <c r="O31" s="146"/>
      <c r="P31" s="278"/>
      <c r="Q31" s="278"/>
      <c r="R31" s="163"/>
      <c r="S31" s="162"/>
      <c r="T31" s="147"/>
      <c r="U31" s="93"/>
      <c r="V31" s="281"/>
      <c r="W31" s="417" t="s">
        <v>523</v>
      </c>
      <c r="X31" s="417" t="s">
        <v>524</v>
      </c>
      <c r="Y31" s="284"/>
      <c r="Z31" s="417" t="s">
        <v>525</v>
      </c>
      <c r="AA31" s="417" t="s">
        <v>526</v>
      </c>
    </row>
    <row r="32" spans="2:29" ht="15.75" x14ac:dyDescent="0.25">
      <c r="E32" s="9"/>
      <c r="F32" s="138"/>
      <c r="G32" s="146"/>
      <c r="H32" s="278"/>
      <c r="I32" s="278"/>
      <c r="J32" s="147"/>
      <c r="K32" s="147"/>
      <c r="M32" s="13"/>
      <c r="N32" s="72"/>
      <c r="O32" s="146"/>
      <c r="P32" s="278"/>
      <c r="Q32" s="278"/>
      <c r="R32" s="163"/>
      <c r="S32" s="162"/>
      <c r="T32" s="147"/>
      <c r="U32" s="93"/>
      <c r="V32" s="283" t="s">
        <v>64</v>
      </c>
      <c r="W32" s="284">
        <v>33.160020131115076</v>
      </c>
      <c r="X32" s="284">
        <v>34.420671791313382</v>
      </c>
      <c r="Y32" s="280" t="s">
        <v>416</v>
      </c>
      <c r="Z32" s="284">
        <v>30.767019365343749</v>
      </c>
      <c r="AA32" s="284">
        <v>32.047477717664698</v>
      </c>
    </row>
    <row r="33" spans="2:27" ht="15.75" x14ac:dyDescent="0.25">
      <c r="B33" s="11"/>
      <c r="C33" s="11"/>
      <c r="D33" s="9"/>
      <c r="E33" s="33"/>
      <c r="F33" s="10"/>
      <c r="G33" s="176"/>
      <c r="H33" s="10"/>
      <c r="I33" s="33"/>
      <c r="J33" s="33"/>
      <c r="K33" s="33"/>
      <c r="L33" s="9"/>
      <c r="M33" s="9"/>
      <c r="N33" s="9"/>
      <c r="O33" s="176"/>
      <c r="P33" s="9"/>
      <c r="Q33" s="9"/>
      <c r="R33" s="113"/>
      <c r="S33" s="91"/>
      <c r="T33" s="113"/>
      <c r="U33" s="92"/>
      <c r="V33" s="283" t="s">
        <v>405</v>
      </c>
      <c r="W33" s="284">
        <v>28.240685784565855</v>
      </c>
      <c r="X33" s="284">
        <v>28.827784535157313</v>
      </c>
      <c r="Y33" s="280" t="s">
        <v>393</v>
      </c>
      <c r="Z33" s="284">
        <v>24.611669415409594</v>
      </c>
      <c r="AA33" s="284">
        <v>25.162700793487694</v>
      </c>
    </row>
    <row r="34" spans="2:27" ht="15.75" x14ac:dyDescent="0.25">
      <c r="B34" s="11"/>
      <c r="C34" s="11"/>
      <c r="D34" s="9"/>
      <c r="E34" s="9"/>
      <c r="F34" s="14"/>
      <c r="G34" s="16"/>
      <c r="H34" s="17"/>
      <c r="I34" s="33"/>
      <c r="J34" s="33"/>
      <c r="K34" s="33"/>
      <c r="L34" s="9"/>
      <c r="M34" s="9"/>
      <c r="N34" s="9"/>
      <c r="O34" s="9"/>
      <c r="P34" s="9"/>
      <c r="Q34" s="9"/>
      <c r="R34" s="113"/>
      <c r="S34" s="91"/>
      <c r="T34" s="91"/>
      <c r="U34" s="90"/>
      <c r="V34" s="93"/>
      <c r="W34" s="92"/>
    </row>
    <row r="35" spans="2:27" ht="15.75" x14ac:dyDescent="0.25">
      <c r="B35" s="11"/>
      <c r="C35" s="11"/>
      <c r="D35" s="2"/>
      <c r="F35" s="14"/>
      <c r="G35" s="16">
        <v>2</v>
      </c>
      <c r="H35" s="16">
        <f>G35+1</f>
        <v>3</v>
      </c>
      <c r="I35" s="16">
        <f t="shared" ref="I35:P35" si="3">H35+1</f>
        <v>4</v>
      </c>
      <c r="J35" s="16">
        <f t="shared" si="3"/>
        <v>5</v>
      </c>
      <c r="K35" s="16">
        <f t="shared" si="3"/>
        <v>6</v>
      </c>
      <c r="L35" s="16">
        <f t="shared" si="3"/>
        <v>7</v>
      </c>
      <c r="M35" s="16">
        <f t="shared" si="3"/>
        <v>8</v>
      </c>
      <c r="N35" s="16">
        <f t="shared" si="3"/>
        <v>9</v>
      </c>
      <c r="O35" s="16">
        <f t="shared" si="3"/>
        <v>10</v>
      </c>
      <c r="P35" s="16">
        <f t="shared" si="3"/>
        <v>11</v>
      </c>
      <c r="Q35" s="16">
        <v>12</v>
      </c>
      <c r="R35" s="16">
        <v>13</v>
      </c>
      <c r="S35" s="91"/>
      <c r="T35" s="113"/>
      <c r="U35" s="92"/>
      <c r="V35" s="93"/>
      <c r="W35" s="93"/>
    </row>
    <row r="36" spans="2:27" ht="15.75" x14ac:dyDescent="0.25">
      <c r="B36" s="11"/>
      <c r="C36" s="413"/>
      <c r="F36" s="133" t="s">
        <v>419</v>
      </c>
      <c r="G36" s="10" t="s">
        <v>142</v>
      </c>
      <c r="H36" s="10" t="s">
        <v>147</v>
      </c>
      <c r="I36" s="10" t="s">
        <v>381</v>
      </c>
      <c r="J36" s="10" t="s">
        <v>382</v>
      </c>
      <c r="K36" s="10" t="s">
        <v>228</v>
      </c>
      <c r="L36" s="10" t="s">
        <v>383</v>
      </c>
      <c r="M36" s="10" t="s">
        <v>384</v>
      </c>
      <c r="N36" s="10" t="s">
        <v>287</v>
      </c>
      <c r="O36" s="10" t="s">
        <v>385</v>
      </c>
      <c r="P36" s="10" t="s">
        <v>386</v>
      </c>
      <c r="Q36" s="10" t="s">
        <v>296</v>
      </c>
      <c r="R36" s="10" t="s">
        <v>387</v>
      </c>
      <c r="S36" s="91"/>
      <c r="T36" s="91"/>
      <c r="U36" s="91"/>
      <c r="V36" s="93"/>
      <c r="W36" s="92"/>
    </row>
    <row r="37" spans="2:27" ht="15.75" x14ac:dyDescent="0.25">
      <c r="B37" s="11"/>
      <c r="C37" s="11"/>
      <c r="D37" s="103"/>
      <c r="F37" s="9">
        <v>2026</v>
      </c>
      <c r="G37" s="150">
        <v>0.4392179092111192</v>
      </c>
      <c r="H37" s="150">
        <v>0.49349137801998566</v>
      </c>
      <c r="I37" s="150">
        <v>0.33985821314569858</v>
      </c>
      <c r="J37" s="150">
        <v>0.4597191715095667</v>
      </c>
      <c r="K37" s="150">
        <v>0.46036755275429397</v>
      </c>
      <c r="L37" s="150">
        <v>0.44059506075429322</v>
      </c>
      <c r="M37" s="150">
        <v>0.47013057583015611</v>
      </c>
      <c r="N37" s="150">
        <v>0.31182347091966511</v>
      </c>
      <c r="O37" s="150">
        <v>0.78974502168115579</v>
      </c>
      <c r="P37" s="150">
        <v>0.26390379068008285</v>
      </c>
      <c r="Q37" s="150">
        <v>0.3398582131456987</v>
      </c>
      <c r="R37" s="150">
        <v>0.36779708140033684</v>
      </c>
      <c r="S37" s="91"/>
      <c r="T37" s="113"/>
      <c r="U37" s="93"/>
      <c r="V37" s="92"/>
      <c r="W37" s="92"/>
    </row>
    <row r="38" spans="2:27" ht="15.75" x14ac:dyDescent="0.25">
      <c r="B38" s="11"/>
      <c r="C38" s="11"/>
      <c r="E38" s="9"/>
      <c r="F38" s="9">
        <f>F37+1</f>
        <v>2027</v>
      </c>
      <c r="G38" s="150">
        <v>0.44724625283411373</v>
      </c>
      <c r="H38" s="150">
        <v>0.49708674352062809</v>
      </c>
      <c r="I38" s="150">
        <v>0.34112853861775061</v>
      </c>
      <c r="J38" s="150">
        <v>0.4572784327030836</v>
      </c>
      <c r="K38" s="150">
        <v>0.45719305243187913</v>
      </c>
      <c r="L38" s="150">
        <v>0.38059174477140156</v>
      </c>
      <c r="M38" s="150">
        <v>0.47166424474085078</v>
      </c>
      <c r="N38" s="150">
        <v>0.36578955102512439</v>
      </c>
      <c r="O38" s="150">
        <v>0.84132196001829374</v>
      </c>
      <c r="P38" s="150">
        <v>0.26480641368336394</v>
      </c>
      <c r="Q38" s="150">
        <v>0.34112854242648094</v>
      </c>
      <c r="R38" s="150">
        <v>0.3689809966414323</v>
      </c>
      <c r="S38" s="91"/>
      <c r="T38" s="113"/>
      <c r="U38" s="93"/>
      <c r="V38" s="93"/>
      <c r="W38" s="93"/>
    </row>
    <row r="39" spans="2:27" ht="15.75" x14ac:dyDescent="0.25">
      <c r="B39" s="11"/>
      <c r="C39" s="11"/>
      <c r="E39" s="9"/>
      <c r="F39" s="9">
        <f t="shared" ref="F39:F40" si="4">F38+1</f>
        <v>2028</v>
      </c>
      <c r="G39" s="150">
        <v>0.46156761830026088</v>
      </c>
      <c r="H39" s="150">
        <v>0.52123653256832014</v>
      </c>
      <c r="I39" s="150">
        <v>0.3590094530711212</v>
      </c>
      <c r="J39" s="150">
        <v>0.47995625569919848</v>
      </c>
      <c r="K39" s="150">
        <v>0.47997373818436662</v>
      </c>
      <c r="L39" s="150">
        <v>0.4647112999684882</v>
      </c>
      <c r="M39" s="150">
        <v>0.49526128697057781</v>
      </c>
      <c r="N39" s="150">
        <v>0.3848447224100221</v>
      </c>
      <c r="O39" s="150">
        <v>0.88014344144492751</v>
      </c>
      <c r="P39" s="150">
        <v>0.27893263817606512</v>
      </c>
      <c r="Q39" s="150">
        <v>0.35900945709084747</v>
      </c>
      <c r="R39" s="150">
        <v>0.3882032302130996</v>
      </c>
      <c r="S39" s="91"/>
      <c r="T39" s="113"/>
      <c r="U39" s="93"/>
      <c r="V39" s="93"/>
      <c r="W39" s="92"/>
    </row>
    <row r="40" spans="2:27" ht="15.75" x14ac:dyDescent="0.25">
      <c r="B40" s="11"/>
      <c r="C40" s="11"/>
      <c r="E40" s="9"/>
      <c r="F40" s="9">
        <f t="shared" si="4"/>
        <v>2029</v>
      </c>
      <c r="G40" s="150">
        <f t="shared" ref="G40:R40" si="5">G39</f>
        <v>0.46156761830026088</v>
      </c>
      <c r="H40" s="150">
        <f t="shared" si="5"/>
        <v>0.52123653256832014</v>
      </c>
      <c r="I40" s="150">
        <f t="shared" si="5"/>
        <v>0.3590094530711212</v>
      </c>
      <c r="J40" s="150">
        <f t="shared" si="5"/>
        <v>0.47995625569919848</v>
      </c>
      <c r="K40" s="150">
        <f t="shared" si="5"/>
        <v>0.47997373818436662</v>
      </c>
      <c r="L40" s="150">
        <f t="shared" si="5"/>
        <v>0.4647112999684882</v>
      </c>
      <c r="M40" s="150">
        <f t="shared" si="5"/>
        <v>0.49526128697057781</v>
      </c>
      <c r="N40" s="150">
        <f t="shared" si="5"/>
        <v>0.3848447224100221</v>
      </c>
      <c r="O40" s="150">
        <f t="shared" si="5"/>
        <v>0.88014344144492751</v>
      </c>
      <c r="P40" s="150">
        <f t="shared" si="5"/>
        <v>0.27893263817606512</v>
      </c>
      <c r="Q40" s="150">
        <f t="shared" si="5"/>
        <v>0.35900945709084747</v>
      </c>
      <c r="R40" s="150">
        <f t="shared" si="5"/>
        <v>0.3882032302130996</v>
      </c>
      <c r="S40" s="91"/>
      <c r="T40" s="113"/>
      <c r="U40" s="93"/>
      <c r="V40" s="93"/>
      <c r="W40" s="92"/>
    </row>
    <row r="41" spans="2:27" ht="15.75" x14ac:dyDescent="0.25">
      <c r="B41" s="11"/>
      <c r="C41" s="11"/>
      <c r="E41" s="9"/>
      <c r="F41" s="9"/>
      <c r="G41" s="242"/>
      <c r="H41" s="242"/>
      <c r="I41" s="242"/>
      <c r="J41" s="242"/>
      <c r="K41" s="242"/>
      <c r="L41" s="242"/>
      <c r="M41" s="242"/>
      <c r="N41" s="242"/>
      <c r="O41" s="242"/>
      <c r="P41" s="242"/>
      <c r="Q41" s="242"/>
      <c r="R41" s="242"/>
      <c r="S41" s="91"/>
      <c r="T41" s="113"/>
      <c r="U41" s="93"/>
      <c r="V41" s="93"/>
      <c r="W41" s="92"/>
    </row>
    <row r="42" spans="2:27" ht="15.75" x14ac:dyDescent="0.25">
      <c r="B42" s="11"/>
      <c r="C42" s="11"/>
      <c r="D42" s="9"/>
      <c r="F42" s="9"/>
      <c r="G42" s="242"/>
      <c r="H42" s="242"/>
      <c r="I42" s="242"/>
      <c r="J42" s="242"/>
      <c r="K42" s="242"/>
      <c r="L42" s="242"/>
      <c r="M42" s="242"/>
      <c r="N42" s="242"/>
      <c r="O42" s="242"/>
      <c r="P42" s="242"/>
      <c r="Q42" s="242"/>
      <c r="R42" s="242"/>
      <c r="S42" s="91"/>
      <c r="T42" s="113"/>
      <c r="U42" s="93"/>
      <c r="V42" s="92"/>
      <c r="W42" s="92"/>
    </row>
    <row r="43" spans="2:27" ht="15.75" x14ac:dyDescent="0.25">
      <c r="B43" s="11"/>
      <c r="C43" s="11"/>
      <c r="D43" s="9"/>
      <c r="F43" s="133" t="s">
        <v>400</v>
      </c>
      <c r="G43" s="148"/>
      <c r="H43" s="148"/>
      <c r="I43" s="148"/>
      <c r="J43" s="148"/>
      <c r="K43" s="148"/>
      <c r="L43" s="148"/>
      <c r="M43" s="148"/>
      <c r="N43" s="148"/>
      <c r="O43" s="148"/>
      <c r="P43" s="148"/>
      <c r="Q43" s="148"/>
      <c r="R43" s="148"/>
      <c r="S43" s="91"/>
      <c r="T43" s="113"/>
      <c r="U43" s="93"/>
      <c r="V43" s="90"/>
      <c r="W43" s="90"/>
    </row>
    <row r="44" spans="2:27" ht="15.75" x14ac:dyDescent="0.25">
      <c r="B44" s="11"/>
      <c r="C44" s="11"/>
      <c r="E44" s="13" t="s">
        <v>64</v>
      </c>
      <c r="F44" s="9">
        <f>F37</f>
        <v>2026</v>
      </c>
      <c r="G44" s="151">
        <v>0.92931330893271435</v>
      </c>
      <c r="H44" s="151">
        <v>0.70339959493398363</v>
      </c>
      <c r="I44" s="151">
        <v>0.71543158412674246</v>
      </c>
      <c r="J44" s="151">
        <v>0.70415704076223773</v>
      </c>
      <c r="K44" s="151">
        <v>0.71543158412674235</v>
      </c>
      <c r="L44" s="151">
        <v>0.71543158412674235</v>
      </c>
      <c r="M44" s="151">
        <v>0.71543158412674246</v>
      </c>
      <c r="N44" s="151">
        <v>0.71543158412674235</v>
      </c>
      <c r="O44" s="151">
        <v>0.7043649741929412</v>
      </c>
      <c r="P44" s="151">
        <v>0.69700272675953612</v>
      </c>
      <c r="Q44" s="151">
        <v>0.71543158412674246</v>
      </c>
      <c r="R44" s="151">
        <v>0.69700272675953623</v>
      </c>
      <c r="S44" s="167"/>
      <c r="T44" s="167"/>
      <c r="U44" s="168">
        <f>G44</f>
        <v>0.92931330893271435</v>
      </c>
      <c r="V44" s="189"/>
      <c r="W44" s="167"/>
      <c r="X44" s="170"/>
    </row>
    <row r="45" spans="2:27" ht="15.75" x14ac:dyDescent="0.25">
      <c r="B45" s="11"/>
      <c r="C45" s="11"/>
      <c r="E45" s="13" t="s">
        <v>64</v>
      </c>
      <c r="F45" s="9">
        <f t="shared" ref="F45:F47" si="6">F38</f>
        <v>2027</v>
      </c>
      <c r="G45" s="151">
        <v>0.97788578623556222</v>
      </c>
      <c r="H45" s="151">
        <v>0.70079694725713526</v>
      </c>
      <c r="I45" s="151">
        <v>0.71402523516969574</v>
      </c>
      <c r="J45" s="151">
        <v>0.70556272100274631</v>
      </c>
      <c r="K45" s="151">
        <v>0.71402522766501852</v>
      </c>
      <c r="L45" s="151">
        <v>0.71402522769749011</v>
      </c>
      <c r="M45" s="151">
        <v>0.7140252276926512</v>
      </c>
      <c r="N45" s="151">
        <v>0.7140252282525914</v>
      </c>
      <c r="O45" s="151">
        <v>0.7024207302376434</v>
      </c>
      <c r="P45" s="151">
        <v>0.69449873049813127</v>
      </c>
      <c r="Q45" s="151">
        <v>0.71402522773887789</v>
      </c>
      <c r="R45" s="151">
        <v>0.69449873048099531</v>
      </c>
      <c r="S45" s="167"/>
      <c r="T45" s="167">
        <f>K59/K58-1</f>
        <v>5.1351867289339825E-3</v>
      </c>
      <c r="U45" s="168">
        <f t="shared" ref="U45:U55" si="7">G45</f>
        <v>0.97788578623556222</v>
      </c>
      <c r="V45" s="189"/>
      <c r="W45" s="167"/>
      <c r="X45" s="170"/>
    </row>
    <row r="46" spans="2:27" ht="15.75" x14ac:dyDescent="0.25">
      <c r="B46" s="11"/>
      <c r="C46" s="11"/>
      <c r="E46" s="13" t="s">
        <v>64</v>
      </c>
      <c r="F46" s="9">
        <f t="shared" si="6"/>
        <v>2028</v>
      </c>
      <c r="G46" s="151">
        <v>0.97788578623556233</v>
      </c>
      <c r="H46" s="151">
        <v>0.70079694725713537</v>
      </c>
      <c r="I46" s="151">
        <v>0.71402523516969563</v>
      </c>
      <c r="J46" s="151">
        <v>0.70556272100274608</v>
      </c>
      <c r="K46" s="151">
        <v>0.71402522766501852</v>
      </c>
      <c r="L46" s="151">
        <v>0.71402522769749022</v>
      </c>
      <c r="M46" s="151">
        <v>0.7140252276926512</v>
      </c>
      <c r="N46" s="151">
        <v>0.71402522825259129</v>
      </c>
      <c r="O46" s="151">
        <v>0.70242073023764351</v>
      </c>
      <c r="P46" s="151">
        <v>0.69449873049813127</v>
      </c>
      <c r="Q46" s="151">
        <v>0.71402522773887778</v>
      </c>
      <c r="R46" s="151">
        <v>0.69449873048099531</v>
      </c>
      <c r="S46" s="167"/>
      <c r="T46" s="167">
        <f t="shared" ref="T46:T48" si="8">K60/K59-1</f>
        <v>6.8570731522031414E-2</v>
      </c>
      <c r="U46" s="168">
        <f t="shared" si="7"/>
        <v>0.97788578623556233</v>
      </c>
      <c r="V46" s="189"/>
      <c r="W46" s="167"/>
      <c r="X46" s="170"/>
    </row>
    <row r="47" spans="2:27" ht="15.75" x14ac:dyDescent="0.25">
      <c r="B47" s="11"/>
      <c r="C47" s="11"/>
      <c r="E47" s="13" t="s">
        <v>64</v>
      </c>
      <c r="F47" s="9">
        <f t="shared" si="6"/>
        <v>2029</v>
      </c>
      <c r="G47" s="151">
        <f>G46</f>
        <v>0.97788578623556233</v>
      </c>
      <c r="H47" s="151">
        <f t="shared" ref="H47:R47" si="9">H46</f>
        <v>0.70079694725713537</v>
      </c>
      <c r="I47" s="151">
        <f t="shared" si="9"/>
        <v>0.71402523516969563</v>
      </c>
      <c r="J47" s="151">
        <f t="shared" si="9"/>
        <v>0.70556272100274608</v>
      </c>
      <c r="K47" s="151">
        <f t="shared" si="9"/>
        <v>0.71402522766501852</v>
      </c>
      <c r="L47" s="151">
        <f t="shared" si="9"/>
        <v>0.71402522769749022</v>
      </c>
      <c r="M47" s="151">
        <f t="shared" si="9"/>
        <v>0.7140252276926512</v>
      </c>
      <c r="N47" s="151">
        <f t="shared" si="9"/>
        <v>0.71402522825259129</v>
      </c>
      <c r="O47" s="151">
        <f t="shared" si="9"/>
        <v>0.70242073023764351</v>
      </c>
      <c r="P47" s="151">
        <f t="shared" si="9"/>
        <v>0.69449873049813127</v>
      </c>
      <c r="Q47" s="151">
        <f t="shared" si="9"/>
        <v>0.71402522773887778</v>
      </c>
      <c r="R47" s="151">
        <f t="shared" si="9"/>
        <v>0.69449873048099531</v>
      </c>
      <c r="S47" s="167"/>
      <c r="T47" s="167">
        <f t="shared" si="8"/>
        <v>0</v>
      </c>
      <c r="U47" s="168">
        <f t="shared" si="7"/>
        <v>0.97788578623556233</v>
      </c>
      <c r="V47" s="189"/>
      <c r="W47" s="167"/>
      <c r="X47" s="170"/>
    </row>
    <row r="48" spans="2:27" ht="15.75" x14ac:dyDescent="0.25">
      <c r="B48" s="11"/>
      <c r="C48" s="11"/>
      <c r="E48" s="13"/>
      <c r="F48" s="9"/>
      <c r="G48" s="189"/>
      <c r="H48" s="189"/>
      <c r="I48" s="189"/>
      <c r="J48" s="189"/>
      <c r="K48" s="189"/>
      <c r="L48" s="189"/>
      <c r="M48" s="189"/>
      <c r="N48" s="189"/>
      <c r="O48" s="189"/>
      <c r="P48" s="189"/>
      <c r="Q48" s="189"/>
      <c r="R48" s="189"/>
      <c r="S48" s="167"/>
      <c r="T48" s="167">
        <f t="shared" si="8"/>
        <v>-1</v>
      </c>
      <c r="U48" s="168">
        <f t="shared" si="7"/>
        <v>0</v>
      </c>
      <c r="V48" s="189"/>
      <c r="W48" s="167"/>
      <c r="X48" s="170"/>
    </row>
    <row r="49" spans="2:25" ht="15.75" x14ac:dyDescent="0.25">
      <c r="B49" s="11"/>
      <c r="C49" s="11"/>
      <c r="E49" s="13"/>
      <c r="F49" s="415"/>
      <c r="G49" s="189"/>
      <c r="H49" s="189"/>
      <c r="I49" s="189"/>
      <c r="J49" s="189"/>
      <c r="K49" s="189"/>
      <c r="L49" s="189"/>
      <c r="M49" s="189"/>
      <c r="N49" s="189"/>
      <c r="O49" s="189"/>
      <c r="P49" s="189"/>
      <c r="Q49" s="189"/>
      <c r="R49" s="189"/>
      <c r="S49" s="167"/>
      <c r="T49" s="167"/>
      <c r="U49" s="168">
        <f t="shared" si="7"/>
        <v>0</v>
      </c>
      <c r="V49" s="189"/>
      <c r="W49" s="167"/>
      <c r="X49" s="170"/>
    </row>
    <row r="50" spans="2:25" ht="15.75" x14ac:dyDescent="0.25">
      <c r="B50" s="11"/>
      <c r="C50" s="11"/>
      <c r="E50" s="13" t="s">
        <v>393</v>
      </c>
      <c r="F50" s="9">
        <f>F44</f>
        <v>2026</v>
      </c>
      <c r="G50" s="151">
        <v>0.92577705930122733</v>
      </c>
      <c r="H50" s="151">
        <v>0.6582513662307431</v>
      </c>
      <c r="I50" s="151">
        <v>0.63884781761044163</v>
      </c>
      <c r="J50" s="151">
        <v>0.64896038306051473</v>
      </c>
      <c r="K50" s="151">
        <v>0.65202373338515018</v>
      </c>
      <c r="L50" s="151">
        <v>0.64852684011010642</v>
      </c>
      <c r="M50" s="151">
        <v>0.6706488897125521</v>
      </c>
      <c r="N50" s="151">
        <v>0.63598061936817685</v>
      </c>
      <c r="O50" s="151">
        <v>0.68066315360358887</v>
      </c>
      <c r="P50" s="151">
        <v>0.62517281715196638</v>
      </c>
      <c r="Q50" s="151">
        <v>0.63884781761044174</v>
      </c>
      <c r="R50" s="151">
        <v>0.63537665490889106</v>
      </c>
      <c r="S50" s="169"/>
      <c r="T50" s="167"/>
      <c r="U50" s="168">
        <f t="shared" si="7"/>
        <v>0.92577705930122733</v>
      </c>
      <c r="V50" s="189"/>
      <c r="W50" s="171"/>
      <c r="X50" s="170"/>
      <c r="Y50" s="172"/>
    </row>
    <row r="51" spans="2:25" ht="15.75" x14ac:dyDescent="0.25">
      <c r="B51" s="11"/>
      <c r="C51" s="11"/>
      <c r="D51" s="9"/>
      <c r="E51" s="13" t="s">
        <v>393</v>
      </c>
      <c r="F51" s="9">
        <f t="shared" ref="F51:F53" si="10">F45</f>
        <v>2027</v>
      </c>
      <c r="G51" s="151">
        <v>0.97318373941657321</v>
      </c>
      <c r="H51" s="151">
        <v>0.65290027437052556</v>
      </c>
      <c r="I51" s="151">
        <v>0.63319820077512556</v>
      </c>
      <c r="J51" s="151">
        <v>0.64497653264713228</v>
      </c>
      <c r="K51" s="151">
        <v>0.64659701342611164</v>
      </c>
      <c r="L51" s="151">
        <v>0.64357687499864979</v>
      </c>
      <c r="M51" s="151">
        <v>0.66638398737601534</v>
      </c>
      <c r="N51" s="151">
        <v>0.63589747311297717</v>
      </c>
      <c r="O51" s="151">
        <v>0.68735823297454723</v>
      </c>
      <c r="P51" s="151">
        <v>0.61852856591178962</v>
      </c>
      <c r="Q51" s="151">
        <v>0.63319820125311532</v>
      </c>
      <c r="R51" s="151">
        <v>0.62939368804486495</v>
      </c>
      <c r="S51" s="169"/>
      <c r="T51" s="167">
        <f>K65/K64-1</f>
        <v>-1.5018135897508889E-2</v>
      </c>
      <c r="U51" s="168">
        <f t="shared" si="7"/>
        <v>0.97318373941657321</v>
      </c>
      <c r="V51" s="189"/>
      <c r="W51" s="171"/>
      <c r="X51" s="170"/>
    </row>
    <row r="52" spans="2:25" ht="15.75" x14ac:dyDescent="0.25">
      <c r="B52" s="11"/>
      <c r="C52" s="11"/>
      <c r="D52" s="9"/>
      <c r="E52" s="13" t="s">
        <v>393</v>
      </c>
      <c r="F52" s="9">
        <f t="shared" si="10"/>
        <v>2028</v>
      </c>
      <c r="G52" s="151">
        <v>0.97234879413624797</v>
      </c>
      <c r="H52" s="151">
        <v>0.64458553973125843</v>
      </c>
      <c r="I52" s="151">
        <v>0.54756644529948317</v>
      </c>
      <c r="J52" s="151">
        <v>0.65571272310226847</v>
      </c>
      <c r="K52" s="151">
        <v>0.68955256274931764</v>
      </c>
      <c r="L52" s="151">
        <v>0.66181534148231114</v>
      </c>
      <c r="M52" s="151">
        <v>0.65832176878458704</v>
      </c>
      <c r="N52" s="151">
        <v>0.66203182534609639</v>
      </c>
      <c r="O52" s="151">
        <v>0.68737800740370969</v>
      </c>
      <c r="P52" s="151">
        <v>0.61553722069447003</v>
      </c>
      <c r="Q52" s="151">
        <v>0.61985711974478108</v>
      </c>
      <c r="R52" s="151">
        <v>0.58099290246924951</v>
      </c>
      <c r="S52" s="169"/>
      <c r="T52" s="167">
        <f t="shared" ref="T52:T54" si="11">K66/K65-1</f>
        <v>6.8570731522031192E-2</v>
      </c>
      <c r="U52" s="168">
        <f t="shared" si="7"/>
        <v>0.97234879413624797</v>
      </c>
      <c r="V52" s="189"/>
      <c r="W52" s="171"/>
      <c r="X52" s="170"/>
    </row>
    <row r="53" spans="2:25" ht="15.75" x14ac:dyDescent="0.25">
      <c r="B53" s="11"/>
      <c r="C53" s="11"/>
      <c r="D53" s="9"/>
      <c r="E53" s="13" t="s">
        <v>393</v>
      </c>
      <c r="F53" s="9">
        <f t="shared" si="10"/>
        <v>2029</v>
      </c>
      <c r="G53" s="151">
        <f>G52</f>
        <v>0.97234879413624797</v>
      </c>
      <c r="H53" s="151">
        <f t="shared" ref="H53:R53" si="12">H52</f>
        <v>0.64458553973125843</v>
      </c>
      <c r="I53" s="151">
        <f t="shared" si="12"/>
        <v>0.54756644529948317</v>
      </c>
      <c r="J53" s="151">
        <f t="shared" si="12"/>
        <v>0.65571272310226847</v>
      </c>
      <c r="K53" s="151">
        <f t="shared" si="12"/>
        <v>0.68955256274931764</v>
      </c>
      <c r="L53" s="151">
        <f t="shared" si="12"/>
        <v>0.66181534148231114</v>
      </c>
      <c r="M53" s="151">
        <f t="shared" si="12"/>
        <v>0.65832176878458704</v>
      </c>
      <c r="N53" s="151">
        <f t="shared" si="12"/>
        <v>0.66203182534609639</v>
      </c>
      <c r="O53" s="151">
        <f t="shared" si="12"/>
        <v>0.68737800740370969</v>
      </c>
      <c r="P53" s="151">
        <f t="shared" si="12"/>
        <v>0.61553722069447003</v>
      </c>
      <c r="Q53" s="151">
        <f t="shared" si="12"/>
        <v>0.61985711974478108</v>
      </c>
      <c r="R53" s="151">
        <f t="shared" si="12"/>
        <v>0.58099290246924951</v>
      </c>
      <c r="S53" s="169"/>
      <c r="T53" s="167">
        <f t="shared" si="11"/>
        <v>0</v>
      </c>
      <c r="U53" s="168">
        <f t="shared" si="7"/>
        <v>0.97234879413624797</v>
      </c>
      <c r="V53" s="189"/>
      <c r="W53" s="171"/>
      <c r="X53" s="170"/>
    </row>
    <row r="54" spans="2:25" ht="15.75" x14ac:dyDescent="0.25">
      <c r="B54" s="11"/>
      <c r="C54" s="11"/>
      <c r="D54" s="9"/>
      <c r="E54" s="13"/>
      <c r="F54" s="9"/>
      <c r="G54" s="189"/>
      <c r="H54" s="189"/>
      <c r="I54" s="189"/>
      <c r="J54" s="189"/>
      <c r="K54" s="189"/>
      <c r="L54" s="189"/>
      <c r="M54" s="189"/>
      <c r="N54" s="189"/>
      <c r="O54" s="189"/>
      <c r="P54" s="189"/>
      <c r="Q54" s="189"/>
      <c r="R54" s="189"/>
      <c r="S54" s="167"/>
      <c r="T54" s="167">
        <f t="shared" si="11"/>
        <v>-1</v>
      </c>
      <c r="U54" s="168">
        <f t="shared" si="7"/>
        <v>0</v>
      </c>
      <c r="V54" s="189"/>
      <c r="W54" s="171"/>
      <c r="X54" s="170"/>
    </row>
    <row r="55" spans="2:25" ht="15.75" x14ac:dyDescent="0.25">
      <c r="B55" s="11"/>
      <c r="C55" s="11"/>
      <c r="D55" s="9"/>
      <c r="E55" s="13"/>
      <c r="F55" s="415"/>
      <c r="G55" s="189"/>
      <c r="H55" s="189"/>
      <c r="I55" s="189"/>
      <c r="J55" s="189"/>
      <c r="K55" s="189"/>
      <c r="L55" s="189"/>
      <c r="M55" s="189"/>
      <c r="N55" s="189"/>
      <c r="O55" s="189"/>
      <c r="P55" s="189"/>
      <c r="Q55" s="189"/>
      <c r="R55" s="189"/>
      <c r="S55" s="167"/>
      <c r="T55" s="167"/>
      <c r="U55" s="168">
        <f t="shared" si="7"/>
        <v>0</v>
      </c>
      <c r="V55" s="189"/>
      <c r="W55" s="171"/>
      <c r="X55" s="170"/>
    </row>
    <row r="56" spans="2:25" ht="15.75" x14ac:dyDescent="0.25">
      <c r="B56" s="11"/>
      <c r="C56" s="11"/>
    </row>
    <row r="57" spans="2:25" ht="15.75" x14ac:dyDescent="0.25">
      <c r="B57" s="9"/>
      <c r="C57" s="9"/>
      <c r="E57" s="9"/>
      <c r="F57" s="133" t="s">
        <v>420</v>
      </c>
      <c r="G57" s="33"/>
      <c r="H57" s="33"/>
      <c r="I57" s="9"/>
      <c r="J57" s="133" t="s">
        <v>421</v>
      </c>
      <c r="K57" s="33"/>
      <c r="L57" s="33" t="s">
        <v>422</v>
      </c>
      <c r="M57" s="9"/>
      <c r="N57" s="133" t="s">
        <v>420</v>
      </c>
      <c r="O57" s="72"/>
      <c r="P57" s="9"/>
      <c r="Q57" s="9" t="s">
        <v>423</v>
      </c>
    </row>
    <row r="58" spans="2:25" ht="15.75" x14ac:dyDescent="0.25">
      <c r="B58" s="9"/>
      <c r="C58" s="9"/>
      <c r="E58" s="13" t="s">
        <v>424</v>
      </c>
      <c r="F58" s="9">
        <f>$F$37</f>
        <v>2026</v>
      </c>
      <c r="G58" s="386">
        <v>19039213.856099002</v>
      </c>
      <c r="H58" s="167"/>
      <c r="I58" s="13" t="s">
        <v>64</v>
      </c>
      <c r="J58" s="9">
        <f>$F$37</f>
        <v>2026</v>
      </c>
      <c r="K58" s="386">
        <v>19559899.509799</v>
      </c>
      <c r="L58" s="246">
        <f t="shared" ref="L58:L67" si="13">K58/O58</f>
        <v>0.7154315841245158</v>
      </c>
      <c r="M58" s="13" t="s">
        <v>64</v>
      </c>
      <c r="N58" s="9">
        <f>$F$37</f>
        <v>2026</v>
      </c>
      <c r="O58" s="386">
        <v>27339999.999769002</v>
      </c>
      <c r="P58" s="178">
        <f>O58/O64</f>
        <v>0.33985821314414605</v>
      </c>
      <c r="Q58" s="178">
        <f t="shared" ref="Q58" si="14">1-G58/O58</f>
        <v>0.30361324593050965</v>
      </c>
      <c r="R58" s="141"/>
      <c r="S58" s="91"/>
      <c r="T58" s="113"/>
      <c r="U58" s="93"/>
      <c r="V58" s="93"/>
      <c r="W58" s="92"/>
    </row>
    <row r="59" spans="2:25" ht="15.75" x14ac:dyDescent="0.25">
      <c r="B59" s="9"/>
      <c r="C59" s="9"/>
      <c r="E59" s="13" t="s">
        <v>424</v>
      </c>
      <c r="F59" s="9">
        <f>$F$38</f>
        <v>2027</v>
      </c>
      <c r="G59" s="386">
        <v>19174676.308360998</v>
      </c>
      <c r="I59" s="13" t="s">
        <v>64</v>
      </c>
      <c r="J59" s="9">
        <f>$F$38</f>
        <v>2027</v>
      </c>
      <c r="K59" s="386">
        <v>19660343.246181</v>
      </c>
      <c r="L59" s="246">
        <f t="shared" si="13"/>
        <v>0.71402522770516619</v>
      </c>
      <c r="M59" s="13" t="s">
        <v>64</v>
      </c>
      <c r="N59" s="9">
        <f>$F$38</f>
        <v>2027</v>
      </c>
      <c r="O59" s="386">
        <v>27534521.867481001</v>
      </c>
      <c r="P59" s="178">
        <f t="shared" ref="P59:P61" si="15">O59/O65</f>
        <v>0.34442195038572199</v>
      </c>
      <c r="Q59" s="178">
        <f>1-G59/O59</f>
        <v>0.30361324592286465</v>
      </c>
      <c r="R59" s="400">
        <f>K59/K58-1</f>
        <v>5.1351867289339825E-3</v>
      </c>
      <c r="S59" s="392"/>
      <c r="T59" s="389"/>
      <c r="U59" s="90"/>
      <c r="V59" s="90"/>
      <c r="W59" s="90"/>
    </row>
    <row r="60" spans="2:25" ht="15.75" x14ac:dyDescent="0.25">
      <c r="B60" s="9"/>
      <c r="C60" s="9"/>
      <c r="E60" s="13" t="s">
        <v>424</v>
      </c>
      <c r="F60" s="9">
        <f>$F$39</f>
        <v>2028</v>
      </c>
      <c r="G60" s="381">
        <f>($G$59/$O$59)*O60</f>
        <v>20489497.889523473</v>
      </c>
      <c r="I60" s="13" t="s">
        <v>64</v>
      </c>
      <c r="J60" s="9">
        <f>$F$39</f>
        <v>2028</v>
      </c>
      <c r="K60" s="381">
        <f>($K$59/$O$59)*O60</f>
        <v>21008467.364545859</v>
      </c>
      <c r="L60" s="246">
        <f t="shared" si="13"/>
        <v>0.7140252277051663</v>
      </c>
      <c r="M60" s="13" t="s">
        <v>64</v>
      </c>
      <c r="N60" s="9">
        <f>$F$39</f>
        <v>2028</v>
      </c>
      <c r="O60" s="381">
        <f>($O$59/$O$65)*O66</f>
        <v>29422584.17404354</v>
      </c>
      <c r="P60" s="178">
        <f t="shared" si="15"/>
        <v>0.34442195038572199</v>
      </c>
      <c r="Q60" s="178">
        <f>1-G60/O60</f>
        <v>0.30361324592286465</v>
      </c>
      <c r="R60" s="400">
        <f t="shared" ref="R60:R61" si="16">K60/K59-1</f>
        <v>6.8570731522031414E-2</v>
      </c>
      <c r="S60" s="392"/>
      <c r="T60" s="113"/>
      <c r="U60" s="92"/>
      <c r="V60" s="93"/>
      <c r="W60" s="92"/>
    </row>
    <row r="61" spans="2:25" ht="15.75" x14ac:dyDescent="0.25">
      <c r="B61" s="9"/>
      <c r="C61" s="9"/>
      <c r="E61" s="13" t="s">
        <v>424</v>
      </c>
      <c r="F61" s="9">
        <f>$F$40</f>
        <v>2029</v>
      </c>
      <c r="G61" s="381">
        <f>($G$59/$O$59)*O61</f>
        <v>20489497.88952348</v>
      </c>
      <c r="I61" s="13" t="s">
        <v>64</v>
      </c>
      <c r="J61" s="9">
        <f>$F$40</f>
        <v>2029</v>
      </c>
      <c r="K61" s="381">
        <f>($K$59/$O$59)*O61</f>
        <v>21008467.364545863</v>
      </c>
      <c r="L61" s="246">
        <f t="shared" si="13"/>
        <v>0.71402522770516619</v>
      </c>
      <c r="M61" s="13" t="s">
        <v>64</v>
      </c>
      <c r="N61" s="9">
        <f>$F$40</f>
        <v>2029</v>
      </c>
      <c r="O61" s="381">
        <f>($O$59/$O$65)*O67</f>
        <v>29422584.174043547</v>
      </c>
      <c r="P61" s="178">
        <f t="shared" si="15"/>
        <v>0.34442195038572199</v>
      </c>
      <c r="Q61" s="178">
        <f>1-G61/O61</f>
        <v>0.30361324592286454</v>
      </c>
      <c r="R61" s="400">
        <f t="shared" si="16"/>
        <v>0</v>
      </c>
      <c r="S61" s="392"/>
      <c r="T61" s="113"/>
      <c r="U61" s="92"/>
      <c r="V61" s="93"/>
      <c r="W61" s="92"/>
    </row>
    <row r="62" spans="2:25" ht="15.75" x14ac:dyDescent="0.25">
      <c r="B62" s="9"/>
      <c r="C62" s="9"/>
      <c r="E62" s="13"/>
      <c r="F62" s="9"/>
      <c r="G62" s="381"/>
      <c r="I62" s="13"/>
      <c r="J62" s="9"/>
      <c r="K62" s="381"/>
      <c r="L62" s="246"/>
      <c r="M62" s="13"/>
      <c r="N62" s="9"/>
      <c r="O62" s="381"/>
      <c r="P62" s="178"/>
      <c r="Q62" s="178"/>
      <c r="R62" s="400"/>
      <c r="S62" s="392"/>
      <c r="T62" s="113"/>
      <c r="U62" s="92"/>
      <c r="V62" s="93"/>
      <c r="W62" s="92"/>
    </row>
    <row r="63" spans="2:25" ht="15.75" x14ac:dyDescent="0.25">
      <c r="B63" s="9"/>
      <c r="C63" s="9"/>
      <c r="D63" s="54"/>
      <c r="E63" s="373" t="s">
        <v>424</v>
      </c>
      <c r="F63" s="374"/>
      <c r="G63" s="382"/>
      <c r="H63" s="54"/>
      <c r="I63" s="373"/>
      <c r="J63" s="374"/>
      <c r="K63" s="382"/>
      <c r="L63" s="375"/>
      <c r="M63" s="373"/>
      <c r="N63" s="374"/>
      <c r="O63" s="382"/>
      <c r="P63" s="376"/>
      <c r="Q63" s="376"/>
      <c r="R63" s="377"/>
      <c r="S63" s="91"/>
      <c r="T63" s="113"/>
      <c r="U63" s="92"/>
      <c r="V63" s="93"/>
      <c r="W63" s="92"/>
    </row>
    <row r="64" spans="2:25" ht="15.75" x14ac:dyDescent="0.25">
      <c r="B64" s="11"/>
      <c r="C64" s="11"/>
      <c r="D64" s="9"/>
      <c r="E64" s="13" t="s">
        <v>425</v>
      </c>
      <c r="F64" s="9">
        <f>$F$37</f>
        <v>2026</v>
      </c>
      <c r="G64" s="386">
        <v>71720228.921294004</v>
      </c>
      <c r="H64" s="406">
        <f>G64/O64</f>
        <v>0.8915401919416982</v>
      </c>
      <c r="I64" s="13" t="s">
        <v>393</v>
      </c>
      <c r="J64" s="9">
        <f>F37</f>
        <v>2026</v>
      </c>
      <c r="K64" s="386">
        <v>51392312.0224078</v>
      </c>
      <c r="L64" s="246">
        <f>K64/O64</f>
        <v>0.63884781760897957</v>
      </c>
      <c r="M64" s="13" t="s">
        <v>393</v>
      </c>
      <c r="N64" s="9">
        <f>F37</f>
        <v>2026</v>
      </c>
      <c r="O64" s="386">
        <v>80445312.022437811</v>
      </c>
      <c r="P64" s="9"/>
      <c r="Q64" s="9"/>
      <c r="R64" s="113"/>
      <c r="S64" s="506"/>
      <c r="T64" s="506"/>
      <c r="U64" s="91"/>
      <c r="V64" s="90"/>
      <c r="W64" s="90"/>
    </row>
    <row r="65" spans="2:23" ht="15.75" x14ac:dyDescent="0.25">
      <c r="B65" s="11"/>
      <c r="C65" s="11"/>
      <c r="D65" s="9"/>
      <c r="E65" s="13" t="s">
        <v>425</v>
      </c>
      <c r="F65" s="9">
        <f>$F$38</f>
        <v>2027</v>
      </c>
      <c r="G65" s="386">
        <v>71165570.999230713</v>
      </c>
      <c r="H65" s="406">
        <f t="shared" ref="H65:H67" si="17">G65/O65</f>
        <v>0.89019104387705883</v>
      </c>
      <c r="I65" s="13" t="s">
        <v>393</v>
      </c>
      <c r="J65" s="9">
        <f>$F$38</f>
        <v>2027</v>
      </c>
      <c r="K65" s="386">
        <v>50620495.2963681</v>
      </c>
      <c r="L65" s="246">
        <f t="shared" si="13"/>
        <v>0.63319820127537196</v>
      </c>
      <c r="M65" s="13" t="s">
        <v>393</v>
      </c>
      <c r="N65" s="9">
        <f>$F$38</f>
        <v>2027</v>
      </c>
      <c r="O65" s="386">
        <v>79944155.233558089</v>
      </c>
      <c r="P65" s="273">
        <f t="shared" ref="P65" si="18">O65/O64-1</f>
        <v>-6.229782398506245E-3</v>
      </c>
      <c r="Q65" s="9"/>
      <c r="R65" s="113"/>
      <c r="S65" s="392"/>
      <c r="T65" s="389"/>
      <c r="U65" s="93"/>
      <c r="V65" s="92"/>
      <c r="W65" s="92"/>
    </row>
    <row r="66" spans="2:23" ht="15.75" x14ac:dyDescent="0.25">
      <c r="B66" s="9"/>
      <c r="C66" s="9"/>
      <c r="D66" s="9"/>
      <c r="E66" s="13" t="s">
        <v>425</v>
      </c>
      <c r="F66" s="9">
        <f>$F$39</f>
        <v>2028</v>
      </c>
      <c r="G66" s="381">
        <f>($G$65/$O$65)*O66</f>
        <v>76045446.261831015</v>
      </c>
      <c r="H66" s="406">
        <f t="shared" si="17"/>
        <v>0.89019104387705883</v>
      </c>
      <c r="I66" s="13" t="s">
        <v>393</v>
      </c>
      <c r="J66" s="9">
        <f>$F$39</f>
        <v>2028</v>
      </c>
      <c r="K66" s="381">
        <f>($K$65/$O$65)*O66</f>
        <v>54091579.688847601</v>
      </c>
      <c r="L66" s="246">
        <f t="shared" si="13"/>
        <v>0.63319820127537196</v>
      </c>
      <c r="M66" s="13" t="s">
        <v>393</v>
      </c>
      <c r="N66" s="9">
        <f>$F$39</f>
        <v>2028</v>
      </c>
      <c r="O66" s="386">
        <v>85425984.438833997</v>
      </c>
      <c r="P66" s="273">
        <f>O66/O65-1</f>
        <v>6.8570731522031414E-2</v>
      </c>
      <c r="Q66" s="9"/>
      <c r="R66" s="113"/>
      <c r="S66" s="392"/>
      <c r="T66" s="113"/>
      <c r="U66" s="93"/>
      <c r="V66" s="91"/>
      <c r="W66" s="91"/>
    </row>
    <row r="67" spans="2:23" ht="15.75" x14ac:dyDescent="0.25">
      <c r="B67" s="9"/>
      <c r="C67" s="9"/>
      <c r="D67" s="9"/>
      <c r="E67" s="13" t="s">
        <v>425</v>
      </c>
      <c r="F67" s="9">
        <f>$F$40</f>
        <v>2029</v>
      </c>
      <c r="G67" s="381">
        <f>($G$65/$O$65)*O67</f>
        <v>76045446.26183103</v>
      </c>
      <c r="H67" s="406">
        <f t="shared" si="17"/>
        <v>0.89019104387705883</v>
      </c>
      <c r="I67" s="13" t="s">
        <v>393</v>
      </c>
      <c r="J67" s="9">
        <f>$F$40</f>
        <v>2029</v>
      </c>
      <c r="K67" s="381">
        <f>($K$65/$O$65)*O67</f>
        <v>54091579.688847609</v>
      </c>
      <c r="L67" s="246">
        <f t="shared" si="13"/>
        <v>0.63319820127537196</v>
      </c>
      <c r="M67" s="13" t="s">
        <v>393</v>
      </c>
      <c r="N67" s="9">
        <f>$F$40</f>
        <v>2029</v>
      </c>
      <c r="O67" s="386">
        <v>85425984.438834012</v>
      </c>
      <c r="P67" s="273">
        <f>O67/O66-1</f>
        <v>0</v>
      </c>
      <c r="Q67" s="9"/>
      <c r="R67" s="113"/>
      <c r="S67" s="392"/>
      <c r="T67" s="113"/>
      <c r="U67" s="92"/>
      <c r="V67" s="91"/>
      <c r="W67" s="91"/>
    </row>
    <row r="68" spans="2:23" ht="15.75" x14ac:dyDescent="0.25">
      <c r="B68" s="9"/>
      <c r="C68" s="9"/>
      <c r="D68" s="9"/>
      <c r="E68" s="13"/>
      <c r="F68" s="9"/>
      <c r="G68" s="381"/>
      <c r="H68" s="405"/>
      <c r="I68" s="13"/>
      <c r="J68" s="9"/>
      <c r="K68" s="381"/>
      <c r="L68" s="246"/>
      <c r="M68" s="13"/>
      <c r="N68" s="9"/>
      <c r="O68" s="381"/>
      <c r="P68" s="273"/>
      <c r="Q68" s="9"/>
      <c r="R68" s="113"/>
      <c r="S68" s="392"/>
      <c r="T68" s="393"/>
      <c r="U68" s="92"/>
      <c r="V68" s="91"/>
      <c r="W68" s="91"/>
    </row>
    <row r="69" spans="2:23" ht="15.75" x14ac:dyDescent="0.25">
      <c r="B69" s="9"/>
      <c r="C69" s="9"/>
      <c r="D69" s="9"/>
      <c r="E69" s="13"/>
      <c r="F69" s="9"/>
      <c r="G69" s="381"/>
      <c r="H69" s="33"/>
      <c r="I69" s="13"/>
      <c r="J69" s="9"/>
      <c r="K69" s="381"/>
      <c r="L69" s="246"/>
      <c r="M69" s="13"/>
      <c r="N69" s="9"/>
      <c r="O69" s="381"/>
      <c r="P69" s="9"/>
      <c r="Q69" s="9"/>
      <c r="R69" s="113"/>
      <c r="S69" s="91"/>
      <c r="T69" s="113"/>
      <c r="U69" s="92"/>
      <c r="V69" s="91"/>
      <c r="W69" s="91"/>
    </row>
    <row r="70" spans="2:23" ht="15.75" x14ac:dyDescent="0.25">
      <c r="B70" s="9"/>
      <c r="C70" s="9"/>
      <c r="D70" s="9"/>
      <c r="R70" s="113"/>
      <c r="S70" s="91"/>
      <c r="T70" s="113"/>
      <c r="U70" s="93"/>
      <c r="V70" s="93"/>
      <c r="W70" s="92"/>
    </row>
    <row r="71" spans="2:23" ht="15.75" x14ac:dyDescent="0.25">
      <c r="B71" s="9"/>
      <c r="C71" s="9"/>
      <c r="D71" s="9"/>
      <c r="J71" s="133">
        <f>Summary!D3</f>
        <v>2026</v>
      </c>
      <c r="K71" s="72">
        <f>VLOOKUP(Summary!D3,'SAR and RAR'!J58:K63,2,TRUE)</f>
        <v>19559899.509799</v>
      </c>
      <c r="N71" s="133">
        <f>Summary!D3</f>
        <v>2026</v>
      </c>
      <c r="O71" s="72">
        <f>VLOOKUP(Summary!D3,'SAR and RAR'!N58:O63,2,TRUE)</f>
        <v>27339999.999769002</v>
      </c>
      <c r="Q71" s="408"/>
      <c r="R71" s="410"/>
      <c r="S71" s="91"/>
      <c r="T71" s="113"/>
      <c r="U71" s="93"/>
      <c r="V71" s="93"/>
      <c r="W71" s="92"/>
    </row>
    <row r="72" spans="2:23" ht="15.75" x14ac:dyDescent="0.25">
      <c r="B72" s="9"/>
      <c r="C72" s="9"/>
      <c r="D72" s="9"/>
      <c r="G72" s="167"/>
      <c r="H72" s="167"/>
      <c r="I72" s="167"/>
      <c r="J72" s="133" t="s">
        <v>426</v>
      </c>
      <c r="L72" s="167"/>
      <c r="M72" s="167"/>
      <c r="N72" s="133" t="s">
        <v>427</v>
      </c>
      <c r="P72" s="167"/>
      <c r="Q72" s="408"/>
      <c r="R72" s="411"/>
      <c r="S72" s="113"/>
      <c r="T72" s="93"/>
      <c r="U72" s="90"/>
      <c r="V72" s="90"/>
      <c r="W72" s="90"/>
    </row>
    <row r="73" spans="2:23" ht="15.75" x14ac:dyDescent="0.25">
      <c r="B73" s="9"/>
      <c r="C73" s="9"/>
      <c r="D73" s="9"/>
      <c r="G73" s="167"/>
      <c r="H73" s="167"/>
      <c r="I73" s="167"/>
      <c r="J73" s="9">
        <f>$F$37</f>
        <v>2026</v>
      </c>
      <c r="K73" s="379">
        <f t="shared" ref="K73:K76" si="19">K58/K64</f>
        <v>0.38059971890874644</v>
      </c>
      <c r="L73" s="167"/>
      <c r="M73" s="167"/>
      <c r="N73" s="9">
        <f>$F$37</f>
        <v>2026</v>
      </c>
      <c r="O73" s="378">
        <f t="shared" ref="O73:O76" si="20">O58/O64</f>
        <v>0.33985821314414605</v>
      </c>
      <c r="P73" s="167"/>
      <c r="Q73" s="409"/>
      <c r="R73" s="167"/>
      <c r="U73" s="9">
        <v>2025</v>
      </c>
      <c r="V73" s="386">
        <v>79134642.730374098</v>
      </c>
      <c r="W73" s="92"/>
    </row>
    <row r="74" spans="2:23" ht="15.75" x14ac:dyDescent="0.25">
      <c r="B74" s="9"/>
      <c r="C74" s="9"/>
      <c r="D74" s="9"/>
      <c r="E74" s="9"/>
      <c r="F74" s="33"/>
      <c r="G74" s="167"/>
      <c r="H74" s="167"/>
      <c r="I74" s="167"/>
      <c r="J74" s="9">
        <f>$F$38</f>
        <v>2027</v>
      </c>
      <c r="K74" s="379">
        <f t="shared" si="19"/>
        <v>0.38838701855988328</v>
      </c>
      <c r="L74" s="167"/>
      <c r="M74" s="167"/>
      <c r="N74" s="9">
        <f>$F$38</f>
        <v>2027</v>
      </c>
      <c r="O74" s="378">
        <f t="shared" si="20"/>
        <v>0.34442195038572199</v>
      </c>
      <c r="P74" s="167"/>
      <c r="Q74" s="167"/>
      <c r="R74" s="167"/>
      <c r="S74" s="167"/>
      <c r="T74" s="170"/>
      <c r="U74" s="9">
        <v>2026</v>
      </c>
      <c r="V74" s="386">
        <v>80445312.022437811</v>
      </c>
      <c r="W74" s="91"/>
    </row>
    <row r="75" spans="2:23" ht="15.75" x14ac:dyDescent="0.25">
      <c r="B75" s="9"/>
      <c r="C75" s="9"/>
      <c r="D75" s="9"/>
      <c r="G75" s="167"/>
      <c r="H75" s="167"/>
      <c r="I75" s="167"/>
      <c r="J75" s="9">
        <f>$F$39</f>
        <v>2028</v>
      </c>
      <c r="K75" s="379">
        <f t="shared" si="19"/>
        <v>0.38838701855988328</v>
      </c>
      <c r="L75" s="167"/>
      <c r="M75" s="167"/>
      <c r="N75" s="9">
        <f>$F$39</f>
        <v>2028</v>
      </c>
      <c r="O75" s="378">
        <f t="shared" si="20"/>
        <v>0.34442195038572199</v>
      </c>
      <c r="P75" s="167"/>
      <c r="Q75" s="167"/>
      <c r="R75" s="167"/>
      <c r="S75" s="167"/>
      <c r="T75" s="170"/>
      <c r="U75" s="9">
        <v>2027</v>
      </c>
      <c r="V75" s="386">
        <v>83690113.557338402</v>
      </c>
      <c r="W75" s="92"/>
    </row>
    <row r="76" spans="2:23" ht="15.75" x14ac:dyDescent="0.25">
      <c r="B76" s="9"/>
      <c r="C76" s="9"/>
      <c r="D76" s="9"/>
      <c r="G76" s="167"/>
      <c r="H76" s="167"/>
      <c r="I76" s="167"/>
      <c r="J76" s="9">
        <f>$F$40</f>
        <v>2029</v>
      </c>
      <c r="K76" s="379">
        <f t="shared" si="19"/>
        <v>0.38838701855988328</v>
      </c>
      <c r="L76" s="167"/>
      <c r="M76" s="167"/>
      <c r="N76" s="9">
        <f>$F$40</f>
        <v>2029</v>
      </c>
      <c r="O76" s="378">
        <f t="shared" si="20"/>
        <v>0.34442195038572199</v>
      </c>
      <c r="P76" s="167"/>
      <c r="Q76" s="167"/>
      <c r="R76" s="167"/>
      <c r="S76" s="167"/>
      <c r="T76" s="170"/>
      <c r="U76" s="9">
        <v>2028</v>
      </c>
      <c r="V76" s="386">
        <v>85425984.438834012</v>
      </c>
      <c r="W76" s="92"/>
    </row>
    <row r="77" spans="2:23" ht="15.75" x14ac:dyDescent="0.25">
      <c r="B77" s="9"/>
      <c r="C77" s="9"/>
      <c r="D77" s="9"/>
      <c r="G77" s="167"/>
      <c r="H77" s="167"/>
      <c r="I77" s="167"/>
      <c r="J77" s="9"/>
      <c r="K77" s="379"/>
      <c r="L77" s="167"/>
      <c r="M77" s="167"/>
      <c r="N77" s="9"/>
      <c r="O77" s="378"/>
      <c r="P77" s="167"/>
      <c r="Q77" s="167"/>
      <c r="R77" s="167"/>
      <c r="S77" s="167"/>
      <c r="T77" s="170"/>
      <c r="U77" s="189"/>
      <c r="V77" s="93"/>
      <c r="W77" s="92"/>
    </row>
    <row r="78" spans="2:23" ht="15.75" x14ac:dyDescent="0.25">
      <c r="B78" s="9"/>
      <c r="C78" s="9"/>
      <c r="D78" s="9"/>
      <c r="G78" s="167"/>
      <c r="H78" s="167"/>
      <c r="I78" s="167"/>
      <c r="J78" s="9"/>
      <c r="K78" s="200"/>
      <c r="L78" s="167"/>
      <c r="M78" s="167"/>
      <c r="N78" s="9"/>
      <c r="O78" s="201"/>
      <c r="P78" s="167"/>
      <c r="Q78" s="167"/>
      <c r="R78" s="167"/>
      <c r="S78" s="167"/>
      <c r="T78" s="170"/>
      <c r="U78" s="189"/>
      <c r="V78" s="93"/>
      <c r="W78" s="93"/>
    </row>
    <row r="79" spans="2:23" ht="15.75" x14ac:dyDescent="0.25">
      <c r="B79" s="9"/>
      <c r="C79" s="9"/>
      <c r="D79" s="9"/>
      <c r="G79" s="167"/>
      <c r="H79" s="167"/>
      <c r="I79" s="167"/>
      <c r="J79" s="167"/>
      <c r="K79" s="167"/>
      <c r="L79" s="167"/>
      <c r="M79" s="167"/>
      <c r="N79" s="167"/>
      <c r="O79" s="167"/>
      <c r="P79" s="167"/>
      <c r="Q79" s="167"/>
      <c r="R79" s="167"/>
      <c r="S79" s="167"/>
      <c r="T79" s="170"/>
      <c r="U79" s="189"/>
      <c r="V79" s="93"/>
      <c r="W79" s="93"/>
    </row>
    <row r="80" spans="2:23" ht="15.75" x14ac:dyDescent="0.25">
      <c r="B80" s="9"/>
      <c r="C80" s="9"/>
      <c r="D80" s="9"/>
      <c r="G80" s="167"/>
      <c r="H80" s="167"/>
      <c r="I80" s="167"/>
      <c r="J80" s="167"/>
      <c r="K80" s="167"/>
      <c r="L80" s="167"/>
      <c r="M80" s="167"/>
      <c r="N80" s="167"/>
      <c r="O80" s="167"/>
      <c r="P80" s="167"/>
      <c r="Q80" s="167"/>
      <c r="R80" s="167"/>
      <c r="S80" s="167"/>
      <c r="T80" s="170"/>
      <c r="U80" s="189"/>
      <c r="V80" s="90"/>
      <c r="W80" s="90"/>
    </row>
    <row r="81" spans="2:23" ht="15.75" x14ac:dyDescent="0.25">
      <c r="B81" s="9"/>
      <c r="C81" s="9"/>
      <c r="D81" s="9"/>
      <c r="G81" s="167"/>
      <c r="H81" s="167"/>
      <c r="I81" s="167"/>
      <c r="J81" s="167"/>
      <c r="K81" s="167"/>
      <c r="L81" s="167"/>
      <c r="M81" s="167"/>
      <c r="N81" s="167"/>
      <c r="O81" s="167"/>
      <c r="P81" s="167"/>
      <c r="Q81" s="167"/>
      <c r="R81" s="167"/>
      <c r="V81" s="93"/>
      <c r="W81" s="92"/>
    </row>
    <row r="82" spans="2:23" ht="15.75" x14ac:dyDescent="0.25">
      <c r="B82" s="9"/>
      <c r="C82" s="9"/>
      <c r="D82" s="9"/>
      <c r="G82" s="167"/>
      <c r="H82" s="167"/>
      <c r="I82" s="167"/>
      <c r="J82" s="167"/>
      <c r="K82" s="167"/>
      <c r="L82" s="167"/>
      <c r="M82" s="167"/>
      <c r="N82" s="167"/>
      <c r="O82" s="167"/>
      <c r="P82" s="167"/>
      <c r="Q82" s="167"/>
      <c r="R82" s="167"/>
      <c r="S82" s="91"/>
      <c r="T82" s="91"/>
      <c r="U82" s="91"/>
      <c r="V82" s="91"/>
      <c r="W82" s="91"/>
    </row>
    <row r="83" spans="2:23" ht="15.75" x14ac:dyDescent="0.25">
      <c r="B83" s="9"/>
      <c r="C83" s="9"/>
      <c r="D83" s="9"/>
      <c r="E83" s="9"/>
      <c r="F83" s="33"/>
      <c r="G83" s="167"/>
      <c r="H83" s="167"/>
      <c r="I83" s="167"/>
      <c r="J83" s="167"/>
      <c r="K83" s="167"/>
      <c r="L83" s="167"/>
      <c r="M83" s="167"/>
      <c r="N83" s="167"/>
      <c r="O83" s="167"/>
      <c r="P83" s="167"/>
      <c r="Q83" s="167"/>
      <c r="R83" s="167"/>
      <c r="S83" s="91"/>
      <c r="T83" s="91"/>
      <c r="U83" s="90"/>
      <c r="V83" s="91"/>
      <c r="W83" s="91"/>
    </row>
    <row r="84" spans="2:23" ht="15.75" x14ac:dyDescent="0.25">
      <c r="B84" s="9"/>
      <c r="C84" s="9"/>
      <c r="D84" s="9"/>
      <c r="E84" s="9"/>
      <c r="F84" s="33"/>
      <c r="G84" s="167"/>
      <c r="H84" s="167"/>
      <c r="I84" s="167"/>
      <c r="J84" s="167"/>
      <c r="K84" s="167"/>
      <c r="L84" s="167"/>
      <c r="M84" s="167"/>
      <c r="N84" s="167"/>
      <c r="O84" s="167"/>
      <c r="P84" s="167"/>
      <c r="Q84" s="167"/>
      <c r="R84" s="167"/>
      <c r="S84" s="113"/>
      <c r="T84" s="91"/>
      <c r="U84" s="92"/>
      <c r="V84" s="92"/>
      <c r="W84" s="92"/>
    </row>
    <row r="85" spans="2:23" ht="15.75" x14ac:dyDescent="0.25">
      <c r="B85" s="9"/>
      <c r="C85" s="9"/>
      <c r="D85" s="9"/>
      <c r="E85" s="9"/>
      <c r="F85" s="33"/>
      <c r="G85" s="167"/>
      <c r="H85" s="167"/>
      <c r="I85" s="167"/>
      <c r="J85" s="167"/>
      <c r="K85" s="167"/>
      <c r="L85" s="167"/>
      <c r="M85" s="167"/>
      <c r="N85" s="167"/>
      <c r="O85" s="167"/>
      <c r="P85" s="167"/>
      <c r="Q85" s="167"/>
      <c r="R85" s="167"/>
      <c r="S85" s="9"/>
      <c r="T85" s="91"/>
      <c r="U85" s="9"/>
      <c r="V85" s="90"/>
      <c r="W85" s="90"/>
    </row>
    <row r="86" spans="2:23" ht="15.75" x14ac:dyDescent="0.25">
      <c r="B86" s="9"/>
      <c r="C86" s="9"/>
      <c r="D86" s="9"/>
      <c r="G86" s="167"/>
      <c r="H86" s="167"/>
      <c r="I86" s="167"/>
      <c r="J86" s="167"/>
      <c r="K86" s="167"/>
      <c r="L86" s="167"/>
      <c r="M86" s="167"/>
      <c r="N86" s="167"/>
      <c r="O86" s="167"/>
      <c r="P86" s="167"/>
      <c r="Q86" s="167"/>
      <c r="R86" s="167"/>
      <c r="T86" s="91"/>
      <c r="V86" s="91"/>
      <c r="W86" s="91"/>
    </row>
    <row r="87" spans="2:23" ht="15.75" x14ac:dyDescent="0.25">
      <c r="B87" s="9"/>
      <c r="C87" s="9"/>
      <c r="D87" s="9"/>
      <c r="G87" s="167"/>
      <c r="H87" s="167"/>
      <c r="I87" s="167"/>
      <c r="J87" s="167"/>
      <c r="K87" s="167"/>
      <c r="L87" s="167"/>
      <c r="M87" s="167"/>
      <c r="N87" s="167"/>
      <c r="O87" s="167"/>
      <c r="P87" s="167"/>
      <c r="Q87" s="167"/>
      <c r="R87" s="167"/>
      <c r="T87" s="91"/>
      <c r="V87" s="91"/>
      <c r="W87" s="91"/>
    </row>
    <row r="88" spans="2:23" ht="15.75" x14ac:dyDescent="0.25">
      <c r="B88" s="9"/>
      <c r="C88" s="9"/>
      <c r="D88" s="9"/>
      <c r="G88" s="167"/>
      <c r="H88" s="167"/>
      <c r="I88" s="167"/>
      <c r="J88" s="167"/>
      <c r="K88" s="167"/>
      <c r="L88" s="167"/>
      <c r="M88" s="167"/>
      <c r="N88" s="167"/>
      <c r="O88" s="167"/>
      <c r="P88" s="167"/>
      <c r="Q88" s="167"/>
      <c r="R88" s="167"/>
      <c r="T88" s="91"/>
      <c r="V88" s="91"/>
      <c r="W88" s="91"/>
    </row>
    <row r="89" spans="2:23" ht="15.75" x14ac:dyDescent="0.25">
      <c r="B89" s="9"/>
      <c r="C89" s="9"/>
      <c r="D89" s="9"/>
      <c r="G89" s="167"/>
      <c r="H89" s="167"/>
      <c r="I89" s="167"/>
      <c r="J89" s="167"/>
      <c r="K89" s="167"/>
      <c r="L89" s="167"/>
      <c r="M89" s="167"/>
      <c r="N89" s="167"/>
      <c r="O89" s="167"/>
      <c r="P89" s="167"/>
      <c r="Q89" s="167"/>
      <c r="R89" s="167"/>
      <c r="T89" s="91"/>
      <c r="V89" s="90"/>
      <c r="W89" s="90"/>
    </row>
    <row r="90" spans="2:23" ht="15.75" x14ac:dyDescent="0.25">
      <c r="B90" s="9"/>
      <c r="C90" s="9"/>
      <c r="D90" s="9"/>
      <c r="G90" s="167"/>
      <c r="H90" s="167"/>
      <c r="I90" s="167"/>
      <c r="J90" s="167"/>
      <c r="K90" s="167"/>
      <c r="L90" s="167"/>
      <c r="M90" s="167"/>
      <c r="N90" s="167"/>
      <c r="O90" s="167"/>
      <c r="P90" s="167"/>
      <c r="Q90" s="167"/>
      <c r="R90" s="167"/>
      <c r="V90" s="91"/>
      <c r="W90" s="91"/>
    </row>
    <row r="91" spans="2:23" ht="15.75" x14ac:dyDescent="0.25">
      <c r="B91" s="9"/>
      <c r="C91" s="9"/>
      <c r="D91" s="9"/>
      <c r="G91" s="167"/>
      <c r="H91" s="167"/>
      <c r="I91" s="167"/>
      <c r="J91" s="167"/>
      <c r="K91" s="167"/>
      <c r="L91" s="167"/>
      <c r="M91" s="167"/>
      <c r="N91" s="167"/>
      <c r="O91" s="167"/>
      <c r="P91" s="167"/>
      <c r="Q91" s="167"/>
      <c r="R91" s="167"/>
      <c r="V91" s="91"/>
      <c r="W91" s="91"/>
    </row>
    <row r="92" spans="2:23" ht="15.75" x14ac:dyDescent="0.25">
      <c r="B92" s="9"/>
      <c r="C92" s="9"/>
      <c r="D92" s="9"/>
      <c r="G92" s="167"/>
      <c r="H92" s="167"/>
      <c r="I92" s="167"/>
      <c r="J92" s="167"/>
      <c r="K92" s="167"/>
      <c r="L92" s="167"/>
      <c r="M92" s="167"/>
      <c r="N92" s="167"/>
      <c r="O92" s="167"/>
      <c r="P92" s="167"/>
      <c r="Q92" s="167"/>
      <c r="R92" s="167"/>
      <c r="V92" s="90"/>
      <c r="W92" s="90"/>
    </row>
    <row r="93" spans="2:23" ht="15.75" x14ac:dyDescent="0.25">
      <c r="B93" s="9"/>
      <c r="C93" s="9"/>
      <c r="D93" s="9"/>
      <c r="G93" s="167"/>
      <c r="H93" s="167"/>
      <c r="I93" s="167"/>
      <c r="J93" s="167"/>
      <c r="K93" s="167"/>
      <c r="L93" s="167"/>
      <c r="M93" s="167"/>
      <c r="N93" s="167"/>
      <c r="O93" s="167"/>
      <c r="P93" s="167"/>
      <c r="Q93" s="167"/>
      <c r="R93" s="167"/>
      <c r="V93" s="92"/>
      <c r="W93" s="92"/>
    </row>
    <row r="94" spans="2:23" ht="15.75" x14ac:dyDescent="0.25">
      <c r="B94" s="9"/>
      <c r="C94" s="9"/>
      <c r="D94" s="9"/>
      <c r="G94" s="167"/>
      <c r="H94" s="167"/>
      <c r="I94" s="167"/>
      <c r="J94" s="167"/>
      <c r="K94" s="167"/>
      <c r="L94" s="167"/>
      <c r="M94" s="167"/>
      <c r="N94" s="167"/>
      <c r="O94" s="167"/>
      <c r="P94" s="167"/>
      <c r="Q94" s="167"/>
      <c r="R94" s="167"/>
      <c r="V94" s="9"/>
      <c r="W94" s="9"/>
    </row>
    <row r="95" spans="2:23" ht="15.75" x14ac:dyDescent="0.25">
      <c r="B95" s="9"/>
      <c r="C95" s="9"/>
      <c r="D95" s="9"/>
      <c r="G95" s="167"/>
      <c r="H95" s="167"/>
      <c r="I95" s="167"/>
      <c r="J95" s="167"/>
      <c r="K95" s="167"/>
      <c r="L95" s="167"/>
      <c r="M95" s="167"/>
      <c r="N95" s="167"/>
      <c r="O95" s="167"/>
      <c r="P95" s="167"/>
      <c r="Q95" s="167"/>
      <c r="R95" s="167"/>
    </row>
    <row r="96" spans="2:23" x14ac:dyDescent="0.25">
      <c r="G96" s="167"/>
      <c r="H96" s="167"/>
      <c r="I96" s="167"/>
      <c r="J96" s="167"/>
      <c r="K96" s="167"/>
      <c r="L96" s="167"/>
      <c r="M96" s="167"/>
      <c r="N96" s="167"/>
      <c r="O96" s="167"/>
      <c r="P96" s="167"/>
      <c r="Q96" s="167"/>
      <c r="R96" s="167"/>
    </row>
  </sheetData>
  <mergeCells count="9">
    <mergeCell ref="S64:T64"/>
    <mergeCell ref="F26:K26"/>
    <mergeCell ref="N26:S26"/>
    <mergeCell ref="B1:V1"/>
    <mergeCell ref="G8:P8"/>
    <mergeCell ref="C2:D2"/>
    <mergeCell ref="G17:P17"/>
    <mergeCell ref="G4:P4"/>
    <mergeCell ref="S17:T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E119"/>
  <sheetViews>
    <sheetView zoomScale="115" zoomScaleNormal="115" workbookViewId="0">
      <selection activeCell="W32" sqref="W32"/>
    </sheetView>
  </sheetViews>
  <sheetFormatPr defaultColWidth="8.7109375" defaultRowHeight="15" x14ac:dyDescent="0.25"/>
  <cols>
    <col min="1" max="1" width="7.42578125" style="38" customWidth="1"/>
    <col min="2" max="2" width="14.42578125" style="38" customWidth="1"/>
    <col min="3" max="4" width="13" style="38" customWidth="1"/>
    <col min="5" max="5" width="15.5703125" style="38" customWidth="1"/>
    <col min="6" max="6" width="13.5703125" style="38" customWidth="1"/>
    <col min="7" max="7" width="13.7109375" style="38" customWidth="1"/>
    <col min="8" max="8" width="14" style="38" customWidth="1"/>
    <col min="9" max="9" width="15" style="38" customWidth="1"/>
    <col min="10" max="10" width="14" style="38" customWidth="1"/>
    <col min="11" max="12" width="13" style="38" customWidth="1"/>
    <col min="13" max="14" width="14" style="38" customWidth="1"/>
    <col min="15" max="20" width="16" style="38" customWidth="1"/>
    <col min="21" max="21" width="16.5703125" style="38" customWidth="1"/>
    <col min="22" max="22" width="26.42578125" style="38" customWidth="1"/>
    <col min="23" max="30" width="16.7109375" style="38" customWidth="1"/>
    <col min="31" max="16384" width="8.7109375" style="38"/>
  </cols>
  <sheetData>
    <row r="1" spans="1:24" x14ac:dyDescent="0.25">
      <c r="A1" s="64" t="s">
        <v>428</v>
      </c>
      <c r="B1" s="64"/>
      <c r="C1" s="64"/>
      <c r="D1" s="64"/>
      <c r="E1" s="64"/>
      <c r="F1" s="64"/>
      <c r="G1" s="64"/>
      <c r="H1" s="64"/>
      <c r="I1" s="64"/>
    </row>
    <row r="2" spans="1:24" x14ac:dyDescent="0.25">
      <c r="A2" s="37"/>
      <c r="B2" s="525"/>
      <c r="C2" s="525"/>
      <c r="D2" s="525"/>
      <c r="F2" s="37"/>
    </row>
    <row r="3" spans="1:24" x14ac:dyDescent="0.25">
      <c r="E3" s="526" t="s">
        <v>429</v>
      </c>
      <c r="F3" s="526"/>
      <c r="G3" s="526"/>
      <c r="H3" s="526"/>
      <c r="I3" s="526"/>
      <c r="J3" s="526"/>
      <c r="K3" s="128"/>
      <c r="M3" s="117"/>
      <c r="N3" s="117"/>
      <c r="O3" s="526" t="s">
        <v>430</v>
      </c>
      <c r="P3" s="526"/>
      <c r="Q3" s="526"/>
      <c r="R3" s="526"/>
      <c r="S3" s="526"/>
      <c r="T3" s="526"/>
      <c r="U3" s="128"/>
      <c r="V3" s="128"/>
    </row>
    <row r="4" spans="1:24" ht="15.75" customHeight="1" x14ac:dyDescent="0.25">
      <c r="D4" s="9"/>
      <c r="E4" s="28">
        <f>Summary!N4</f>
        <v>2026</v>
      </c>
      <c r="F4" s="29">
        <f>Summary!N3</f>
        <v>46174</v>
      </c>
      <c r="G4" s="28" t="s">
        <v>431</v>
      </c>
      <c r="H4" s="28" t="s">
        <v>431</v>
      </c>
      <c r="I4" s="28" t="s">
        <v>431</v>
      </c>
      <c r="J4" s="28" t="s">
        <v>431</v>
      </c>
      <c r="K4" s="33"/>
      <c r="N4" s="9"/>
      <c r="O4" s="28">
        <f>Summary!N4</f>
        <v>2026</v>
      </c>
      <c r="P4" s="29">
        <f>Summary!N3</f>
        <v>46174</v>
      </c>
      <c r="Q4" s="28" t="s">
        <v>431</v>
      </c>
      <c r="R4" s="28" t="s">
        <v>431</v>
      </c>
      <c r="S4" s="28" t="s">
        <v>431</v>
      </c>
      <c r="T4" s="28" t="s">
        <v>431</v>
      </c>
      <c r="X4" s="29"/>
    </row>
    <row r="5" spans="1:24" ht="30.75" customHeight="1" x14ac:dyDescent="0.25">
      <c r="D5" s="9"/>
      <c r="E5" s="28" t="s">
        <v>10</v>
      </c>
      <c r="F5" s="28" t="s">
        <v>432</v>
      </c>
      <c r="G5" s="28" t="s">
        <v>433</v>
      </c>
      <c r="H5" s="28" t="s">
        <v>434</v>
      </c>
      <c r="I5" s="28" t="s">
        <v>435</v>
      </c>
      <c r="J5" s="28" t="s">
        <v>436</v>
      </c>
      <c r="K5" s="10"/>
      <c r="L5" s="69"/>
      <c r="M5" s="69"/>
      <c r="N5" s="10"/>
      <c r="O5" s="28" t="s">
        <v>10</v>
      </c>
      <c r="P5" s="28" t="s">
        <v>432</v>
      </c>
      <c r="Q5" s="28" t="s">
        <v>433</v>
      </c>
      <c r="R5" s="28" t="s">
        <v>434</v>
      </c>
      <c r="S5" s="28" t="s">
        <v>435</v>
      </c>
      <c r="T5" s="28" t="s">
        <v>436</v>
      </c>
      <c r="X5" s="28"/>
    </row>
    <row r="6" spans="1:24" ht="42" customHeight="1" x14ac:dyDescent="0.25">
      <c r="B6" s="21"/>
      <c r="D6" s="21"/>
      <c r="E6" s="9"/>
      <c r="F6" s="394" t="s">
        <v>437</v>
      </c>
      <c r="I6" s="33"/>
      <c r="J6" s="33"/>
      <c r="K6" s="33"/>
      <c r="N6" s="21"/>
      <c r="O6" s="9"/>
      <c r="P6" s="394" t="s">
        <v>437</v>
      </c>
      <c r="S6" s="33"/>
      <c r="T6" s="33"/>
      <c r="W6" s="47"/>
      <c r="X6" s="9"/>
    </row>
    <row r="7" spans="1:24" ht="15.75" x14ac:dyDescent="0.25">
      <c r="D7" s="22" t="s">
        <v>438</v>
      </c>
      <c r="E7" s="102">
        <f t="shared" ref="E7:E12" si="0">HLOOKUP(E$4,$F$95:$K$105,$A97,TRUE)</f>
        <v>3341.0920855294025</v>
      </c>
      <c r="F7" s="34">
        <v>0.30832999999999999</v>
      </c>
      <c r="G7" s="31">
        <f>(W8-SUM(R14:R15,H14:H15))/SUM(SUM(E7:E8),F9/F7*SUM(E9:E10),F11/F7*SUM(E11:E12),SUM(O7:O8)*(1+(P7/F7-1)),SUM(O9:O10)*(1+(P9/F9-1))*F9/F7,SUM(O11:O12)*(1+(P11/F11-1))*F11/F7)</f>
        <v>0.29796512352718274</v>
      </c>
      <c r="H7" s="30">
        <f t="shared" ref="H7:H12" si="1">E7*G7</f>
        <v>995.52891598046108</v>
      </c>
      <c r="I7" s="31">
        <f>(W9-SUM(T14:T15,J14:J15))/SUM(SUM(E7:E8),F9/F7*SUM(E9:E10),F11/F7*SUM(E11:E12),SUM(O7:O8)*(1+(P7/F7-1)),SUM(O9:O10)*(1+(P9/F9-1))*F9/F7,SUM(O11:O12)*(1+(P11/F11-1))*F11/F7)</f>
        <v>0.29803462114615614</v>
      </c>
      <c r="J7" s="30">
        <f t="shared" ref="J7:J12" si="2">E7*I7</f>
        <v>995.76111392517623</v>
      </c>
      <c r="K7" s="237"/>
      <c r="N7" s="22" t="s">
        <v>438</v>
      </c>
      <c r="O7" s="102">
        <f t="shared" ref="O7:O12" si="3">HLOOKUP(O$4,$M$95:$R$105,$A97,TRUE)</f>
        <v>1853.4857067220289</v>
      </c>
      <c r="P7" s="34">
        <v>0.20028000000000001</v>
      </c>
      <c r="Q7" s="31">
        <f>G7*(1+(P7/F7-1))</f>
        <v>0.19354735166874507</v>
      </c>
      <c r="R7" s="30">
        <f t="shared" ref="R7:R12" si="4">O7*Q7</f>
        <v>358.73724989192101</v>
      </c>
      <c r="S7" s="31">
        <f t="shared" ref="S7:S12" si="5">I7*(1+(P7/F7-1))</f>
        <v>0.19359249480476165</v>
      </c>
      <c r="T7" s="30">
        <f t="shared" ref="T7:T12" si="6">O7*S7</f>
        <v>358.82092204928438</v>
      </c>
      <c r="U7" s="153"/>
      <c r="V7" s="38" t="s">
        <v>439</v>
      </c>
      <c r="X7" s="68"/>
    </row>
    <row r="8" spans="1:24" ht="15.75" x14ac:dyDescent="0.25">
      <c r="D8" s="25" t="s">
        <v>440</v>
      </c>
      <c r="E8" s="102">
        <f t="shared" si="0"/>
        <v>4595.0463263387064</v>
      </c>
      <c r="F8" s="34">
        <v>0.30832999999999999</v>
      </c>
      <c r="G8" s="31">
        <f>G7</f>
        <v>0.29796512352718274</v>
      </c>
      <c r="H8" s="30">
        <f t="shared" si="1"/>
        <v>1369.16354624064</v>
      </c>
      <c r="I8" s="31">
        <f>I7</f>
        <v>0.29803462114615614</v>
      </c>
      <c r="J8" s="30">
        <f t="shared" si="2"/>
        <v>1369.482891019393</v>
      </c>
      <c r="K8" s="237"/>
      <c r="N8" s="25" t="s">
        <v>440</v>
      </c>
      <c r="O8" s="102">
        <f t="shared" si="3"/>
        <v>2569.0964948794699</v>
      </c>
      <c r="P8" s="34">
        <v>0.20028000000000001</v>
      </c>
      <c r="Q8" s="31">
        <f t="shared" ref="Q8:Q12" si="7">G8*(1+(P8/F8-1))</f>
        <v>0.19354735166874507</v>
      </c>
      <c r="R8" s="30">
        <f t="shared" si="4"/>
        <v>497.24182276537709</v>
      </c>
      <c r="S8" s="31">
        <f t="shared" si="5"/>
        <v>0.19359249480476165</v>
      </c>
      <c r="T8" s="30">
        <f t="shared" si="6"/>
        <v>497.35779983788512</v>
      </c>
      <c r="U8" s="153"/>
      <c r="V8" s="38" t="s">
        <v>441</v>
      </c>
      <c r="W8" s="47">
        <f>'SAR and RAR'!S19/1000-'SAR and RAR'!S22/1000+$W$6</f>
        <v>6556.1578978018679</v>
      </c>
      <c r="X8" s="68"/>
    </row>
    <row r="9" spans="1:24" ht="15.75" x14ac:dyDescent="0.25">
      <c r="D9" s="22" t="s">
        <v>442</v>
      </c>
      <c r="E9" s="102">
        <f t="shared" si="0"/>
        <v>2086.626225812819</v>
      </c>
      <c r="F9" s="34">
        <v>0.40932000000000002</v>
      </c>
      <c r="G9" s="31">
        <f>F9/F$7*G$7</f>
        <v>0.39556022560940046</v>
      </c>
      <c r="H9" s="30">
        <f t="shared" si="1"/>
        <v>825.38634064501048</v>
      </c>
      <c r="I9" s="31">
        <f>F9/F$7*I$7</f>
        <v>0.39565248638648409</v>
      </c>
      <c r="J9" s="30">
        <f t="shared" si="2"/>
        <v>825.57885440208702</v>
      </c>
      <c r="K9" s="237"/>
      <c r="N9" s="22" t="s">
        <v>442</v>
      </c>
      <c r="O9" s="102">
        <f t="shared" si="3"/>
        <v>788.54881992569801</v>
      </c>
      <c r="P9" s="34">
        <v>0.26845000000000002</v>
      </c>
      <c r="Q9" s="31">
        <f t="shared" si="7"/>
        <v>0.25942573674592878</v>
      </c>
      <c r="R9" s="30">
        <f t="shared" si="4"/>
        <v>204.56985856935694</v>
      </c>
      <c r="S9" s="31">
        <f t="shared" si="5"/>
        <v>0.25948624540811999</v>
      </c>
      <c r="T9" s="30">
        <f t="shared" si="6"/>
        <v>204.61757260352309</v>
      </c>
      <c r="U9" s="153"/>
      <c r="V9" s="38" t="s">
        <v>443</v>
      </c>
      <c r="W9" s="47">
        <f>'SAR and RAR'!T19/1000-'SAR and RAR'!T22/1000+$W$6</f>
        <v>6557.5141970343648</v>
      </c>
      <c r="X9" s="68"/>
    </row>
    <row r="10" spans="1:24" ht="15.75" x14ac:dyDescent="0.25">
      <c r="D10" s="25" t="s">
        <v>440</v>
      </c>
      <c r="E10" s="102">
        <f t="shared" si="0"/>
        <v>2800.7453230856049</v>
      </c>
      <c r="F10" s="34">
        <v>0.40932000000000002</v>
      </c>
      <c r="G10" s="31">
        <f>G9</f>
        <v>0.39556022560940046</v>
      </c>
      <c r="H10" s="30">
        <f t="shared" si="1"/>
        <v>1107.8634518742151</v>
      </c>
      <c r="I10" s="31">
        <f>I9</f>
        <v>0.39565248638648409</v>
      </c>
      <c r="J10" s="30">
        <f t="shared" si="2"/>
        <v>1108.1218508141362</v>
      </c>
      <c r="K10" s="237"/>
      <c r="N10" s="25" t="s">
        <v>440</v>
      </c>
      <c r="O10" s="102">
        <f t="shared" si="3"/>
        <v>1049.208786315409</v>
      </c>
      <c r="P10" s="34">
        <v>0.26845000000000002</v>
      </c>
      <c r="Q10" s="31">
        <f t="shared" si="7"/>
        <v>0.25942573674592878</v>
      </c>
      <c r="R10" s="30">
        <f t="shared" si="4"/>
        <v>272.19176239017673</v>
      </c>
      <c r="S10" s="31">
        <f t="shared" si="5"/>
        <v>0.25948624540811999</v>
      </c>
      <c r="T10" s="30">
        <f t="shared" si="6"/>
        <v>272.25524861019596</v>
      </c>
      <c r="U10" s="153"/>
      <c r="X10" s="47"/>
    </row>
    <row r="11" spans="1:24" ht="15.75" x14ac:dyDescent="0.25">
      <c r="D11" s="22" t="s">
        <v>444</v>
      </c>
      <c r="E11" s="102">
        <f t="shared" si="0"/>
        <v>165.84792431046702</v>
      </c>
      <c r="F11" s="34">
        <f>F9</f>
        <v>0.40932000000000002</v>
      </c>
      <c r="G11" s="31">
        <f>F11/F$7*G$7</f>
        <v>0.39556022560940046</v>
      </c>
      <c r="H11" s="30">
        <f t="shared" si="1"/>
        <v>65.602842357099107</v>
      </c>
      <c r="I11" s="31">
        <f>F11/F$7*I$7</f>
        <v>0.39565248638648409</v>
      </c>
      <c r="J11" s="30">
        <f t="shared" si="2"/>
        <v>65.618143615473699</v>
      </c>
      <c r="K11" s="237"/>
      <c r="N11" s="22" t="s">
        <v>444</v>
      </c>
      <c r="O11" s="102">
        <f t="shared" si="3"/>
        <v>9.0433785959966126</v>
      </c>
      <c r="P11" s="34">
        <f>P9</f>
        <v>0.26845000000000002</v>
      </c>
      <c r="Q11" s="31">
        <f t="shared" si="7"/>
        <v>0.25942573674592878</v>
      </c>
      <c r="R11" s="30">
        <f t="shared" si="4"/>
        <v>2.3460851549387844</v>
      </c>
      <c r="S11" s="31">
        <f t="shared" si="5"/>
        <v>0.25948624540811999</v>
      </c>
      <c r="T11" s="30">
        <f t="shared" si="6"/>
        <v>2.3466323576793164</v>
      </c>
      <c r="U11" s="153"/>
      <c r="W11" s="47"/>
      <c r="X11" s="68"/>
    </row>
    <row r="12" spans="1:24" ht="15.75" x14ac:dyDescent="0.25">
      <c r="D12" s="25" t="s">
        <v>440</v>
      </c>
      <c r="E12" s="102">
        <f t="shared" si="0"/>
        <v>281.02608811359454</v>
      </c>
      <c r="F12" s="34">
        <f>F10</f>
        <v>0.40932000000000002</v>
      </c>
      <c r="G12" s="31">
        <f>G11</f>
        <v>0.39556022560940046</v>
      </c>
      <c r="H12" s="30">
        <f t="shared" si="1"/>
        <v>111.16274281634071</v>
      </c>
      <c r="I12" s="31">
        <f>I11</f>
        <v>0.39565248638648409</v>
      </c>
      <c r="J12" s="30">
        <f t="shared" si="2"/>
        <v>111.18867050161084</v>
      </c>
      <c r="K12" s="237"/>
      <c r="N12" s="25" t="s">
        <v>440</v>
      </c>
      <c r="O12" s="102">
        <f t="shared" si="3"/>
        <v>20.132350388633686</v>
      </c>
      <c r="P12" s="34">
        <f>P10</f>
        <v>0.26845000000000002</v>
      </c>
      <c r="Q12" s="31">
        <f t="shared" si="7"/>
        <v>0.25942573674592878</v>
      </c>
      <c r="R12" s="30">
        <f t="shared" si="4"/>
        <v>5.22284983199848</v>
      </c>
      <c r="S12" s="31">
        <f t="shared" si="5"/>
        <v>0.25948624540811999</v>
      </c>
      <c r="T12" s="30">
        <f t="shared" si="6"/>
        <v>5.2240680135872601</v>
      </c>
      <c r="U12" s="153"/>
      <c r="X12" s="47"/>
    </row>
    <row r="13" spans="1:24" ht="15.75" x14ac:dyDescent="0.25">
      <c r="D13" s="25"/>
      <c r="E13" s="102"/>
      <c r="F13" s="23"/>
      <c r="G13" s="9"/>
      <c r="H13" s="26"/>
      <c r="I13" s="9"/>
      <c r="J13" s="26"/>
      <c r="K13" s="24"/>
      <c r="N13" s="25"/>
      <c r="O13" s="102"/>
      <c r="P13" s="23"/>
      <c r="Q13" s="9"/>
      <c r="R13" s="26"/>
      <c r="S13" s="9"/>
      <c r="T13" s="26"/>
      <c r="X13" s="68"/>
    </row>
    <row r="14" spans="1:24" ht="15.75" x14ac:dyDescent="0.25">
      <c r="D14" s="25" t="s">
        <v>445</v>
      </c>
      <c r="E14" s="139">
        <f>HLOOKUP(E$4,$F$95:$K$106,$A104,TRUE)</f>
        <v>19072895.180499904</v>
      </c>
      <c r="F14" s="35">
        <v>0.79400000000000004</v>
      </c>
      <c r="G14" s="142">
        <f>F14</f>
        <v>0.79400000000000004</v>
      </c>
      <c r="H14" s="68">
        <f>G14*E14*365/12/10^6</f>
        <v>460.62631268838976</v>
      </c>
      <c r="I14" s="142">
        <f>G14</f>
        <v>0.79400000000000004</v>
      </c>
      <c r="J14" s="68">
        <f>I14*E14*365/12/10^6</f>
        <v>460.62631268838976</v>
      </c>
      <c r="K14" s="153"/>
      <c r="N14" s="25" t="s">
        <v>445</v>
      </c>
      <c r="O14" s="139">
        <f>HLOOKUP(O$4,$M$95:$R$105,$A104,TRUE)</f>
        <v>6438624.7574765813</v>
      </c>
      <c r="P14" s="36">
        <v>0.19699999999999998</v>
      </c>
      <c r="Q14" s="142">
        <f>P14</f>
        <v>0.19699999999999998</v>
      </c>
      <c r="R14" s="68">
        <f>Q14*O14*365/12/10^6</f>
        <v>38.580776098862799</v>
      </c>
      <c r="S14" s="142">
        <f>Q14</f>
        <v>0.19699999999999998</v>
      </c>
      <c r="T14" s="68">
        <f>S14*O14*365/12/10^6</f>
        <v>38.580776098862799</v>
      </c>
      <c r="U14" s="155"/>
      <c r="X14" s="70"/>
    </row>
    <row r="15" spans="1:24" ht="15.75" x14ac:dyDescent="0.25">
      <c r="D15" s="27" t="s">
        <v>446</v>
      </c>
      <c r="E15" s="139">
        <f>HLOOKUP(E$4,$F$95:$K$106,$A105,TRUE)</f>
        <v>8676304.2195000928</v>
      </c>
      <c r="F15" s="35">
        <f>F14</f>
        <v>0.79400000000000004</v>
      </c>
      <c r="G15" s="142">
        <f>F15</f>
        <v>0.79400000000000004</v>
      </c>
      <c r="H15" s="68">
        <f>G15*E15*365/12/10^6</f>
        <v>209.53997715444351</v>
      </c>
      <c r="I15" s="142">
        <f>G15</f>
        <v>0.79400000000000004</v>
      </c>
      <c r="J15" s="68">
        <f>I15*E15*365/12/10^6</f>
        <v>209.53997715444351</v>
      </c>
      <c r="K15" s="153"/>
      <c r="N15" s="27" t="s">
        <v>446</v>
      </c>
      <c r="O15" s="139">
        <f>HLOOKUP(O$4,$M$95:$R$105,$A105,TRUE)</f>
        <v>5406026.8425234184</v>
      </c>
      <c r="P15" s="36">
        <f>P14</f>
        <v>0.19699999999999998</v>
      </c>
      <c r="Q15" s="142">
        <f>P15</f>
        <v>0.19699999999999998</v>
      </c>
      <c r="R15" s="68">
        <f>Q15*O15*365/12/10^6</f>
        <v>32.393363342637201</v>
      </c>
      <c r="S15" s="142">
        <f>Q15</f>
        <v>0.19699999999999998</v>
      </c>
      <c r="T15" s="68">
        <f>S15*O15*365/12/10^6</f>
        <v>32.393363342637201</v>
      </c>
      <c r="U15" s="155"/>
      <c r="X15" s="70"/>
    </row>
    <row r="16" spans="1:24" ht="15.75" x14ac:dyDescent="0.25">
      <c r="K16" s="153"/>
      <c r="U16" s="155"/>
    </row>
    <row r="17" spans="2:29" ht="15.75" x14ac:dyDescent="0.25">
      <c r="K17" s="153"/>
      <c r="O17" s="46"/>
      <c r="U17" s="155"/>
    </row>
    <row r="18" spans="2:29" ht="15.75" x14ac:dyDescent="0.25">
      <c r="K18" s="153"/>
      <c r="U18" s="155"/>
    </row>
    <row r="19" spans="2:29" ht="15.75" x14ac:dyDescent="0.25">
      <c r="B19" s="48"/>
      <c r="K19" s="153"/>
      <c r="O19" s="38" t="s">
        <v>447</v>
      </c>
      <c r="U19" s="155"/>
      <c r="W19" s="38" t="s">
        <v>448</v>
      </c>
      <c r="AC19" s="191"/>
    </row>
    <row r="20" spans="2:29" x14ac:dyDescent="0.25">
      <c r="B20" s="49" t="s">
        <v>449</v>
      </c>
      <c r="C20" s="49"/>
      <c r="E20" s="51" t="s">
        <v>431</v>
      </c>
      <c r="F20" s="51" t="s">
        <v>431</v>
      </c>
      <c r="H20" s="179" t="s">
        <v>450</v>
      </c>
      <c r="I20" s="527" t="s">
        <v>451</v>
      </c>
      <c r="J20" s="527"/>
      <c r="K20" s="527" t="s">
        <v>452</v>
      </c>
      <c r="L20" s="527"/>
      <c r="M20" s="49"/>
      <c r="N20" s="49"/>
      <c r="O20" s="63" t="s">
        <v>453</v>
      </c>
      <c r="P20" s="88" t="s">
        <v>454</v>
      </c>
      <c r="Q20" s="88" t="s">
        <v>455</v>
      </c>
      <c r="R20" s="88" t="s">
        <v>454</v>
      </c>
      <c r="S20" s="88" t="s">
        <v>455</v>
      </c>
      <c r="T20" s="520" t="s">
        <v>456</v>
      </c>
      <c r="U20" s="521"/>
      <c r="W20" s="63" t="s">
        <v>453</v>
      </c>
      <c r="X20" s="88" t="s">
        <v>454</v>
      </c>
      <c r="Y20" s="88" t="s">
        <v>455</v>
      </c>
      <c r="Z20" s="88" t="s">
        <v>454</v>
      </c>
      <c r="AA20" s="88" t="s">
        <v>455</v>
      </c>
      <c r="AB20" s="520" t="s">
        <v>456</v>
      </c>
      <c r="AC20" s="521"/>
    </row>
    <row r="21" spans="2:29" x14ac:dyDescent="0.25">
      <c r="B21" s="52" t="s">
        <v>432</v>
      </c>
      <c r="C21" s="71" t="s">
        <v>457</v>
      </c>
      <c r="D21" s="71">
        <f>Summary!N3</f>
        <v>46174</v>
      </c>
      <c r="E21" s="53" t="s">
        <v>378</v>
      </c>
      <c r="F21" s="53" t="s">
        <v>389</v>
      </c>
      <c r="H21" s="54" t="s">
        <v>453</v>
      </c>
      <c r="I21" s="54" t="s">
        <v>454</v>
      </c>
      <c r="J21" s="54" t="s">
        <v>455</v>
      </c>
      <c r="K21" s="54" t="s">
        <v>454</v>
      </c>
      <c r="L21" s="54" t="s">
        <v>455</v>
      </c>
      <c r="O21" s="39"/>
      <c r="P21" s="522" t="s">
        <v>16</v>
      </c>
      <c r="Q21" s="523"/>
      <c r="R21" s="522" t="s">
        <v>24</v>
      </c>
      <c r="S21" s="523"/>
      <c r="T21" s="99" t="s">
        <v>16</v>
      </c>
      <c r="U21" s="99" t="s">
        <v>24</v>
      </c>
      <c r="W21" s="39"/>
      <c r="X21" s="522" t="s">
        <v>16</v>
      </c>
      <c r="Y21" s="523"/>
      <c r="Z21" s="522" t="s">
        <v>24</v>
      </c>
      <c r="AA21" s="523"/>
      <c r="AB21" s="99" t="s">
        <v>16</v>
      </c>
      <c r="AC21" s="99" t="s">
        <v>24</v>
      </c>
    </row>
    <row r="22" spans="2:29" ht="15.75" x14ac:dyDescent="0.25">
      <c r="B22" s="55" t="s">
        <v>458</v>
      </c>
      <c r="C22" s="34">
        <v>0.30862000000000001</v>
      </c>
      <c r="D22" s="100">
        <f>F7</f>
        <v>0.30832999999999999</v>
      </c>
      <c r="E22" s="56">
        <f>G7</f>
        <v>0.29796512352718274</v>
      </c>
      <c r="F22" s="56">
        <f>I7</f>
        <v>0.29803462114615614</v>
      </c>
      <c r="H22" s="38" t="s">
        <v>459</v>
      </c>
      <c r="I22" s="383">
        <f>17*$O$32</f>
        <v>517.08900000000006</v>
      </c>
      <c r="J22" s="383">
        <f>18.4*$O$32</f>
        <v>559.67279999999994</v>
      </c>
      <c r="K22" s="383">
        <f>16.8*$O$32</f>
        <v>511.00560000000007</v>
      </c>
      <c r="L22" s="383">
        <f>27*$O$32</f>
        <v>821.25900000000001</v>
      </c>
      <c r="M22" s="47"/>
      <c r="N22" s="47"/>
      <c r="O22" s="40" t="s">
        <v>459</v>
      </c>
      <c r="P22" s="41">
        <v>392.81808559906983</v>
      </c>
      <c r="Q22" s="41">
        <v>420.146666166464</v>
      </c>
      <c r="R22" s="41">
        <v>306.77643410633488</v>
      </c>
      <c r="S22" s="41">
        <v>335.33384598214286</v>
      </c>
      <c r="T22" s="164">
        <v>3.805654937726652E-4</v>
      </c>
      <c r="U22" s="164">
        <v>5.8320940133554953E-5</v>
      </c>
      <c r="W22" s="40" t="s">
        <v>459</v>
      </c>
      <c r="X22" s="192">
        <v>401.91915519718987</v>
      </c>
      <c r="Y22" s="192">
        <v>466.97049706643662</v>
      </c>
      <c r="Z22" s="192">
        <v>348.83249743297205</v>
      </c>
      <c r="AA22" s="192">
        <v>431.31416073582631</v>
      </c>
      <c r="AB22" s="164">
        <v>2.8568556600130148E-4</v>
      </c>
      <c r="AC22" s="164">
        <v>1.6342183533615872E-4</v>
      </c>
    </row>
    <row r="23" spans="2:29" ht="15.75" x14ac:dyDescent="0.25">
      <c r="B23" s="55" t="s">
        <v>460</v>
      </c>
      <c r="C23" s="34">
        <v>0.40970000000000001</v>
      </c>
      <c r="D23" s="100">
        <f>F9</f>
        <v>0.40932000000000002</v>
      </c>
      <c r="E23" s="56">
        <f>G9</f>
        <v>0.39556022560940046</v>
      </c>
      <c r="F23" s="56">
        <f>I9</f>
        <v>0.39565248638648409</v>
      </c>
      <c r="H23" s="38" t="s">
        <v>461</v>
      </c>
      <c r="I23" s="383">
        <f>11.4*$O$32</f>
        <v>346.75380000000001</v>
      </c>
      <c r="J23" s="383">
        <f>11*$O$32</f>
        <v>334.58699999999999</v>
      </c>
      <c r="K23" s="383">
        <f>8.7*$O$32</f>
        <v>264.62790000000001</v>
      </c>
      <c r="L23" s="383">
        <f>12.6*$O$32</f>
        <v>383.25420000000003</v>
      </c>
      <c r="M23" s="47"/>
      <c r="N23" s="47"/>
      <c r="O23" s="40" t="s">
        <v>461</v>
      </c>
      <c r="P23" s="41">
        <v>428.14393872362439</v>
      </c>
      <c r="Q23" s="41">
        <v>379.4971467027591</v>
      </c>
      <c r="R23" s="41">
        <v>396.17797935112202</v>
      </c>
      <c r="S23" s="41">
        <v>349.35067350404211</v>
      </c>
      <c r="T23" s="164">
        <v>0.16658701342378401</v>
      </c>
      <c r="U23" s="164">
        <v>5.9611776941844302E-2</v>
      </c>
      <c r="W23" s="40" t="s">
        <v>461</v>
      </c>
      <c r="X23" s="41">
        <v>327.49469287249087</v>
      </c>
      <c r="Y23" s="41">
        <v>327.85197460092598</v>
      </c>
      <c r="Z23" s="41">
        <v>361.23137081426916</v>
      </c>
      <c r="AA23" s="41">
        <v>369.28858015173665</v>
      </c>
      <c r="AB23" s="164">
        <v>0.26039710293674179</v>
      </c>
      <c r="AC23" s="164">
        <v>0.1259219715210215</v>
      </c>
    </row>
    <row r="24" spans="2:29" ht="15.75" x14ac:dyDescent="0.25">
      <c r="B24" s="55" t="s">
        <v>460</v>
      </c>
      <c r="C24" s="34">
        <f>C23</f>
        <v>0.40970000000000001</v>
      </c>
      <c r="D24" s="100">
        <f>F11</f>
        <v>0.40932000000000002</v>
      </c>
      <c r="E24" s="56">
        <f>G11</f>
        <v>0.39556022560940046</v>
      </c>
      <c r="F24" s="56">
        <f>I11</f>
        <v>0.39565248638648409</v>
      </c>
      <c r="H24" s="38" t="s">
        <v>462</v>
      </c>
      <c r="I24" s="383">
        <f>12.8*$O$32</f>
        <v>389.33760000000007</v>
      </c>
      <c r="J24" s="383">
        <f>10.3*$O$32</f>
        <v>313.29510000000005</v>
      </c>
      <c r="K24" s="383">
        <f>9.9*$O$32</f>
        <v>301.12830000000002</v>
      </c>
      <c r="L24" s="383">
        <f>12.3*$O$32</f>
        <v>374.12910000000005</v>
      </c>
      <c r="M24" s="47"/>
      <c r="N24" s="47"/>
      <c r="O24" s="40" t="s">
        <v>462</v>
      </c>
      <c r="P24" s="41">
        <v>535.35681390081186</v>
      </c>
      <c r="Q24" s="41">
        <v>398.69133523395669</v>
      </c>
      <c r="R24" s="41">
        <v>486.40082282088059</v>
      </c>
      <c r="S24" s="41">
        <v>376.63167985294808</v>
      </c>
      <c r="T24" s="164">
        <v>0.22809259246967092</v>
      </c>
      <c r="U24" s="164">
        <v>0.15811001273340528</v>
      </c>
      <c r="W24" s="40" t="s">
        <v>462</v>
      </c>
      <c r="X24" s="41">
        <v>378.91083862519088</v>
      </c>
      <c r="Y24" s="41">
        <v>341.00819012994538</v>
      </c>
      <c r="Z24" s="41">
        <v>403.93787592193286</v>
      </c>
      <c r="AA24" s="41">
        <v>368.09424036425793</v>
      </c>
      <c r="AB24" s="164">
        <v>0.23697617699807955</v>
      </c>
      <c r="AC24" s="164">
        <v>0.20593330210160479</v>
      </c>
    </row>
    <row r="25" spans="2:29" ht="15.75" x14ac:dyDescent="0.25">
      <c r="B25" s="43" t="s">
        <v>463</v>
      </c>
      <c r="C25" s="35">
        <v>0.79400000000000004</v>
      </c>
      <c r="H25" s="38" t="s">
        <v>8</v>
      </c>
      <c r="I25" s="383">
        <f>16.9*$O$32</f>
        <v>514.04729999999995</v>
      </c>
      <c r="J25" s="383">
        <f>12*$O$32</f>
        <v>365.00400000000002</v>
      </c>
      <c r="K25" s="383">
        <f>12.5*$O$32</f>
        <v>380.21250000000003</v>
      </c>
      <c r="L25" s="383">
        <f>13.9*$O$32</f>
        <v>422.79630000000003</v>
      </c>
      <c r="M25" s="47"/>
      <c r="N25" s="47"/>
      <c r="O25" s="40" t="s">
        <v>8</v>
      </c>
      <c r="P25" s="41">
        <v>662.71460214187891</v>
      </c>
      <c r="Q25" s="41">
        <v>441.26384345027054</v>
      </c>
      <c r="R25" s="41">
        <v>642.80365726071057</v>
      </c>
      <c r="S25" s="41">
        <v>423.5758643207634</v>
      </c>
      <c r="T25" s="164">
        <v>0.12654134556453128</v>
      </c>
      <c r="U25" s="164">
        <v>0.10157563739927487</v>
      </c>
      <c r="W25" s="40" t="s">
        <v>8</v>
      </c>
      <c r="X25" s="41">
        <v>482.87829943011286</v>
      </c>
      <c r="Y25" s="41">
        <v>362.94527115983806</v>
      </c>
      <c r="Z25" s="41">
        <v>485.95819880641375</v>
      </c>
      <c r="AA25" s="41">
        <v>371.35434010561141</v>
      </c>
      <c r="AB25" s="164">
        <v>8.3033980710933819E-2</v>
      </c>
      <c r="AC25" s="164">
        <v>8.8650898275354897E-2</v>
      </c>
    </row>
    <row r="26" spans="2:29" x14ac:dyDescent="0.25">
      <c r="B26" s="49" t="s">
        <v>464</v>
      </c>
      <c r="C26" s="49"/>
      <c r="D26" s="49"/>
      <c r="E26" s="51" t="s">
        <v>431</v>
      </c>
      <c r="F26" s="51" t="s">
        <v>431</v>
      </c>
      <c r="H26" s="38" t="s">
        <v>465</v>
      </c>
      <c r="I26" s="383">
        <f>19.3*$O$32</f>
        <v>587.04810000000009</v>
      </c>
      <c r="J26" s="383">
        <f>12.1*$O$32</f>
        <v>368.04570000000001</v>
      </c>
      <c r="K26" s="383">
        <f>15.9*$O$32</f>
        <v>483.63030000000003</v>
      </c>
      <c r="L26" s="383">
        <f>16.4*$O$32</f>
        <v>498.83879999999999</v>
      </c>
      <c r="M26" s="47"/>
      <c r="N26" s="47"/>
      <c r="O26" s="40" t="s">
        <v>465</v>
      </c>
      <c r="P26" s="41">
        <v>762.49394334000431</v>
      </c>
      <c r="Q26" s="41">
        <v>465.21576452671007</v>
      </c>
      <c r="R26" s="41">
        <v>836.47646486069095</v>
      </c>
      <c r="S26" s="41">
        <v>488.36329469359998</v>
      </c>
      <c r="T26" s="164">
        <v>0.30393243634931488</v>
      </c>
      <c r="U26" s="164">
        <v>0.40291604700667777</v>
      </c>
      <c r="W26" s="40" t="s">
        <v>465</v>
      </c>
      <c r="X26" s="41">
        <v>571.43522513959874</v>
      </c>
      <c r="Y26" s="41">
        <v>406.12553852982677</v>
      </c>
      <c r="Z26" s="41">
        <v>615.20534513972063</v>
      </c>
      <c r="AA26" s="41">
        <v>415.14214610489029</v>
      </c>
      <c r="AB26" s="164">
        <v>0.26361371079097867</v>
      </c>
      <c r="AC26" s="164">
        <v>0.3583187161580616</v>
      </c>
    </row>
    <row r="27" spans="2:29" x14ac:dyDescent="0.25">
      <c r="B27" s="52" t="s">
        <v>432</v>
      </c>
      <c r="C27" s="215" t="str">
        <f>C21</f>
        <v>Jan 2026</v>
      </c>
      <c r="D27" s="71">
        <f>D21</f>
        <v>46174</v>
      </c>
      <c r="E27" s="53" t="s">
        <v>378</v>
      </c>
      <c r="F27" s="53" t="s">
        <v>389</v>
      </c>
      <c r="H27" s="38" t="s">
        <v>466</v>
      </c>
      <c r="I27" s="383">
        <f>22.2*$O$32</f>
        <v>675.25739999999996</v>
      </c>
      <c r="J27" s="383">
        <f>12.2*$O$32</f>
        <v>371.0874</v>
      </c>
      <c r="K27" s="383">
        <f>24.2*$O$32</f>
        <v>736.09140000000002</v>
      </c>
      <c r="L27" s="383">
        <f>23*$O$32</f>
        <v>699.59100000000001</v>
      </c>
      <c r="M27" s="47"/>
      <c r="N27" s="47"/>
      <c r="O27" s="40" t="s">
        <v>466</v>
      </c>
      <c r="P27" s="41">
        <v>909.99397480465473</v>
      </c>
      <c r="Q27" s="41">
        <v>472.08820878891646</v>
      </c>
      <c r="R27" s="41">
        <v>945.4029534939541</v>
      </c>
      <c r="S27" s="41">
        <v>473.32388087740964</v>
      </c>
      <c r="T27" s="164">
        <v>4.9644989921652186E-2</v>
      </c>
      <c r="U27" s="164">
        <v>0.11051818155308664</v>
      </c>
      <c r="W27" s="40" t="s">
        <v>466</v>
      </c>
      <c r="X27" s="41">
        <v>861.96636884316308</v>
      </c>
      <c r="Y27" s="41">
        <v>542.74061837230045</v>
      </c>
      <c r="Z27" s="41">
        <v>895.14891153884082</v>
      </c>
      <c r="AA27" s="41">
        <v>536.47216233966913</v>
      </c>
      <c r="AB27" s="164">
        <v>3.4456853543823635E-2</v>
      </c>
      <c r="AC27" s="164">
        <v>6.6741477551287218E-2</v>
      </c>
    </row>
    <row r="28" spans="2:29" ht="15.75" x14ac:dyDescent="0.25">
      <c r="B28" s="55" t="s">
        <v>458</v>
      </c>
      <c r="C28" s="34">
        <v>0.20047999999999999</v>
      </c>
      <c r="D28" s="100">
        <f>P7</f>
        <v>0.20028000000000001</v>
      </c>
      <c r="E28" s="56">
        <f>Q7</f>
        <v>0.19354735166874507</v>
      </c>
      <c r="F28" s="56">
        <f>S7</f>
        <v>0.19359249480476165</v>
      </c>
      <c r="H28" s="38" t="s">
        <v>467</v>
      </c>
      <c r="I28" s="383">
        <f>19.2*$O$32</f>
        <v>584.00639999999999</v>
      </c>
      <c r="J28" s="383">
        <f>11.9*$O$32</f>
        <v>361.96230000000003</v>
      </c>
      <c r="K28" s="383">
        <f>18.5*$O$32</f>
        <v>562.71450000000004</v>
      </c>
      <c r="L28" s="383">
        <f>21.1*$O$32</f>
        <v>641.79870000000005</v>
      </c>
      <c r="M28" s="47"/>
      <c r="N28" s="47"/>
      <c r="O28" s="40" t="s">
        <v>467</v>
      </c>
      <c r="P28" s="41">
        <v>736.46381749259092</v>
      </c>
      <c r="Q28" s="41">
        <v>439.81310142304818</v>
      </c>
      <c r="R28" s="41">
        <v>846.7761429908835</v>
      </c>
      <c r="S28" s="41">
        <v>501.2769208391685</v>
      </c>
      <c r="T28" s="164">
        <v>6.1908270440460308E-2</v>
      </c>
      <c r="U28" s="164">
        <v>0.1068400742619971</v>
      </c>
      <c r="W28" s="40" t="s">
        <v>467</v>
      </c>
      <c r="X28" s="41">
        <v>672.58530018917634</v>
      </c>
      <c r="Y28" s="41">
        <v>501.11238561445106</v>
      </c>
      <c r="Z28" s="41">
        <v>820.31395550331445</v>
      </c>
      <c r="AA28" s="41">
        <v>614.90041585003576</v>
      </c>
      <c r="AB28" s="164">
        <v>4.5799628608764201E-2</v>
      </c>
      <c r="AC28" s="164">
        <v>7.3376404065935263E-2</v>
      </c>
    </row>
    <row r="29" spans="2:29" ht="15.75" x14ac:dyDescent="0.25">
      <c r="B29" s="55" t="s">
        <v>460</v>
      </c>
      <c r="C29" s="34">
        <v>0.26869999999999999</v>
      </c>
      <c r="D29" s="100">
        <f>P9</f>
        <v>0.26845000000000002</v>
      </c>
      <c r="E29" s="56">
        <f>Q9</f>
        <v>0.25942573674592878</v>
      </c>
      <c r="F29" s="56">
        <f>S9</f>
        <v>0.25948624540811999</v>
      </c>
      <c r="H29" s="38" t="s">
        <v>468</v>
      </c>
      <c r="I29" s="383">
        <f>45*$O$32</f>
        <v>1368.7650000000001</v>
      </c>
      <c r="J29" s="383">
        <f>9.7*$O$32</f>
        <v>295.04489999999998</v>
      </c>
      <c r="K29" s="383">
        <f>24*$O$32</f>
        <v>730.00800000000004</v>
      </c>
      <c r="L29" s="383">
        <f>17.4*$O$32</f>
        <v>529.25580000000002</v>
      </c>
      <c r="M29" s="47"/>
      <c r="N29" s="47"/>
      <c r="O29" s="40" t="s">
        <v>468</v>
      </c>
      <c r="P29" s="41">
        <v>1068.8755447452097</v>
      </c>
      <c r="Q29" s="41">
        <v>514.17911575347955</v>
      </c>
      <c r="R29" s="41">
        <v>1217.1937483023166</v>
      </c>
      <c r="S29" s="41">
        <v>509.59785655579105</v>
      </c>
      <c r="T29" s="164">
        <v>3.2509586046521918E-2</v>
      </c>
      <c r="U29" s="164">
        <v>3.4543492841104598E-2</v>
      </c>
      <c r="W29" s="40" t="s">
        <v>468</v>
      </c>
      <c r="X29" s="41">
        <v>812.96390316452391</v>
      </c>
      <c r="Y29" s="41">
        <v>430.62785299844489</v>
      </c>
      <c r="Z29" s="41">
        <v>1006.011931813962</v>
      </c>
      <c r="AA29" s="41">
        <v>491.18932184142449</v>
      </c>
      <c r="AB29" s="164">
        <v>3.5292748348049664E-2</v>
      </c>
      <c r="AC29" s="164">
        <v>4.9832764988506001E-2</v>
      </c>
    </row>
    <row r="30" spans="2:29" ht="15.75" x14ac:dyDescent="0.25">
      <c r="B30" s="55" t="s">
        <v>460</v>
      </c>
      <c r="C30" s="34">
        <f>C29</f>
        <v>0.26869999999999999</v>
      </c>
      <c r="D30" s="100">
        <f>P11</f>
        <v>0.26845000000000002</v>
      </c>
      <c r="E30" s="56">
        <f>Q12</f>
        <v>0.25942573674592878</v>
      </c>
      <c r="F30" s="56">
        <f>S12</f>
        <v>0.25948624540811999</v>
      </c>
      <c r="H30" s="38" t="s">
        <v>469</v>
      </c>
      <c r="I30" s="383">
        <f>14.7*$O$32</f>
        <v>447.12990000000002</v>
      </c>
      <c r="J30" s="383">
        <f>12.4*$O$32</f>
        <v>377.17080000000004</v>
      </c>
      <c r="K30" s="383">
        <f>13.5*$O$32</f>
        <v>410.62950000000001</v>
      </c>
      <c r="L30" s="383">
        <f>23.2*$O$32</f>
        <v>705.67439999999999</v>
      </c>
      <c r="M30" s="47"/>
      <c r="N30" s="47"/>
      <c r="O30" s="44" t="s">
        <v>469</v>
      </c>
      <c r="P30" s="45">
        <v>492.2823694522271</v>
      </c>
      <c r="Q30" s="45">
        <v>390.22625558326098</v>
      </c>
      <c r="R30" s="45">
        <v>719.37414291334665</v>
      </c>
      <c r="S30" s="45">
        <v>479.64856741827828</v>
      </c>
      <c r="T30" s="164">
        <v>3.040320029029182E-2</v>
      </c>
      <c r="U30" s="165">
        <v>2.5826456322475919E-2</v>
      </c>
      <c r="W30" s="44" t="s">
        <v>469</v>
      </c>
      <c r="X30" s="45">
        <v>402.42813564770864</v>
      </c>
      <c r="Y30" s="45">
        <v>502.66098554149568</v>
      </c>
      <c r="Z30" s="45">
        <v>651.09678155743552</v>
      </c>
      <c r="AA30" s="45">
        <v>548.31873745636142</v>
      </c>
      <c r="AB30" s="164">
        <v>4.0144112496627325E-2</v>
      </c>
      <c r="AC30" s="164">
        <v>3.1061043502892568E-2</v>
      </c>
    </row>
    <row r="31" spans="2:29" ht="15.75" x14ac:dyDescent="0.25">
      <c r="B31" s="43" t="s">
        <v>463</v>
      </c>
      <c r="C31" s="35">
        <v>0.19799999999999998</v>
      </c>
      <c r="D31" s="101"/>
      <c r="E31" s="58"/>
      <c r="F31" s="58"/>
    </row>
    <row r="32" spans="2:29" x14ac:dyDescent="0.25">
      <c r="B32" s="48"/>
      <c r="C32" s="57"/>
      <c r="D32" s="57"/>
      <c r="E32" s="58"/>
      <c r="F32" s="58"/>
      <c r="G32" s="156"/>
      <c r="H32" s="156"/>
      <c r="I32" s="47"/>
      <c r="N32" s="43" t="s">
        <v>470</v>
      </c>
      <c r="O32" s="38">
        <v>30.417000000000002</v>
      </c>
    </row>
    <row r="33" spans="2:30" x14ac:dyDescent="0.25">
      <c r="B33" s="48"/>
      <c r="C33" s="57"/>
      <c r="D33" s="57"/>
      <c r="E33" s="58"/>
      <c r="F33" s="58"/>
    </row>
    <row r="34" spans="2:30" x14ac:dyDescent="0.25">
      <c r="C34" s="516" t="s">
        <v>471</v>
      </c>
      <c r="D34" s="516"/>
      <c r="E34" s="516"/>
      <c r="F34" s="516"/>
      <c r="G34" s="516"/>
      <c r="H34" s="516"/>
      <c r="I34" s="516"/>
      <c r="J34" s="516"/>
      <c r="L34" s="48"/>
      <c r="M34" s="516" t="s">
        <v>74</v>
      </c>
      <c r="N34" s="516"/>
      <c r="O34" s="516"/>
      <c r="P34" s="516"/>
      <c r="Q34" s="516"/>
      <c r="R34" s="516"/>
      <c r="S34" s="516"/>
      <c r="T34" s="516"/>
      <c r="V34" s="48"/>
      <c r="W34" s="516" t="s">
        <v>75</v>
      </c>
      <c r="X34" s="516"/>
      <c r="Y34" s="516"/>
      <c r="Z34" s="516"/>
      <c r="AA34" s="516"/>
      <c r="AB34" s="516"/>
      <c r="AC34" s="516"/>
      <c r="AD34" s="516"/>
    </row>
    <row r="35" spans="2:30" x14ac:dyDescent="0.25">
      <c r="B35" s="48"/>
      <c r="C35" s="519" t="str">
        <f>C27</f>
        <v>Jan 2026</v>
      </c>
      <c r="D35" s="519"/>
      <c r="E35" s="519">
        <f>D27</f>
        <v>46174</v>
      </c>
      <c r="F35" s="519"/>
      <c r="G35" s="519" t="str">
        <f>E21</f>
        <v>Authorized</v>
      </c>
      <c r="H35" s="519"/>
      <c r="I35" s="524" t="str">
        <f>F21</f>
        <v>w/Pending</v>
      </c>
      <c r="J35" s="519"/>
      <c r="L35" s="48"/>
      <c r="M35" s="519" t="str">
        <f>C35</f>
        <v>Jan 2026</v>
      </c>
      <c r="N35" s="519"/>
      <c r="O35" s="519">
        <f>E35</f>
        <v>46174</v>
      </c>
      <c r="P35" s="519"/>
      <c r="Q35" s="519" t="str">
        <f>G35</f>
        <v>Authorized</v>
      </c>
      <c r="R35" s="519"/>
      <c r="S35" s="519" t="str">
        <f>I35</f>
        <v>w/Pending</v>
      </c>
      <c r="T35" s="519"/>
      <c r="V35" s="48"/>
      <c r="W35" s="519" t="str">
        <f>M35</f>
        <v>Jan 2026</v>
      </c>
      <c r="X35" s="519"/>
      <c r="Y35" s="519">
        <f>O35</f>
        <v>46174</v>
      </c>
      <c r="Z35" s="519"/>
      <c r="AA35" s="519" t="str">
        <f>Q35</f>
        <v>Authorized</v>
      </c>
      <c r="AB35" s="519"/>
      <c r="AC35" s="519" t="str">
        <f>S35</f>
        <v>w/Pending</v>
      </c>
      <c r="AD35" s="519"/>
    </row>
    <row r="36" spans="2:30" x14ac:dyDescent="0.25">
      <c r="B36" s="48"/>
      <c r="C36" s="57" t="s">
        <v>454</v>
      </c>
      <c r="D36" s="57" t="s">
        <v>455</v>
      </c>
      <c r="E36" s="57" t="s">
        <v>454</v>
      </c>
      <c r="F36" s="57" t="s">
        <v>455</v>
      </c>
      <c r="G36" s="57" t="s">
        <v>454</v>
      </c>
      <c r="H36" s="57" t="s">
        <v>455</v>
      </c>
      <c r="I36" s="57" t="s">
        <v>454</v>
      </c>
      <c r="J36" s="57" t="s">
        <v>455</v>
      </c>
      <c r="L36" s="48"/>
      <c r="M36" s="57" t="s">
        <v>454</v>
      </c>
      <c r="N36" s="57" t="s">
        <v>455</v>
      </c>
      <c r="O36" s="57" t="s">
        <v>454</v>
      </c>
      <c r="P36" s="57" t="s">
        <v>455</v>
      </c>
      <c r="Q36" s="57" t="s">
        <v>454</v>
      </c>
      <c r="R36" s="57" t="s">
        <v>455</v>
      </c>
      <c r="S36" s="57" t="s">
        <v>454</v>
      </c>
      <c r="T36" s="57" t="s">
        <v>455</v>
      </c>
      <c r="V36" s="48"/>
      <c r="W36" s="57" t="s">
        <v>454</v>
      </c>
      <c r="X36" s="57" t="s">
        <v>455</v>
      </c>
      <c r="Y36" s="57" t="s">
        <v>454</v>
      </c>
      <c r="Z36" s="57" t="s">
        <v>455</v>
      </c>
      <c r="AA36" s="57" t="s">
        <v>454</v>
      </c>
      <c r="AB36" s="57" t="s">
        <v>455</v>
      </c>
      <c r="AC36" s="57" t="s">
        <v>454</v>
      </c>
      <c r="AD36" s="57" t="s">
        <v>455</v>
      </c>
    </row>
    <row r="37" spans="2:30" x14ac:dyDescent="0.25">
      <c r="B37" s="38" t="s">
        <v>459</v>
      </c>
      <c r="C37" s="57">
        <f>C$22*MIN(I22,P22)+IF(P22-I22&gt;0,C$23*(P22-I22))+ROUND($C$25*365/12,2)+(Summary!N19/12)*2</f>
        <v>139.38151757758493</v>
      </c>
      <c r="D37" s="57">
        <f>C$22*MIN(J22,Q22)+IF(Q22-J22&gt;0,C$23*(Q22-J22))+ROUND($C$25*365/12,2)+(Summary!N19/12)*2</f>
        <v>147.81566411229412</v>
      </c>
      <c r="E37" s="57">
        <f>D$22*MIN(I22,P22)+IF(P22-I22&gt;0,D$23*(P22-I22))+ROUND($F$14*365/12,2)+(Summary!N19/12)*2</f>
        <v>139.26760033276119</v>
      </c>
      <c r="F37" s="57">
        <f>D$22*MIN(J22,Q22)+IF(Q22-J22&gt;0,D$23*(Q22-J22))+ROUND($F$14*365/12,2)+(Summary!N19/12)*2</f>
        <v>147.69382157910584</v>
      </c>
      <c r="G37" s="57">
        <f>E$22*MIN(I22,P22)+IF(P22-I22&gt;0,E$23*(P22-I22))+ROUND($F$14*365/12,2)+(Summary!N19/12)*2</f>
        <v>135.19608939923828</v>
      </c>
      <c r="H37" s="57">
        <f>E$22*MIN(J22,Q22)+IF(Q22-J22&gt;0,E$23*(Q22-J22))+ROUND($F$14*365/12,2)+(Summary!N19/12)*2</f>
        <v>143.33905328382446</v>
      </c>
      <c r="I37" s="57">
        <f>F$22*MIN(I22,P22)+IF(P22-I22&gt;0,F$23*(P22-I22))+ROUND($F$14*365/12,2)+(Summary!N19/12)*2</f>
        <v>135.22338932087712</v>
      </c>
      <c r="J37" s="57">
        <f>F$22*MIN(J22,Q22)+IF(Q22-J22&gt;0,F$23*(Q22-J22))+ROUND($F$14*365/12,2)+(Summary!N19/12)*2</f>
        <v>143.36825247674264</v>
      </c>
      <c r="L37" s="38" t="s">
        <v>459</v>
      </c>
      <c r="M37" s="57">
        <f>C$22*I22+ROUND($C$25*365/12,2)+(Summary!N19/12)*2</f>
        <v>177.73400718000002</v>
      </c>
      <c r="N37" s="57">
        <f>C$22*J22+ROUND($C$25*365/12,2)+(Summary!N19/12)*2</f>
        <v>190.87621953599998</v>
      </c>
      <c r="O37" s="57">
        <f>D$22*I22+ROUND($F$14*365/12,2)+(Summary!N19/12)*2</f>
        <v>177.58405137000003</v>
      </c>
      <c r="P37" s="57">
        <f>D$22*J22+ROUND($F$14*365/12,2)+(Summary!N19/12)*2</f>
        <v>190.713914424</v>
      </c>
      <c r="Q37" s="57">
        <f>E$22*I22+ROUND($F$14*365/12,2)+(Summary!N19/12)*2</f>
        <v>172.22448775954743</v>
      </c>
      <c r="R37" s="57">
        <f>E$22*J22+ROUND($F$14*365/12,2)+(Summary!N19/12)*2</f>
        <v>184.91297498680422</v>
      </c>
      <c r="S37" s="57">
        <f>F$22*I22+ROUND($F$14*365/12,2)+(Summary!N19/12)*2</f>
        <v>172.26042421384474</v>
      </c>
      <c r="T37" s="57">
        <f>F$22*J22+ROUND($F$14*365/12,2)+(Summary!N19/12)*2</f>
        <v>184.95187091380839</v>
      </c>
      <c r="V37" s="38" t="s">
        <v>459</v>
      </c>
      <c r="W37" s="57">
        <f>C$28*I22+ROUND($C$31*365/12,2)+(Summary!N19/12)*2</f>
        <v>103.68600272</v>
      </c>
      <c r="X37" s="57">
        <f>C$28*J22+ROUND($C$31*365/12,2)+(Summary!N19/12)*2</f>
        <v>112.22320294399998</v>
      </c>
      <c r="Y37" s="57">
        <f>D$28*I22+ROUND($P$14*365/12,2)+(Summary!N19/12)*2</f>
        <v>103.55258492000002</v>
      </c>
      <c r="Z37" s="57">
        <f>D$28*J22+ROUND($P$14*365/12,2)+(Summary!N19/12)*2</f>
        <v>112.08126838399998</v>
      </c>
      <c r="AA37" s="57">
        <f>E$28*I22+ROUND($P$14*365/12,2)+(Summary!N19/12)*2</f>
        <v>100.07120652703972</v>
      </c>
      <c r="AB37" s="57">
        <f>E$28*J22+ROUND($P$14*365/12,2)+(Summary!N19/12)*2</f>
        <v>108.31318824103121</v>
      </c>
      <c r="AC37" s="57">
        <f>F$28*I22+ROUND($P$14*365/12,2)+(Summary!N19/12)*2</f>
        <v>100.0945495460994</v>
      </c>
      <c r="AD37" s="57">
        <f>F$28*J22+ROUND($P$14*365/12,2)+(Summary!N19/12)*2</f>
        <v>108.33845362636639</v>
      </c>
    </row>
    <row r="38" spans="2:30" x14ac:dyDescent="0.25">
      <c r="B38" s="38" t="s">
        <v>461</v>
      </c>
      <c r="C38" s="57">
        <f>C$22*MIN(I23,P23)+IF(P23-I23&gt;0,C$23*(P23-I23))+ROUND($C$25*365/12,2)+(Summary!N19/12)*2</f>
        <v>158.51069759106892</v>
      </c>
      <c r="D38" s="57">
        <f>C$22*MIN(J23,Q23)+IF(Q23-J23&gt;0,C$23*(Q23-J23))+ROUND($C$25*365/12,2)+(Summary!N19/12)*2</f>
        <v>139.8099270441204</v>
      </c>
      <c r="E38" s="57">
        <f>D$22*MIN(I23,P23)+IF(P23-I23&gt;0,D$23*(P23-I23))+ROUND($F$14*365/12,2)+(Summary!N19/12)*2</f>
        <v>158.37921073635394</v>
      </c>
      <c r="F38" s="57">
        <f>D$22*MIN(J23,Q23)+IF(Q23-J23&gt;0,D$23*(Q23-J23))+ROUND($F$14*365/12,2)+(Summary!N19/12)*2</f>
        <v>139.69583095837334</v>
      </c>
      <c r="G38" s="57">
        <f>E$22*MIN(I23,P23)+IF(P23-I23&gt;0,E$23*(P23-I23))+ROUND($F$14*365/12,2)+(Summary!N19/12)*2</f>
        <v>153.66524048641728</v>
      </c>
      <c r="H38" s="57">
        <f>E$22*MIN(J23,Q23)+IF(Q23-J23&gt;0,E$23*(Q23-J23))+ROUND($F$14*365/12,2)+(Summary!N19/12)*2</f>
        <v>135.60992454748416</v>
      </c>
      <c r="I38" s="57">
        <f>F$22*MIN(I23,P23)+IF(P23-I23&gt;0,F$23*(P23-I23))+ROUND($F$14*365/12,2)+(Summary!N19/12)*2</f>
        <v>153.69684816733286</v>
      </c>
      <c r="J38" s="57">
        <f>F$22*MIN(J23,Q23)+IF(Q23-J23&gt;0,F$23*(Q23-J23))+ROUND($F$14*365/12,2)+(Summary!N19/12)*2</f>
        <v>135.63732099235733</v>
      </c>
      <c r="L38" s="38" t="s">
        <v>461</v>
      </c>
      <c r="M38" s="57">
        <f>C$22*I23+ROUND($C$25*365/12,2)+(Summary!N19/12)*2</f>
        <v>125.16515775600001</v>
      </c>
      <c r="N38" s="57">
        <f>C$22*J23+ROUND($C$25*365/12,2)+(Summary!N19/12)*2</f>
        <v>121.41023994</v>
      </c>
      <c r="O38" s="57">
        <f>D$22*I23+ROUND($F$14*365/12,2)+(Summary!N19/12)*2</f>
        <v>125.06459915400001</v>
      </c>
      <c r="P38" s="57">
        <f>D$22*J23+ROUND($F$14*365/12,2)+(Summary!N19/12)*2</f>
        <v>121.31320971</v>
      </c>
      <c r="Q38" s="57">
        <f>E$22*I23+ROUND($F$14*365/12,2)+(Summary!N19/12)*2</f>
        <v>121.47053885052003</v>
      </c>
      <c r="R38" s="57">
        <f>E$22*J23+ROUND($F$14*365/12,2)+(Summary!N19/12)*2</f>
        <v>117.8452567855895</v>
      </c>
      <c r="S38" s="57">
        <f>F$22*I23+ROUND($F$14*365/12,2)+(Summary!N19/12)*2</f>
        <v>121.49463741399001</v>
      </c>
      <c r="T38" s="57">
        <f>F$22*J23+ROUND($F$14*365/12,2)+(Summary!N19/12)*2</f>
        <v>117.86850978542893</v>
      </c>
      <c r="V38" s="38" t="s">
        <v>461</v>
      </c>
      <c r="W38" s="57">
        <f>C$28*I23+ROUND($C$31*365/12,2)+(Summary!N19/12)*2</f>
        <v>69.537201823999993</v>
      </c>
      <c r="X38" s="57">
        <f>C$28*J23+ROUND($C$31*365/12,2)+(Summary!N19/12)*2</f>
        <v>67.098001759999988</v>
      </c>
      <c r="Y38" s="57">
        <f>D$28*I23+ROUND($P$14*365/12,2)+(Summary!N19/12)*2</f>
        <v>69.437851064</v>
      </c>
      <c r="Z38" s="57">
        <f>D$28*J23+ROUND($P$14*365/12,2)+(Summary!N19/12)*2</f>
        <v>67.001084359999993</v>
      </c>
      <c r="AA38" s="57">
        <f>E$28*I23+ROUND($P$14*365/12,2)+(Summary!N19/12)*2</f>
        <v>67.103279671073693</v>
      </c>
      <c r="AB38" s="57">
        <f>E$28*J23+ROUND($P$14*365/12,2)+(Summary!N19/12)*2</f>
        <v>64.748427752790391</v>
      </c>
      <c r="AC38" s="57">
        <f>F$28*I23+ROUND($P$14*365/12,2)+(Summary!N19/12)*2</f>
        <v>67.118933225031356</v>
      </c>
      <c r="AD38" s="57">
        <f>F$28*J23+ROUND($P$14*365/12,2)+(Summary!N19/12)*2</f>
        <v>64.763532059240774</v>
      </c>
    </row>
    <row r="39" spans="2:30" x14ac:dyDescent="0.25">
      <c r="B39" s="38" t="s">
        <v>462</v>
      </c>
      <c r="C39" s="57">
        <f>C$22*MIN(I24,P24)+IF(P24-I24&gt;0,C$23*(P24-I24))+ROUND($C$25*365/12,2)+(Summary!N19/12)*2</f>
        <v>198.13144204716261</v>
      </c>
      <c r="D39" s="57">
        <f>C$22*MIN(J24,Q24)+IF(Q24-J24&gt;0,C$23*(Q24-J24))+ROUND($C$25*365/12,2)+(Summary!N19/12)*2</f>
        <v>149.82597133735206</v>
      </c>
      <c r="E39" s="57">
        <f>D$22*MIN(I24,P24)+IF(P24-I24&gt;0,D$23*(P24-I24))+ROUND($F$14*365/12,2)+(Summary!N19/12)*2</f>
        <v>197.9630468418803</v>
      </c>
      <c r="F39" s="57">
        <f>D$22*MIN(J24,Q24)+IF(Q24-J24&gt;0,D$23*(Q24-J24))+ROUND($F$14*365/12,2)+(Summary!N19/12)*2</f>
        <v>149.70266518896315</v>
      </c>
      <c r="G39" s="57">
        <f>E$22*MIN(I24,P24)+IF(P24-I24&gt;0,E$23*(P24-I24))+ROUND($F$14*365/12,2)+(Summary!N19/12)*2</f>
        <v>191.91841927168932</v>
      </c>
      <c r="H39" s="57">
        <f>E$22*MIN(J24,Q24)+IF(Q24-J24&gt;0,E$23*(Q24-J24))+ROUND($F$14*365/12,2)+(Summary!N19/12)*2</f>
        <v>145.28036724729841</v>
      </c>
      <c r="I39" s="57">
        <f>F$22*MIN(I24,P24)+IF(P24-I24&gt;0,F$23*(P24-I24))+ROUND($F$14*365/12,2)+(Summary!N19/12)*2</f>
        <v>191.95894915400976</v>
      </c>
      <c r="J39" s="57">
        <f>F$22*MIN(J24,Q24)+IF(Q24-J24&gt;0,F$23*(Q24-J24))+ROUND($F$14*365/12,2)+(Summary!N19/12)*2</f>
        <v>145.31001923380714</v>
      </c>
      <c r="L39" s="38" t="s">
        <v>462</v>
      </c>
      <c r="M39" s="57">
        <f>C$22*I24+ROUND($C$25*365/12,2)+(Summary!N19/12)*2</f>
        <v>138.30737011200003</v>
      </c>
      <c r="N39" s="57">
        <f>C$22*J24+ROUND($C$25*365/12,2)+(Summary!N19/12)*2</f>
        <v>114.83913376200002</v>
      </c>
      <c r="O39" s="57">
        <f>D$22*I24+ROUND($F$14*365/12,2)+(Summary!N19/12)*2</f>
        <v>138.194462208</v>
      </c>
      <c r="P39" s="57">
        <f>D$22*J24+ROUND($F$14*365/12,2)+(Summary!N19/12)*2</f>
        <v>114.74827818300002</v>
      </c>
      <c r="Q39" s="57">
        <f>E$22*I24+ROUND($F$14*365/12,2)+(Summary!N19/12)*2</f>
        <v>134.15902607777687</v>
      </c>
      <c r="R39" s="57">
        <f>E$22*J24+ROUND($F$14*365/12,2)+(Summary!N19/12)*2</f>
        <v>111.50101317196109</v>
      </c>
      <c r="S39" s="57">
        <f>F$22*I24+ROUND($F$14*365/12,2)+(Summary!N19/12)*2</f>
        <v>134.18608411395371</v>
      </c>
      <c r="T39" s="57">
        <f>F$22*J24+ROUND($F$14*365/12,2)+(Summary!N19/12)*2</f>
        <v>111.5227864354471</v>
      </c>
      <c r="V39" s="38" t="s">
        <v>462</v>
      </c>
      <c r="W39" s="57">
        <f>C$28*I24+ROUND($C$31*365/12,2)+(Summary!N19/12)*2</f>
        <v>78.07440204800001</v>
      </c>
      <c r="X39" s="57">
        <f>C$28*J24+ROUND($C$31*365/12,2)+(Summary!N19/12)*2</f>
        <v>62.829401648000001</v>
      </c>
      <c r="Y39" s="57">
        <f>D$28*I24+ROUND($P$14*365/12,2)+(Summary!N19/12)*2</f>
        <v>77.966534528000011</v>
      </c>
      <c r="Z39" s="57">
        <f>D$28*J24+ROUND($P$14*365/12,2)+(Summary!N19/12)*2</f>
        <v>62.736742628000016</v>
      </c>
      <c r="AA39" s="57">
        <f>E$28*I24+ROUND($P$14*365/12,2)+(Summary!N19/12)*2</f>
        <v>75.3452613850652</v>
      </c>
      <c r="AB39" s="57">
        <f>E$28*J24+ROUND($P$14*365/12,2)+(Summary!N19/12)*2</f>
        <v>60.627436895794659</v>
      </c>
      <c r="AC39" s="57">
        <f>F$28*I24+ROUND($P$14*365/12,2)+(Summary!N19/12)*2</f>
        <v>75.36283730529837</v>
      </c>
      <c r="AD39" s="57">
        <f>F$28*J24+ROUND($P$14*365/12,2)+(Summary!N19/12)*2</f>
        <v>60.641580019107295</v>
      </c>
    </row>
    <row r="40" spans="2:30" x14ac:dyDescent="0.25">
      <c r="B40" s="38" t="s">
        <v>8</v>
      </c>
      <c r="C40" s="57">
        <f>C$22*MIN(I25,P25)+IF(P25-I25&gt;0,C$23*(P25-I25))+ROUND($C$25*365/12,2)+(Summary!N19/12)*2</f>
        <v>237.70427141352781</v>
      </c>
      <c r="D40" s="57">
        <f>C$22*MIN(J25,Q25)+IF(Q25-J25&gt;0,C$23*(Q25-J25))+ROUND($C$25*365/12,2)+(Summary!N19/12)*2</f>
        <v>162.04119234157585</v>
      </c>
      <c r="E40" s="57">
        <f>D$22*MIN(I25,P25)+IF(P25-I25&gt;0,D$23*(P25-I25))+ROUND($F$14*365/12,2)+(Summary!N19/12)*2</f>
        <v>237.49870412171387</v>
      </c>
      <c r="F40" s="57">
        <f>D$22*MIN(J25,Q25)+IF(Q25-J25&gt;0,D$23*(Q25-J25))+ROUND($F$14*365/12,2)+(Summary!N19/12)*2</f>
        <v>161.90636244106474</v>
      </c>
      <c r="G40" s="57">
        <f>E$22*MIN(I25,P25)+IF(P25-I25&gt;0,E$23*(P25-I25))+ROUND($F$14*365/12,2)+(Summary!N19/12)*2</f>
        <v>230.12503881929729</v>
      </c>
      <c r="H40" s="57">
        <f>E$22*MIN(J25,Q25)+IF(Q25-J25&gt;0,E$23*(Q25-J25))+ROUND($F$14*365/12,2)+(Summary!N19/12)*2</f>
        <v>157.07382282804238</v>
      </c>
      <c r="I40" s="57">
        <f>F$22*MIN(I25,P25)+IF(P25-I25&gt;0,F$23*(P25-I25))+ROUND($F$14*365/12,2)+(Summary!N19/12)*2</f>
        <v>230.17448004350953</v>
      </c>
      <c r="J40" s="57">
        <f>F$22*MIN(J25,Q25)+IF(Q25-J25&gt;0,F$23*(Q25-J25))+ROUND($F$14*365/12,2)+(Summary!N19/12)*2</f>
        <v>157.10622552937514</v>
      </c>
      <c r="L40" s="38" t="s">
        <v>8</v>
      </c>
      <c r="M40" s="57">
        <f>C$22*I25+ROUND($C$25*365/12,2)+(Summary!N19/12)*2</f>
        <v>176.79527772599999</v>
      </c>
      <c r="N40" s="57">
        <f>C$22*J25+ROUND($C$25*365/12,2)+(Summary!N19/12)*2</f>
        <v>130.79753448</v>
      </c>
      <c r="O40" s="57">
        <f>D$22*I25+ROUND($F$14*365/12,2)+(Summary!N19/12)*2</f>
        <v>176.64620400899997</v>
      </c>
      <c r="P40" s="57">
        <f>D$22*J25+ROUND($F$14*365/12,2)+(Summary!N19/12)*2</f>
        <v>130.69168332000001</v>
      </c>
      <c r="Q40" s="57">
        <f>E$22*I25+ROUND($F$14*365/12,2)+(Summary!N19/12)*2</f>
        <v>171.31816724331475</v>
      </c>
      <c r="R40" s="57">
        <f>E$22*J25+ROUND($F$14*365/12,2)+(Summary!N19/12)*2</f>
        <v>126.90846194791581</v>
      </c>
      <c r="S40" s="57">
        <f>F$22*I25+ROUND($F$14*365/12,2)+(Summary!N19/12)*2</f>
        <v>171.35389230670447</v>
      </c>
      <c r="T40" s="57">
        <f>F$22*J25+ROUND($F$14*365/12,2)+(Summary!N19/12)*2</f>
        <v>126.93382885683158</v>
      </c>
      <c r="V40" s="38" t="s">
        <v>8</v>
      </c>
      <c r="W40" s="57">
        <f>C$28*I25+ROUND($C$31*365/12,2)+(Summary!N19/12)*2</f>
        <v>103.07620270399998</v>
      </c>
      <c r="X40" s="57">
        <f>C$28*J25+ROUND($C$31*365/12,2)+(Summary!N19/12)*2</f>
        <v>73.19600192</v>
      </c>
      <c r="Y40" s="57">
        <f>D$28*I25+ROUND($P$14*365/12,2)+(Summary!N19/12)*2</f>
        <v>102.94339324399999</v>
      </c>
      <c r="Z40" s="57">
        <f>D$28*J25+ROUND($P$14*365/12,2)+(Summary!N19/12)*2</f>
        <v>73.093001119999997</v>
      </c>
      <c r="AA40" s="57">
        <f>E$28*I25+ROUND($P$14*365/12,2)+(Summary!N19/12)*2</f>
        <v>99.482493547468877</v>
      </c>
      <c r="AB40" s="57">
        <f>E$28*J25+ROUND($P$14*365/12,2)+(Summary!N19/12)*2</f>
        <v>70.635557548498625</v>
      </c>
      <c r="AC40" s="57">
        <f>F$28*I25+ROUND($P$14*365/12,2)+(Summary!N19/12)*2</f>
        <v>99.505699254651745</v>
      </c>
      <c r="AD40" s="57">
        <f>F$28*J25+ROUND($P$14*365/12,2)+(Summary!N19/12)*2</f>
        <v>70.652034973717221</v>
      </c>
    </row>
    <row r="41" spans="2:30" x14ac:dyDescent="0.25">
      <c r="B41" s="38" t="s">
        <v>465</v>
      </c>
      <c r="C41" s="57">
        <f>C$22*MIN(I26,P26)+IF(P26-I26&gt;0,C$23*(P26-I26))+ROUND($C$25*365/12,2)+(Summary!N19/12)*2</f>
        <v>271.20494663839975</v>
      </c>
      <c r="D41" s="57">
        <f>C$22*MIN(J26,Q26)+IF(Q26-J26&gt;0,C$23*(Q26-J26))+ROUND($C$25*365/12,2)+(Summary!N19/12)*2</f>
        <v>171.54683937059312</v>
      </c>
      <c r="E41" s="57">
        <f>D$22*MIN(I26,P26)+IF(P26-I26&gt;0,D$23*(P26-I26))+ROUND($F$14*365/12,2)+(Summary!N19/12)*2</f>
        <v>270.96803326893053</v>
      </c>
      <c r="F41" s="57">
        <f>D$22*MIN(J26,Q26)+IF(Q26-J26&gt;0,D$23*(Q26-J26))+ROUND($F$14*365/12,2)+(Summary!N19/12)*2</f>
        <v>171.40318149307296</v>
      </c>
      <c r="G41" s="57">
        <f>E$22*MIN(I26,P26)+IF(P26-I26&gt;0,E$23*(P26-I26))+ROUND($F$14*365/12,2)+(Summary!N19/12)*2</f>
        <v>262.46925700670153</v>
      </c>
      <c r="H41" s="57">
        <f>E$22*MIN(J26,Q26)+IF(Q26-J26&gt;0,E$23*(Q26-J26))+ROUND($F$14*365/12,2)+(Summary!N19/12)*2</f>
        <v>166.25139511081389</v>
      </c>
      <c r="I41" s="57">
        <f>F$22*MIN(I26,P26)+IF(P26-I26&gt;0,F$23*(P26-I26))+ROUND($F$14*365/12,2)+(Summary!N19/12)*2</f>
        <v>262.52624222171704</v>
      </c>
      <c r="J41" s="57">
        <f>F$22*MIN(J26,Q26)+IF(Q26-J26&gt;0,F$23*(Q26-J26))+ROUND($F$14*365/12,2)+(Summary!N19/12)*2</f>
        <v>166.28593839629977</v>
      </c>
      <c r="L41" s="38" t="s">
        <v>465</v>
      </c>
      <c r="M41" s="57">
        <f>C$22*I26+ROUND($C$25*365/12,2)+(Summary!N19/12)*2</f>
        <v>199.32478462200004</v>
      </c>
      <c r="N41" s="57">
        <f>C$22*J26+ROUND($C$25*365/12,2)+(Summary!N19/12)*2</f>
        <v>131.73626393399999</v>
      </c>
      <c r="O41" s="57">
        <f>D$22*I26+ROUND($F$14*365/12,2)+(Summary!N19/12)*2</f>
        <v>199.15454067300004</v>
      </c>
      <c r="P41" s="57">
        <f>D$22*J26+ROUND($F$14*365/12,2)+(Summary!N19/12)*2</f>
        <v>131.62953068100001</v>
      </c>
      <c r="Q41" s="57">
        <f>E$22*I26+ROUND($F$14*365/12,2)+(Summary!N19/12)*2</f>
        <v>193.06985963289796</v>
      </c>
      <c r="R41" s="57">
        <f>E$22*J26+ROUND($F$14*365/12,2)+(Summary!N19/12)*2</f>
        <v>127.81478246414844</v>
      </c>
      <c r="S41" s="57">
        <f>F$22*I26+ROUND($F$14*365/12,2)+(Summary!N19/12)*2</f>
        <v>193.11065807807083</v>
      </c>
      <c r="T41" s="57">
        <f>F$22*J26+ROUND($F$14*365/12,2)+(Summary!N19/12)*2</f>
        <v>127.84036076397183</v>
      </c>
      <c r="V41" s="38" t="s">
        <v>465</v>
      </c>
      <c r="W41" s="57">
        <f>C$28*I26+ROUND($C$31*365/12,2)+(Summary!N19/12)*2</f>
        <v>117.71140308800001</v>
      </c>
      <c r="X41" s="57">
        <f>C$28*J26+ROUND($C$31*365/12,2)+(Summary!N19/12)*2</f>
        <v>73.805801935999995</v>
      </c>
      <c r="Y41" s="57">
        <f>D$28*I26+ROUND($P$14*365/12,2)+(Summary!N19/12)*2</f>
        <v>117.56399346800002</v>
      </c>
      <c r="Z41" s="57">
        <f>D$28*J26+ROUND($P$14*365/12,2)+(Summary!N19/12)*2</f>
        <v>73.702192796000006</v>
      </c>
      <c r="AA41" s="57">
        <f>E$28*I26+ROUND($P$14*365/12,2)+(Summary!N19/12)*2</f>
        <v>113.61160505716863</v>
      </c>
      <c r="AB41" s="57">
        <f>E$28*J26+ROUND($P$14*365/12,2)+(Summary!N19/12)*2</f>
        <v>71.224270528069439</v>
      </c>
      <c r="AC41" s="57">
        <f>F$28*I26+ROUND($P$14*365/12,2)+(Summary!N19/12)*2</f>
        <v>113.63810624939521</v>
      </c>
      <c r="AD41" s="57">
        <f>F$28*J26+ROUND($P$14*365/12,2)+(Summary!N19/12)*2</f>
        <v>71.240885265164863</v>
      </c>
    </row>
    <row r="42" spans="2:30" ht="15" customHeight="1" x14ac:dyDescent="0.25">
      <c r="B42" s="38" t="s">
        <v>466</v>
      </c>
      <c r="C42" s="57">
        <f>C$22*MIN(I27,P27)+IF(P27-I27&gt;0,C$23*(P27-I27))+ROUND($C$25*365/12,2)+(Summary!N19/12)*2</f>
        <v>322.71951348546702</v>
      </c>
      <c r="D42" s="57">
        <f>C$22*MIN(J27,Q27)+IF(Q27-J27&gt;0,C$23*(Q27-J27))+ROUND($C$25*365/12,2)+(Summary!N19/12)*2</f>
        <v>174.05502474881908</v>
      </c>
      <c r="E42" s="57">
        <f>D$22*MIN(I27,P27)+IF(P27-I27&gt;0,D$23*(P27-I27))+ROUND($F$14*365/12,2)+(Summary!N19/12)*2</f>
        <v>322.43448894104125</v>
      </c>
      <c r="F42" s="57">
        <f>D$22*MIN(J27,Q27)+IF(Q27-J27&gt;0,D$23*(Q27-J27))+ROUND($F$14*365/12,2)+(Summary!N19/12)*2</f>
        <v>173.9090290954793</v>
      </c>
      <c r="G42" s="57">
        <f>E$22*MIN(I27,P27)+IF(P27-I27&gt;0,E$23*(P27-I27))+ROUND($F$14*365/12,2)+(Summary!N19/12)*2</f>
        <v>312.20560709215135</v>
      </c>
      <c r="H42" s="57">
        <f>E$22*MIN(J27,Q27)+IF(Q27-J27&gt;0,E$23*(Q27-J27))+ROUND($F$14*365/12,2)+(Summary!N19/12)*2</f>
        <v>168.67300569165678</v>
      </c>
      <c r="I42" s="57">
        <f>F$22*MIN(I27,P27)+IF(P27-I27&gt;0,F$23*(P27-I27))+ROUND($F$14*365/12,2)+(Summary!N19/12)*2</f>
        <v>312.27419285244696</v>
      </c>
      <c r="J42" s="57">
        <f>F$22*MIN(J27,Q27)+IF(Q27-J27&gt;0,F$23*(Q27-J27))+ROUND($F$14*365/12,2)+(Summary!N19/12)*2</f>
        <v>168.70811379549275</v>
      </c>
      <c r="L42" s="38" t="s">
        <v>466</v>
      </c>
      <c r="M42" s="57">
        <f>C$22*I27+ROUND($C$25*365/12,2)+(Summary!N19/12)*2</f>
        <v>226.54793878800001</v>
      </c>
      <c r="N42" s="57">
        <f>C$22*J27+ROUND($C$25*365/12,2)+(Summary!N19/12)*2</f>
        <v>132.67499338799999</v>
      </c>
      <c r="O42" s="57">
        <f>D$22*I27+ROUND($F$14*365/12,2)+(Summary!N19/12)*2</f>
        <v>226.35211414199998</v>
      </c>
      <c r="P42" s="57">
        <f>D$22*J27+ROUND($F$14*365/12,2)+(Summary!N19/12)*2</f>
        <v>132.567378042</v>
      </c>
      <c r="Q42" s="57">
        <f>E$22*I27+ROUND($F$14*365/12,2)+(Summary!N19/12)*2</f>
        <v>219.35315460364424</v>
      </c>
      <c r="R42" s="57">
        <f>E$22*J27+ROUND($F$14*365/12,2)+(Summary!N19/12)*2</f>
        <v>128.72110298038106</v>
      </c>
      <c r="S42" s="57">
        <f>F$22*I27+ROUND($F$14*365/12,2)+(Summary!N19/12)*2</f>
        <v>219.4000833851384</v>
      </c>
      <c r="T42" s="57">
        <f>F$22*J27+ROUND($F$14*365/12,2)+(Summary!N19/12)*2</f>
        <v>128.74689267111211</v>
      </c>
      <c r="V42" s="38" t="s">
        <v>466</v>
      </c>
      <c r="W42" s="57">
        <f>C$28*I27+ROUND($C$31*365/12,2)+(Summary!N19/12)*2</f>
        <v>135.39560355199998</v>
      </c>
      <c r="X42" s="57">
        <f>C$28*J27+ROUND($C$31*365/12,2)+(Summary!N19/12)*2</f>
        <v>74.415601951999989</v>
      </c>
      <c r="Y42" s="57">
        <f>D$28*I27+ROUND($P$14*365/12,2)+(Summary!N19/12)*2</f>
        <v>135.23055207200002</v>
      </c>
      <c r="Z42" s="57">
        <f>D$28*J27+ROUND($P$14*365/12,2)+(Summary!N19/12)*2</f>
        <v>74.311384472</v>
      </c>
      <c r="AA42" s="57">
        <f>E$28*I27+ROUND($P$14*365/12,2)+(Summary!N19/12)*2</f>
        <v>130.68428146472246</v>
      </c>
      <c r="AB42" s="57">
        <f>E$28*J27+ROUND($P$14*365/12,2)+(Summary!N19/12)*2</f>
        <v>71.812983507640268</v>
      </c>
      <c r="AC42" s="57">
        <f>F$28*I27+ROUND($P$14*365/12,2)+(Summary!N19/12)*2</f>
        <v>130.71476470137685</v>
      </c>
      <c r="AD42" s="57">
        <f>F$28*J27+ROUND($P$14*365/12,2)+(Summary!N19/12)*2</f>
        <v>71.829735556612505</v>
      </c>
    </row>
    <row r="43" spans="2:30" ht="15" customHeight="1" x14ac:dyDescent="0.25">
      <c r="B43" s="38" t="s">
        <v>467</v>
      </c>
      <c r="C43" s="57">
        <f>C$22*MIN(I28,P28)+IF(P28-I28&gt;0,C$23*(P28-I28))+ROUND($C$25*365/12,2)+(Summary!N19/12)*2</f>
        <v>260.84785911471448</v>
      </c>
      <c r="D43" s="57">
        <f>C$22*MIN(J28,Q28)+IF(Q28-J28&gt;0,C$23*(Q28-J28))+ROUND($C$25*365/12,2)+(Summary!N19/12)*2</f>
        <v>161.75427836902284</v>
      </c>
      <c r="E43" s="57">
        <f>D$22*MIN(I28,P28)+IF(P28-I28&gt;0,D$23*(P28-I28))+ROUND($F$14*365/12,2)+(Summary!N19/12)*2</f>
        <v>260.62056344006731</v>
      </c>
      <c r="F43" s="57">
        <f>D$22*MIN(J28,Q28)+IF(Q28-J28&gt;0,D$23*(Q28-J28))+ROUND($F$14*365/12,2)+(Summary!N19/12)*2</f>
        <v>161.61972599748208</v>
      </c>
      <c r="G43" s="57">
        <f>E$22*MIN(I28,P28)+IF(P28-I28&gt;0,E$23*(P28-I28))+ROUND($F$14*365/12,2)+(Summary!N19/12)*2</f>
        <v>252.46962957586112</v>
      </c>
      <c r="H43" s="57">
        <f>E$22*MIN(J28,Q28)+IF(Q28-J28&gt;0,E$23*(Q28-J28))+ROUND($F$14*365/12,2)+(Summary!N19/12)*2</f>
        <v>156.79682200645675</v>
      </c>
      <c r="I43" s="57">
        <f>F$22*MIN(I28,P28)+IF(P28-I28&gt;0,F$23*(P28-I28))+ROUND($F$14*365/12,2)+(Summary!N19/12)*2</f>
        <v>252.52428246993634</v>
      </c>
      <c r="J43" s="57">
        <f>F$22*MIN(J28,Q28)+IF(Q28-J28&gt;0,F$23*(Q28-J28))+ROUND($F$14*365/12,2)+(Summary!N19/12)*2</f>
        <v>156.82916009990078</v>
      </c>
      <c r="L43" s="38" t="s">
        <v>467</v>
      </c>
      <c r="M43" s="57">
        <f>C$22*I28+ROUND($C$25*365/12,2)+(Summary!N19/12)*2</f>
        <v>198.38605516800001</v>
      </c>
      <c r="N43" s="57">
        <f>C$22*J28+ROUND($C$25*365/12,2)+(Summary!N19/12)*2</f>
        <v>129.858805026</v>
      </c>
      <c r="O43" s="57">
        <f>D$22*I28+ROUND($F$14*365/12,2)+(Summary!N19/12)*2</f>
        <v>198.21669331199999</v>
      </c>
      <c r="P43" s="57">
        <f>D$22*J28+ROUND($F$14*365/12,2)+(Summary!N19/12)*2</f>
        <v>129.75383595900001</v>
      </c>
      <c r="Q43" s="57">
        <f>E$22*I28+ROUND($F$14*365/12,2)+(Summary!N19/12)*2</f>
        <v>192.16353911666531</v>
      </c>
      <c r="R43" s="57">
        <f>E$22*J28+ROUND($F$14*365/12,2)+(Summary!N19/12)*2</f>
        <v>126.00214143168319</v>
      </c>
      <c r="S43" s="57">
        <f>F$22*I28+ROUND($F$14*365/12,2)+(Summary!N19/12)*2</f>
        <v>192.20412617093052</v>
      </c>
      <c r="T43" s="57">
        <f>F$22*J28+ROUND($F$14*365/12,2)+(Summary!N19/12)*2</f>
        <v>126.02729694969133</v>
      </c>
      <c r="V43" s="38" t="s">
        <v>467</v>
      </c>
      <c r="W43" s="57">
        <f>C$28*I28+ROUND($C$31*365/12,2)+(Summary!N19/12)*2</f>
        <v>117.10160307199999</v>
      </c>
      <c r="X43" s="57">
        <f>C$28*J28+ROUND($C$31*365/12,2)+(Summary!N19/12)*2</f>
        <v>72.586201903999992</v>
      </c>
      <c r="Y43" s="57">
        <f>D$28*I28+ROUND($P$14*365/12,2)+(Summary!N19/12)*2</f>
        <v>116.954801792</v>
      </c>
      <c r="Z43" s="57">
        <f>D$28*J28+ROUND($P$14*365/12,2)+(Summary!N19/12)*2</f>
        <v>72.483809444000002</v>
      </c>
      <c r="AA43" s="57">
        <f>E$28*I28+ROUND($P$14*365/12,2)+(Summary!N19/12)*2</f>
        <v>113.02289207759779</v>
      </c>
      <c r="AB43" s="57">
        <f>E$28*J28+ROUND($P$14*365/12,2)+(Summary!N19/12)*2</f>
        <v>70.046844568927796</v>
      </c>
      <c r="AC43" s="57">
        <f>F$28*I28+ROUND($P$14*365/12,2)+(Summary!N19/12)*2</f>
        <v>113.04925595794755</v>
      </c>
      <c r="AD43" s="57">
        <f>F$28*J28+ROUND($P$14*365/12,2)+(Summary!N19/12)*2</f>
        <v>70.063184682269579</v>
      </c>
    </row>
    <row r="44" spans="2:30" ht="15" customHeight="1" x14ac:dyDescent="0.25">
      <c r="B44" s="38" t="s">
        <v>468</v>
      </c>
      <c r="C44" s="57">
        <f>C$22*MIN(I29,P29)+IF(P29-I29&gt;0,C$23*(P29-I29))+ROUND($C$25*365/12,2)+(Summary!N19/12)*2</f>
        <v>348.02637061926663</v>
      </c>
      <c r="D44" s="57">
        <f>C$22*MIN(J29,Q29)+IF(Q29-J29&gt;0,C$23*(Q29-J29))+ROUND($C$25*365/12,2)+(Summary!N19/12)*2</f>
        <v>198.98604523220058</v>
      </c>
      <c r="E44" s="57">
        <f>D$22*MIN(I29,P29)+IF(P29-I29&gt;0,D$23*(P29-I29))+ROUND($F$14*365/12,2)+(Summary!N19/12)*2</f>
        <v>347.71639671129049</v>
      </c>
      <c r="F44" s="57">
        <f>D$22*MIN(J29,Q29)+IF(Q29-J29&gt;0,D$23*(Q29-J29))+ROUND($F$14*365/12,2)+(Summary!N19/12)*2</f>
        <v>198.81721120921426</v>
      </c>
      <c r="G44" s="57">
        <f>E$22*MIN(I29,P29)+IF(P29-I29&gt;0,E$23*(P29-I29))+ROUND($F$14*365/12,2)+(Summary!N19/12)*2</f>
        <v>336.63763372519111</v>
      </c>
      <c r="H44" s="57">
        <f>E$22*MIN(J29,Q29)+IF(Q29-J29&gt;0,E$23*(Q29-J29))+ROUND($F$14*365/12,2)+(Summary!N19/12)*2</f>
        <v>192.74386989675068</v>
      </c>
      <c r="I44" s="57">
        <f>F$22*MIN(I29,P29)+IF(P29-I29&gt;0,F$23*(P29-I29))+ROUND($F$14*365/12,2)+(Summary!N19/12)*2</f>
        <v>336.71191803052983</v>
      </c>
      <c r="J44" s="57">
        <f>F$22*MIN(J29,Q29)+IF(Q29-J29&gt;0,F$23*(Q29-J29))+ROUND($F$14*365/12,2)+(Summary!N19/12)*2</f>
        <v>192.78459230782195</v>
      </c>
      <c r="L44" s="38" t="s">
        <v>468</v>
      </c>
      <c r="M44" s="57">
        <f>C$22*I29+ROUND($C$25*365/12,2)+(Summary!N19/12)*2</f>
        <v>440.57825430000003</v>
      </c>
      <c r="N44" s="57">
        <f>C$22*J29+ROUND($C$25*365/12,2)+(Summary!N19/12)*2</f>
        <v>109.20675703800001</v>
      </c>
      <c r="O44" s="57">
        <f>D$22*I29+ROUND($F$14*365/12,2)+(Summary!N19/12)*2</f>
        <v>440.18131245000001</v>
      </c>
      <c r="P44" s="57">
        <f>D$22*J29+ROUND($F$14*365/12,2)+(Summary!N19/12)*2</f>
        <v>109.12119401699999</v>
      </c>
      <c r="Q44" s="57">
        <f>E$22*I29+ROUND($F$14*365/12,2)+(Summary!N19/12)*2</f>
        <v>425.99423230468432</v>
      </c>
      <c r="R44" s="57">
        <f>E$22*J29+ROUND($F$14*365/12,2)+(Summary!N19/12)*2</f>
        <v>106.06309007456528</v>
      </c>
      <c r="S44" s="57">
        <f>F$22*I29+ROUND($F$14*365/12,2)+(Summary!N19/12)*2</f>
        <v>426.08935821311843</v>
      </c>
      <c r="T44" s="57">
        <f>F$22*J29+ROUND($F$14*365/12,2)+(Summary!N19/12)*2</f>
        <v>106.08359499260553</v>
      </c>
      <c r="V44" s="38" t="s">
        <v>468</v>
      </c>
      <c r="W44" s="57">
        <f>C$28*I29+ROUND($C$31*365/12,2)+(Summary!N19/12)*2</f>
        <v>274.43000719999998</v>
      </c>
      <c r="X44" s="57">
        <f>C$28*J29+ROUND($C$31*365/12,2)+(Summary!N19/12)*2</f>
        <v>59.170601551999994</v>
      </c>
      <c r="Y44" s="57">
        <f>D$28*I29+ROUND($P$14*365/12,2)+(Summary!N19/12)*2</f>
        <v>274.12625420000006</v>
      </c>
      <c r="Z44" s="57">
        <f>D$28*J29+ROUND($P$14*365/12,2)+(Summary!N19/12)*2</f>
        <v>59.081592572000005</v>
      </c>
      <c r="AA44" s="57">
        <f>E$28*I29+ROUND($P$14*365/12,2)+(Summary!N19/12)*2</f>
        <v>264.91084080686989</v>
      </c>
      <c r="AB44" s="57">
        <f>E$28*J29+ROUND($P$14*365/12,2)+(Summary!N19/12)*2</f>
        <v>57.095159018369721</v>
      </c>
      <c r="AC44" s="57">
        <f>F$28*I29+ROUND($P$14*365/12,2)+(Summary!N19/12)*2</f>
        <v>264.9726311514396</v>
      </c>
      <c r="AD44" s="57">
        <f>F$28*J29+ROUND($P$14*365/12,2)+(Summary!N19/12)*2</f>
        <v>57.108478270421422</v>
      </c>
    </row>
    <row r="45" spans="2:30" x14ac:dyDescent="0.25">
      <c r="B45" s="38" t="s">
        <v>469</v>
      </c>
      <c r="C45" s="57">
        <f>C$22*MIN(I30,P30)+IF(P30-I30&gt;0,C$23*(P30-I30))+ROUND($C$25*365/12,2)+(Summary!N19/12)*2</f>
        <v>174.64219647257744</v>
      </c>
      <c r="D45" s="57">
        <f>C$22*MIN(J30,Q30)+IF(Q30-J30&gt;0,C$23*(Q30-J30))+ROUND($C$25*365/12,2)+(Summary!N19/12)*2</f>
        <v>139.90127244846204</v>
      </c>
      <c r="E45" s="57">
        <f>D$22*MIN(I30,P30)+IF(P30-I30&gt;0,D$23*(P30-I30))+ROUND($F$14*365/12,2)+(Summary!N19/12)*2</f>
        <v>174.4953708631856</v>
      </c>
      <c r="F45" s="57">
        <f>D$22*MIN(J30,Q30)+IF(Q30-J30&gt;0,D$23*(Q30-J30))+ROUND($F$14*365/12,2)+(Summary!N19/12)*2</f>
        <v>139.78693184334037</v>
      </c>
      <c r="G45" s="57">
        <f>E$22*MIN(I30,P30)+IF(P30-I30&gt;0,E$23*(P30-I30))+ROUND($F$14*365/12,2)+(Summary!N19/12)*2</f>
        <v>169.23963688954137</v>
      </c>
      <c r="H45" s="57">
        <f>E$22*MIN(J30,Q30)+IF(Q30-J30&gt;0,E$23*(Q30-J30))+ROUND($F$14*365/12,2)+(Summary!N19/12)*2</f>
        <v>135.69796296879454</v>
      </c>
      <c r="I45" s="57">
        <f>F$22*MIN(I30,P30)+IF(P30-I30&gt;0,F$23*(P30-I30))+ROUND($F$14*365/12,2)+(Summary!N19/12)*2</f>
        <v>169.27487715488209</v>
      </c>
      <c r="J45" s="57">
        <f>F$22*MIN(J30,Q30)+IF(Q30-J30&gt;0,F$23*(Q30-J30))+ROUND($F$14*365/12,2)+(Summary!N19/12)*2</f>
        <v>135.72537994781814</v>
      </c>
      <c r="L45" s="38" t="s">
        <v>469</v>
      </c>
      <c r="M45" s="57">
        <f>C$22*I30+ROUND($C$25*365/12,2)+(Summary!N19/12)*2</f>
        <v>156.143229738</v>
      </c>
      <c r="N45" s="57">
        <f>C$22*J30+ROUND($C$25*365/12,2)+(Summary!N19/12)*2</f>
        <v>134.55245229600001</v>
      </c>
      <c r="O45" s="57">
        <f>D$22*I30+ROUND($F$14*365/12,2)+(Summary!N19/12)*2</f>
        <v>156.01356206700001</v>
      </c>
      <c r="P45" s="57">
        <f>D$22*J30+ROUND($F$14*365/12,2)+(Summary!N19/12)*2</f>
        <v>134.44307276400002</v>
      </c>
      <c r="Q45" s="57">
        <f>E$22*I30+ROUND($F$14*365/12,2)+(Summary!N19/12)*2</f>
        <v>151.37911588619687</v>
      </c>
      <c r="R45" s="57">
        <f>E$22*J30+ROUND($F$14*365/12,2)+(Summary!N19/12)*2</f>
        <v>130.53374401284634</v>
      </c>
      <c r="S45" s="57">
        <f>F$22*I30+ROUND($F$14*365/12,2)+(Summary!N19/12)*2</f>
        <v>151.41019034961869</v>
      </c>
      <c r="T45" s="57">
        <f>F$22*J30+ROUND($F$14*365/12,2)+(Summary!N19/12)*2</f>
        <v>130.55995648539263</v>
      </c>
      <c r="V45" s="38" t="s">
        <v>469</v>
      </c>
      <c r="W45" s="57">
        <f>C$28*I30+ROUND($C$31*365/12,2)+(Summary!N19/12)*2</f>
        <v>89.660602351999998</v>
      </c>
      <c r="X45" s="57">
        <f>C$28*J30+ROUND($C$31*365/12,2)+(Summary!N19/12)*2</f>
        <v>75.635201984000005</v>
      </c>
      <c r="Y45" s="57">
        <f>D$28*I30+ROUND($P$14*365/12,2)+(Summary!N19/12)*2</f>
        <v>89.54117637200001</v>
      </c>
      <c r="Z45" s="57">
        <f>D$28*J30+ROUND($P$14*365/12,2)+(Summary!N19/12)*2</f>
        <v>75.529767824000004</v>
      </c>
      <c r="AA45" s="57">
        <f>E$28*I30+ROUND($P$14*365/12,2)+(Summary!N19/12)*2</f>
        <v>86.530807996910809</v>
      </c>
      <c r="AB45" s="57">
        <f>E$28*J30+ROUND($P$14*365/12,2)+(Summary!N19/12)*2</f>
        <v>72.990409466781912</v>
      </c>
      <c r="AC45" s="57">
        <f>F$28*I30+ROUND($P$14*365/12,2)+(Summary!N19/12)*2</f>
        <v>86.550992842803595</v>
      </c>
      <c r="AD45" s="57">
        <f>F$28*J30+ROUND($P$14*365/12,2)+(Summary!N19/12)*2</f>
        <v>73.007436139507803</v>
      </c>
    </row>
    <row r="46" spans="2:30" s="59" customFormat="1" x14ac:dyDescent="0.25">
      <c r="B46" s="38" t="s">
        <v>472</v>
      </c>
      <c r="C46" s="131">
        <f t="shared" ref="C46:J46" si="8">SUMPRODUCT(C37:C45,$T$22:$T$30)</f>
        <v>232.95250202366066</v>
      </c>
      <c r="D46" s="131">
        <f t="shared" si="8"/>
        <v>159.54181323610322</v>
      </c>
      <c r="E46" s="131">
        <f t="shared" si="8"/>
        <v>232.75136393545262</v>
      </c>
      <c r="F46" s="131">
        <f t="shared" si="8"/>
        <v>159.40936797420838</v>
      </c>
      <c r="G46" s="131">
        <f t="shared" si="8"/>
        <v>225.53728607053822</v>
      </c>
      <c r="H46" s="131">
        <f t="shared" si="8"/>
        <v>154.66076777416006</v>
      </c>
      <c r="I46" s="131">
        <f t="shared" si="8"/>
        <v>225.5856572437032</v>
      </c>
      <c r="J46" s="131">
        <f t="shared" si="8"/>
        <v>154.69260765264056</v>
      </c>
      <c r="L46" s="38" t="s">
        <v>472</v>
      </c>
      <c r="M46" s="131">
        <f t="shared" ref="M46:T46" si="9">SUMPRODUCT(M37:M45,$T$22:$T$30)</f>
        <v>178.01757384881751</v>
      </c>
      <c r="N46" s="131">
        <f t="shared" si="9"/>
        <v>125.34925992451292</v>
      </c>
      <c r="O46" s="131">
        <f t="shared" si="9"/>
        <v>177.86735158060364</v>
      </c>
      <c r="P46" s="131">
        <f t="shared" si="9"/>
        <v>125.24852832779817</v>
      </c>
      <c r="Q46" s="131">
        <f t="shared" si="9"/>
        <v>172.49826449955904</v>
      </c>
      <c r="R46" s="131">
        <f t="shared" si="9"/>
        <v>121.6482850282874</v>
      </c>
      <c r="S46" s="131">
        <f t="shared" si="9"/>
        <v>172.53426480975784</v>
      </c>
      <c r="T46" s="131">
        <f t="shared" si="9"/>
        <v>121.67242504941522</v>
      </c>
      <c r="V46" s="38" t="s">
        <v>472</v>
      </c>
      <c r="W46" s="131">
        <f>SUMPRODUCT(W37:W45,$U$22:$U$30)</f>
        <v>113.66367862444353</v>
      </c>
      <c r="X46" s="131">
        <f t="shared" ref="X46:AD46" si="10">SUMPRODUCT(X37:X45,$U$22:$U$30)</f>
        <v>71.089546784101884</v>
      </c>
      <c r="Y46" s="131">
        <f t="shared" si="10"/>
        <v>113.52030703762746</v>
      </c>
      <c r="Z46" s="131">
        <f t="shared" si="10"/>
        <v>70.988647395849611</v>
      </c>
      <c r="AA46" s="131">
        <f t="shared" si="10"/>
        <v>109.70385191368227</v>
      </c>
      <c r="AB46" s="131">
        <f t="shared" si="10"/>
        <v>68.601944155830495</v>
      </c>
      <c r="AC46" s="131">
        <f t="shared" si="10"/>
        <v>109.72944165850252</v>
      </c>
      <c r="AD46" s="131">
        <f t="shared" si="10"/>
        <v>68.617947259467343</v>
      </c>
    </row>
    <row r="47" spans="2:30" x14ac:dyDescent="0.25">
      <c r="B47" s="48"/>
      <c r="C47" s="57"/>
      <c r="D47" s="57"/>
      <c r="E47" s="58"/>
      <c r="F47" s="61"/>
      <c r="G47" s="62"/>
      <c r="H47" s="62"/>
      <c r="I47" s="62"/>
      <c r="J47" s="62"/>
      <c r="L47" s="48"/>
      <c r="M47" s="57"/>
      <c r="N47" s="57"/>
      <c r="O47" s="58"/>
      <c r="P47" s="61"/>
      <c r="Q47" s="62"/>
      <c r="R47" s="62"/>
      <c r="S47" s="62"/>
      <c r="T47" s="62"/>
      <c r="V47" s="48"/>
      <c r="W47" s="57"/>
      <c r="X47" s="57"/>
      <c r="Y47" s="58"/>
      <c r="Z47" s="61"/>
      <c r="AA47" s="62"/>
      <c r="AB47" s="62"/>
      <c r="AC47" s="62"/>
      <c r="AD47" s="62"/>
    </row>
    <row r="48" spans="2:30" x14ac:dyDescent="0.25">
      <c r="B48" s="48"/>
      <c r="C48" s="57"/>
      <c r="D48" s="57"/>
      <c r="E48" s="58"/>
      <c r="F48" s="57"/>
      <c r="G48" s="62"/>
      <c r="H48" s="62"/>
      <c r="I48" s="62"/>
      <c r="J48" s="62"/>
      <c r="L48" s="48"/>
      <c r="M48" s="57"/>
      <c r="N48" s="57"/>
      <c r="O48" s="58"/>
      <c r="P48" s="57"/>
      <c r="Q48" s="62"/>
      <c r="R48" s="62"/>
      <c r="S48" s="62"/>
      <c r="T48" s="62"/>
      <c r="V48" s="48"/>
      <c r="W48" s="57"/>
      <c r="X48" s="57"/>
      <c r="Y48" s="58"/>
      <c r="Z48" s="57"/>
      <c r="AA48" s="62"/>
      <c r="AB48" s="62"/>
      <c r="AC48" s="62"/>
      <c r="AD48" s="62"/>
    </row>
    <row r="49" spans="2:30" x14ac:dyDescent="0.25">
      <c r="B49" s="48"/>
      <c r="C49" s="516" t="s">
        <v>24</v>
      </c>
      <c r="D49" s="516"/>
      <c r="E49" s="516"/>
      <c r="F49" s="516"/>
      <c r="G49" s="516"/>
      <c r="H49" s="516"/>
      <c r="I49" s="516"/>
      <c r="J49" s="516"/>
      <c r="L49" s="48"/>
      <c r="M49" s="516" t="s">
        <v>76</v>
      </c>
      <c r="N49" s="516"/>
      <c r="O49" s="516"/>
      <c r="P49" s="516"/>
      <c r="Q49" s="516"/>
      <c r="R49" s="516"/>
      <c r="S49" s="516"/>
      <c r="T49" s="516"/>
      <c r="V49" s="48"/>
      <c r="W49" s="516" t="s">
        <v>77</v>
      </c>
      <c r="X49" s="516"/>
      <c r="Y49" s="516"/>
      <c r="Z49" s="516"/>
      <c r="AA49" s="516"/>
      <c r="AB49" s="516"/>
      <c r="AC49" s="516"/>
      <c r="AD49" s="516"/>
    </row>
    <row r="50" spans="2:30" x14ac:dyDescent="0.25">
      <c r="B50" s="48"/>
      <c r="C50" s="519" t="str">
        <f>C27</f>
        <v>Jan 2026</v>
      </c>
      <c r="D50" s="519"/>
      <c r="E50" s="524">
        <f>D27</f>
        <v>46174</v>
      </c>
      <c r="F50" s="519"/>
      <c r="G50" s="519" t="str">
        <f>E27</f>
        <v>Authorized</v>
      </c>
      <c r="H50" s="519"/>
      <c r="I50" s="524" t="str">
        <f>F27</f>
        <v>w/Pending</v>
      </c>
      <c r="J50" s="519"/>
      <c r="L50" s="48"/>
      <c r="M50" s="519" t="str">
        <f>C50</f>
        <v>Jan 2026</v>
      </c>
      <c r="N50" s="519"/>
      <c r="O50" s="519">
        <f>E50</f>
        <v>46174</v>
      </c>
      <c r="P50" s="519"/>
      <c r="Q50" s="519" t="str">
        <f>G50</f>
        <v>Authorized</v>
      </c>
      <c r="R50" s="519"/>
      <c r="S50" s="519" t="str">
        <f>I50</f>
        <v>w/Pending</v>
      </c>
      <c r="T50" s="519"/>
      <c r="V50" s="48"/>
      <c r="W50" s="519" t="str">
        <f>M50</f>
        <v>Jan 2026</v>
      </c>
      <c r="X50" s="519"/>
      <c r="Y50" s="519">
        <f>O50</f>
        <v>46174</v>
      </c>
      <c r="Z50" s="519"/>
      <c r="AA50" s="519" t="str">
        <f>Q50</f>
        <v>Authorized</v>
      </c>
      <c r="AB50" s="519"/>
      <c r="AC50" s="519" t="str">
        <f>S50</f>
        <v>w/Pending</v>
      </c>
      <c r="AD50" s="519"/>
    </row>
    <row r="51" spans="2:30" x14ac:dyDescent="0.25">
      <c r="B51" s="48"/>
      <c r="C51" s="57" t="s">
        <v>454</v>
      </c>
      <c r="D51" s="57" t="s">
        <v>455</v>
      </c>
      <c r="E51" s="57" t="s">
        <v>454</v>
      </c>
      <c r="F51" s="57" t="s">
        <v>455</v>
      </c>
      <c r="G51" s="57" t="s">
        <v>454</v>
      </c>
      <c r="H51" s="57" t="s">
        <v>455</v>
      </c>
      <c r="I51" s="57" t="s">
        <v>454</v>
      </c>
      <c r="J51" s="57" t="s">
        <v>455</v>
      </c>
      <c r="L51" s="48"/>
      <c r="M51" s="57" t="s">
        <v>454</v>
      </c>
      <c r="N51" s="57" t="s">
        <v>455</v>
      </c>
      <c r="O51" s="57" t="s">
        <v>454</v>
      </c>
      <c r="P51" s="57" t="s">
        <v>455</v>
      </c>
      <c r="Q51" s="57" t="s">
        <v>454</v>
      </c>
      <c r="R51" s="57" t="s">
        <v>455</v>
      </c>
      <c r="S51" s="57" t="s">
        <v>454</v>
      </c>
      <c r="T51" s="57" t="s">
        <v>455</v>
      </c>
      <c r="V51" s="48"/>
      <c r="W51" s="57" t="s">
        <v>454</v>
      </c>
      <c r="X51" s="57" t="s">
        <v>455</v>
      </c>
      <c r="Y51" s="57" t="s">
        <v>454</v>
      </c>
      <c r="Z51" s="57" t="s">
        <v>455</v>
      </c>
      <c r="AA51" s="57" t="s">
        <v>454</v>
      </c>
      <c r="AB51" s="57" t="s">
        <v>455</v>
      </c>
      <c r="AC51" s="57" t="s">
        <v>454</v>
      </c>
      <c r="AD51" s="57" t="s">
        <v>455</v>
      </c>
    </row>
    <row r="52" spans="2:30" x14ac:dyDescent="0.25">
      <c r="B52" s="38" t="s">
        <v>459</v>
      </c>
      <c r="C52" s="57">
        <f>C$28*MIN(I22,R22)+IF(R22-I22&gt;0,C$29*(R22-I22))+ROUND($C$31*365/12,2)+(Summary!N19/12)*2</f>
        <v>61.522539509638008</v>
      </c>
      <c r="D52" s="57">
        <f>C$28*MIN(J22,S22)+IF(S22-J22&gt;0,C$29*(S22-J22))+ROUND($C$31*365/12,2)+(Summary!N19/12)*2</f>
        <v>67.247729442499988</v>
      </c>
      <c r="E52" s="57">
        <f>D$28*MIN(I22,R22)+IF(R22-I22&gt;0,D$29*(R22-I22))+ROUND($P$14*365/12,2)+(Summary!N19/12)*2</f>
        <v>61.431184222816754</v>
      </c>
      <c r="F52" s="57">
        <f>D$28*MIN(J22,S22)+IF(S22-J22&gt;0,D$29*(S22-J22))+ROUND($P$14*365/12,2)+(Summary!N19/12)*2</f>
        <v>67.150662673303572</v>
      </c>
      <c r="G52" s="57">
        <f>E$28*MIN(I22,R22)+IF(R22-I22&gt;0,E$29*(R22-I22))+ROUND($P$14*365/12,2)+(Summary!N19/12)*2</f>
        <v>59.365766375662389</v>
      </c>
      <c r="H52" s="57">
        <f>E$28*MIN(J22,S22)+IF(S22-J22&gt;0,E$29*(S22-J22))+ROUND($P$14*365/12,2)+(Summary!N19/12)*2</f>
        <v>64.8929778147386</v>
      </c>
      <c r="I52" s="57">
        <f>F$28*MIN(I22,R22)+IF(R22-I22&gt;0,F$29*(R22-I22))+ROUND($P$14*365/12,2)+(Summary!N19/12)*2</f>
        <v>59.379615225953941</v>
      </c>
      <c r="J52" s="57">
        <f>F$28*MIN(J22,S22)+IF(S22-J22&gt;0,F$29*(S22-J22))+ROUND($P$14*365/12,2)+(Summary!N19/12)*2</f>
        <v>64.908115836158728</v>
      </c>
      <c r="L52" s="38" t="s">
        <v>459</v>
      </c>
      <c r="M52" s="57">
        <f>C$22*K22+ROUND($C$25*365/12,2)+(Summary!N19/12)*2</f>
        <v>175.85654827200003</v>
      </c>
      <c r="N52" s="57">
        <f>C$22*L22+ROUND($C$25*365/12,2)+(Summary!N19/12)*2</f>
        <v>271.60695257999998</v>
      </c>
      <c r="O52" s="57">
        <f>D$22*K22+ROUND($F$14*365/12,2)+(Summary!N19/12)*2</f>
        <v>175.70835664800003</v>
      </c>
      <c r="P52" s="57">
        <f>D$22*L22+ROUND($F$14*365/12,2)+(Summary!N19/12)*2</f>
        <v>271.36878746999997</v>
      </c>
      <c r="Q52" s="57">
        <f>E$22*K22+ROUND($F$14*365/12,2)+(Summary!N19/12)*2</f>
        <v>170.41184672708215</v>
      </c>
      <c r="R52" s="57">
        <f>E$22*L22+ROUND($F$14*365/12,2)+(Summary!N19/12)*2</f>
        <v>262.85653938281058</v>
      </c>
      <c r="S52" s="57">
        <f>F$22*K22+ROUND($F$14*365/12,2)+(Summary!N19/12)*2</f>
        <v>170.44736039956425</v>
      </c>
      <c r="T52" s="57">
        <f>F$22*L22+ROUND($F$14*365/12,2)+(Summary!N19/12)*2</f>
        <v>262.91361492787104</v>
      </c>
      <c r="V52" s="38" t="s">
        <v>459</v>
      </c>
      <c r="W52" s="57">
        <f>C$28*K22+ROUND($C$31*365/12,2)+(Summary!N19/12)*2</f>
        <v>102.466402688</v>
      </c>
      <c r="X52" s="57">
        <f>C$28*L22+ROUND($C$31*365/12,2)+(Summary!N19/12)*2</f>
        <v>164.66600432000001</v>
      </c>
      <c r="Y52" s="57">
        <f>D$28*K22+ROUND($P$14*365/12,2)+(Summary!N19/12)*2</f>
        <v>102.33420156800001</v>
      </c>
      <c r="Z52" s="57">
        <f>D$28*L22+ROUND($P$14*365/12,2)+(Summary!N19/12)*2</f>
        <v>164.47175252000002</v>
      </c>
      <c r="AA52" s="57">
        <f>E$28*K22+ROUND($P$14*365/12,2)+(Summary!N19/12)*2</f>
        <v>98.893780567898077</v>
      </c>
      <c r="AB52" s="57">
        <f>E$28*L22+ROUND($P$14*365/12,2)+(Summary!N19/12)*2</f>
        <v>158.94250448412191</v>
      </c>
      <c r="AC52" s="57">
        <f>F$28*K22+ROUND($P$14*365/12,2)+(Summary!N19/12)*2</f>
        <v>98.916848963204117</v>
      </c>
      <c r="AD52" s="57">
        <f>F$28*L22+ROUND($P$14*365/12,2)+(Summary!N19/12)*2</f>
        <v>158.97957869086375</v>
      </c>
    </row>
    <row r="53" spans="2:30" x14ac:dyDescent="0.25">
      <c r="B53" s="38" t="s">
        <v>461</v>
      </c>
      <c r="C53" s="57">
        <f>C$28*MIN(I23,R23)+IF(R23-I23&gt;0,C$29*(R23-I23))+ROUND($C$31*365/12,2)+(Summary!N19/12)*2</f>
        <v>82.817478815646481</v>
      </c>
      <c r="D53" s="57">
        <f>C$28*MIN(J23,S23)+IF(S23-J23&gt;0,C$29*(S23-J23))+ROUND($C$31*365/12,2)+(Summary!N19/12)*2</f>
        <v>71.065000830536107</v>
      </c>
      <c r="E53" s="57">
        <f>D$28*MIN(I23,R23)+IF(R23-I23&gt;0,D$29*(R23-I23))+ROUND($P$14*365/12,2)+(Summary!N19/12)*2</f>
        <v>82.705772010808701</v>
      </c>
      <c r="F53" s="57">
        <f>D$28*MIN(J23,S23)+IF(S23-J23&gt;0,D$29*(S23-J23))+ROUND($P$14*365/12,2)+(Summary!N19/12)*2</f>
        <v>70.964392512160103</v>
      </c>
      <c r="G53" s="57">
        <f>E$28*MIN(I23,R23)+IF(R23-I23&gt;0,E$29*(R23-I23))+ROUND($P$14*365/12,2)+(Summary!N19/12)*2</f>
        <v>79.925183812301441</v>
      </c>
      <c r="H53" s="57">
        <f>E$28*MIN(J23,S23)+IF(S23-J23&gt;0,E$29*(S23-J23))+ROUND($P$14*365/12,2)+(Summary!N19/12)*2</f>
        <v>68.578504628652865</v>
      </c>
      <c r="I53" s="57">
        <f>F$28*MIN(I23,R23)+IF(R23-I23&gt;0,F$29*(R23-I23))+ROUND($P$14*365/12,2)+(Summary!N19/12)*2</f>
        <v>79.943827957231534</v>
      </c>
      <c r="J53" s="57">
        <f>F$28*MIN(J23,S23)+IF(S23-J23&gt;0,F$29*(S23-J23))+ROUND($P$14*365/12,2)+(Summary!N19/12)*2</f>
        <v>68.594502265236002</v>
      </c>
      <c r="L53" s="38" t="s">
        <v>461</v>
      </c>
      <c r="M53" s="57">
        <f>C$22*K23+ROUND($C$25*365/12,2)+(Summary!N19/12)*2</f>
        <v>99.819462498000007</v>
      </c>
      <c r="N53" s="57">
        <f>C$22*L23+ROUND($C$25*365/12,2)+(Summary!N19/12)*2</f>
        <v>136.42991120400001</v>
      </c>
      <c r="O53" s="57">
        <f>D$22*K23+ROUND($F$14*365/12,2)+(Summary!N19/12)*2</f>
        <v>99.742720407000007</v>
      </c>
      <c r="P53" s="57">
        <f>D$22*L23+ROUND($F$14*365/12,2)+(Summary!N19/12)*2</f>
        <v>136.31876748600001</v>
      </c>
      <c r="Q53" s="57">
        <f>E$22*K23+ROUND($F$14*365/12,2)+(Summary!N19/12)*2</f>
        <v>96.999884912238969</v>
      </c>
      <c r="R53" s="57">
        <f>E$22*L23+ROUND($F$14*365/12,2)+(Summary!N19/12)*2</f>
        <v>132.34638504531159</v>
      </c>
      <c r="S53" s="57">
        <f>F$22*K23+ROUND($F$14*365/12,2)+(Summary!N19/12)*2</f>
        <v>97.0182759212029</v>
      </c>
      <c r="T53" s="57">
        <f>F$22*L23+ROUND($F$14*365/12,2)+(Summary!N19/12)*2</f>
        <v>132.37302029967316</v>
      </c>
      <c r="V53" s="38" t="s">
        <v>461</v>
      </c>
      <c r="W53" s="57">
        <f>C$28*K23+ROUND($C$31*365/12,2)+(Summary!N19/12)*2</f>
        <v>53.072601391999996</v>
      </c>
      <c r="X53" s="57">
        <f>C$28*L23+ROUND($C$31*365/12,2)+(Summary!N19/12)*2</f>
        <v>76.854802015999994</v>
      </c>
      <c r="Y53" s="57">
        <f>D$28*K23+ROUND($P$14*365/12,2)+(Summary!N19/12)*2</f>
        <v>52.989675812000009</v>
      </c>
      <c r="Z53" s="57">
        <f>D$28*L23+ROUND($P$14*365/12,2)+(Summary!N19/12)*2</f>
        <v>76.748151176000007</v>
      </c>
      <c r="AA53" s="57">
        <f>E$28*K23+ROUND($P$14*365/12,2)+(Summary!N19/12)*2</f>
        <v>51.208029222661509</v>
      </c>
      <c r="AB53" s="57">
        <f>E$28*L23+ROUND($P$14*365/12,2)+(Summary!N19/12)*2</f>
        <v>74.167835425923556</v>
      </c>
      <c r="AC53" s="57">
        <f>F$28*K23+ROUND($P$14*365/12,2)+(Summary!N19/12)*2</f>
        <v>51.219975355944989</v>
      </c>
      <c r="AD53" s="57">
        <f>F$28*L23+ROUND($P$14*365/12,2)+(Summary!N19/12)*2</f>
        <v>74.185136722403087</v>
      </c>
    </row>
    <row r="54" spans="2:30" x14ac:dyDescent="0.25">
      <c r="B54" s="38" t="s">
        <v>462</v>
      </c>
      <c r="C54" s="57">
        <f>C$28*MIN(I24,R24)+IF(R24-I24&gt;0,C$29*(R24-I24))+ROUND($C$31*365/12,2)+(Summary!N19/12)*2</f>
        <v>104.15529001997061</v>
      </c>
      <c r="D54" s="57">
        <f>C$28*MIN(J24,S24)+IF(S24-J24&gt;0,C$29*(S24-J24))+ROUND($C$31*365/12,2)+(Summary!N19/12)*2</f>
        <v>79.847940654487132</v>
      </c>
      <c r="E54" s="57">
        <f>D$28*MIN(I24,R24)+IF(R24-I24&gt;0,D$29*(R24-I24))+ROUND($P$14*365/12,2)+(Summary!N19/12)*2</f>
        <v>104.0231566942654</v>
      </c>
      <c r="F54" s="57">
        <f>D$28*MIN(J24,S24)+IF(S24-J24&gt;0,D$29*(S24-J24))+ROUND($P$14*365/12,2)+(Summary!N19/12)*2</f>
        <v>79.739447489523911</v>
      </c>
      <c r="G54" s="57">
        <f>E$28*MIN(I24,R24)+IF(R24-I24&gt;0,E$29*(R24-I24))+ROUND($P$14*365/12,2)+(Summary!N19/12)*2</f>
        <v>100.52595947630638</v>
      </c>
      <c r="H54" s="57">
        <f>E$28*MIN(J24,S24)+IF(S24-J24&gt;0,E$29*(S24-J24))+ROUND($P$14*365/12,2)+(Summary!N19/12)*2</f>
        <v>77.058575787113057</v>
      </c>
      <c r="I54" s="57">
        <f>F$28*MIN(I24,R24)+IF(R24-I24&gt;0,F$29*(R24-I24))+ROUND($P$14*365/12,2)+(Summary!N19/12)*2</f>
        <v>100.5494085623004</v>
      </c>
      <c r="J54" s="57">
        <f>F$28*MIN(J24,S24)+IF(S24-J24&gt;0,F$29*(S24-J24))+ROUND($P$14*365/12,2)+(Summary!N19/12)*2</f>
        <v>77.076551322140347</v>
      </c>
      <c r="L54" s="38" t="s">
        <v>462</v>
      </c>
      <c r="M54" s="57">
        <f>C$22*K24+ROUND($C$25*365/12,2)+(Summary!N19/12)*2</f>
        <v>111.084215946</v>
      </c>
      <c r="N54" s="57">
        <f>C$22*L24+ROUND($C$25*365/12,2)+(Summary!N19/12)*2</f>
        <v>133.61372284200002</v>
      </c>
      <c r="O54" s="57">
        <f>D$22*K24+ROUND($F$14*365/12,2)+(Summary!N19/12)*2</f>
        <v>110.99688873900001</v>
      </c>
      <c r="P54" s="57">
        <f>D$22*L24+ROUND($F$14*365/12,2)+(Summary!N19/12)*2</f>
        <v>133.50522540300003</v>
      </c>
      <c r="Q54" s="57">
        <f>E$22*K24+ROUND($F$14*365/12,2)+(Summary!N19/12)*2</f>
        <v>107.87573110703056</v>
      </c>
      <c r="R54" s="57">
        <f>E$22*L24+ROUND($F$14*365/12,2)+(Summary!N19/12)*2</f>
        <v>129.62742349661372</v>
      </c>
      <c r="S54" s="57">
        <f>F$22*K24+ROUND($F$14*365/12,2)+(Summary!N19/12)*2</f>
        <v>107.89665880688605</v>
      </c>
      <c r="T54" s="57">
        <f>F$22*L24+ROUND($F$14*365/12,2)+(Summary!N19/12)*2</f>
        <v>129.65342457825238</v>
      </c>
      <c r="V54" s="38" t="s">
        <v>462</v>
      </c>
      <c r="W54" s="57">
        <f>C$28*K24+ROUND($C$31*365/12,2)+(Summary!N19/12)*2</f>
        <v>60.390201583999996</v>
      </c>
      <c r="X54" s="57">
        <f>C$28*L24+ROUND($C$31*365/12,2)+(Summary!N19/12)*2</f>
        <v>75.025401967999997</v>
      </c>
      <c r="Y54" s="57">
        <f>D$28*K24+ROUND($P$14*365/12,2)+(Summary!N19/12)*2</f>
        <v>60.299975924000009</v>
      </c>
      <c r="Z54" s="57">
        <f>D$28*L24+ROUND($P$14*365/12,2)+(Summary!N19/12)*2</f>
        <v>74.920576148000009</v>
      </c>
      <c r="AA54" s="57">
        <f>E$28*K24+ROUND($P$14*365/12,2)+(Summary!N19/12)*2</f>
        <v>58.272584977511372</v>
      </c>
      <c r="AB54" s="57">
        <f>E$28*L24+ROUND($P$14*365/12,2)+(Summary!N19/12)*2</f>
        <v>72.401696487211098</v>
      </c>
      <c r="AC54" s="57">
        <f>F$28*K24+ROUND($P$14*365/12,2)+(Summary!N19/12)*2</f>
        <v>58.286178853316713</v>
      </c>
      <c r="AD54" s="57">
        <f>F$28*L24+ROUND($P$14*365/12,2)+(Summary!N19/12)*2</f>
        <v>72.418585848060161</v>
      </c>
    </row>
    <row r="55" spans="2:30" x14ac:dyDescent="0.25">
      <c r="B55" s="38" t="s">
        <v>8</v>
      </c>
      <c r="C55" s="57">
        <f>C$28*MIN(I25,R25)+IF(R25-I25&gt;0,C$29*(R25-I25))+ROUND($C$31*365/12,2)+(Summary!N19/12)*2</f>
        <v>137.67303589995294</v>
      </c>
      <c r="D55" s="57">
        <f>C$28*MIN(J25,S25)+IF(S25-J25&gt;0,C$29*(S25-J25))+ROUND($C$31*365/12,2)+(Summary!N19/12)*2</f>
        <v>88.934261862989118</v>
      </c>
      <c r="E55" s="57">
        <f>D$28*MIN(I25,R25)+IF(R25-I25&gt;0,D$29*(R25-I25))+ROUND($P$14*365/12,2)+(Summary!N19/12)*2</f>
        <v>137.50803735063778</v>
      </c>
      <c r="F55" s="57">
        <f>D$28*MIN(J25,S25)+IF(S25-J25&gt;0,D$29*(S25-J25))+ROUND($P$14*365/12,2)+(Summary!N19/12)*2</f>
        <v>88.816618096908925</v>
      </c>
      <c r="G55" s="57">
        <f>E$28*MIN(I25,R25)+IF(R25-I25&gt;0,E$29*(R25-I25))+ROUND($P$14*365/12,2)+(Summary!N19/12)*2</f>
        <v>132.88520639055076</v>
      </c>
      <c r="H55" s="57">
        <f>E$28*MIN(J25,S25)+IF(S25-J25&gt;0,E$29*(S25-J25))+ROUND($P$14*365/12,2)+(Summary!N19/12)*2</f>
        <v>85.830606602495251</v>
      </c>
      <c r="I55" s="57">
        <f>F$28*MIN(I25,R25)+IF(R25-I25&gt;0,F$29*(R25-I25))+ROUND($P$14*365/12,2)+(Summary!N19/12)*2</f>
        <v>132.91620297266007</v>
      </c>
      <c r="J55" s="57">
        <f>F$28*MIN(J25,S25)+IF(S25-J25&gt;0,F$29*(S25-J25))+ROUND($P$14*365/12,2)+(Summary!N19/12)*2</f>
        <v>85.850628132865936</v>
      </c>
      <c r="L55" s="38" t="s">
        <v>8</v>
      </c>
      <c r="M55" s="57">
        <f>C$22*K25+ROUND($C$25*365/12,2)+(Summary!N19/12)*2</f>
        <v>135.49118175000001</v>
      </c>
      <c r="N55" s="57">
        <f>C$22*L25+ROUND($C$25*365/12,2)+(Summary!N19/12)*2</f>
        <v>148.63339410600003</v>
      </c>
      <c r="O55" s="57">
        <f>D$22*K25+ROUND($F$14*365/12,2)+(Summary!N19/12)*2</f>
        <v>135.38092012500002</v>
      </c>
      <c r="P55" s="57">
        <f>D$22*L25+ROUND($F$14*365/12,2)+(Summary!N19/12)*2</f>
        <v>148.51078317900001</v>
      </c>
      <c r="Q55" s="57">
        <f>E$22*K25+ROUND($F$14*365/12,2)+(Summary!N19/12)*2</f>
        <v>131.44006452907897</v>
      </c>
      <c r="R55" s="57">
        <f>E$22*L25+ROUND($F$14*365/12,2)+(Summary!N19/12)*2</f>
        <v>144.12855175633581</v>
      </c>
      <c r="S55" s="57">
        <f>F$22*K25+ROUND($F$14*365/12,2)+(Summary!N19/12)*2</f>
        <v>131.46648839253291</v>
      </c>
      <c r="T55" s="57">
        <f>F$22*L25+ROUND($F$14*365/12,2)+(Summary!N19/12)*2</f>
        <v>144.15793509249659</v>
      </c>
      <c r="V55" s="38" t="s">
        <v>8</v>
      </c>
      <c r="W55" s="57">
        <f>C$28*K25+ROUND($C$31*365/12,2)+(Summary!N19/12)*2</f>
        <v>76.245001999999999</v>
      </c>
      <c r="X55" s="57">
        <f>C$28*L25+ROUND($C$31*365/12,2)+(Summary!N19/12)*2</f>
        <v>84.782202224000002</v>
      </c>
      <c r="Y55" s="57">
        <f>D$28*K25+ROUND($P$14*365/12,2)+(Summary!N19/12)*2</f>
        <v>76.138959500000013</v>
      </c>
      <c r="Z55" s="57">
        <f>D$28*L25+ROUND($P$14*365/12,2)+(Summary!N19/12)*2</f>
        <v>84.667642964000009</v>
      </c>
      <c r="AA55" s="57">
        <f>E$28*K25+ROUND($P$14*365/12,2)+(Summary!N19/12)*2</f>
        <v>73.579122446352741</v>
      </c>
      <c r="AB55" s="57">
        <f>E$28*L25+ROUND($P$14*365/12,2)+(Summary!N19/12)*2</f>
        <v>81.821104160344234</v>
      </c>
      <c r="AC55" s="57">
        <f>F$28*K25+ROUND($P$14*365/12,2)+(Summary!N19/12)*2</f>
        <v>73.596286430955445</v>
      </c>
      <c r="AD55" s="57">
        <f>F$28*L25+ROUND($P$14*365/12,2)+(Summary!N19/12)*2</f>
        <v>81.840190511222445</v>
      </c>
    </row>
    <row r="56" spans="2:30" x14ac:dyDescent="0.25">
      <c r="B56" s="38" t="s">
        <v>465</v>
      </c>
      <c r="C56" s="57">
        <f>C$28*MIN(I26,R26)+IF(R26-I26&gt;0,C$29*(R26-I26))+ROUND($C$31*365/12,2)+(Summary!N19/12)*2</f>
        <v>184.73280472606766</v>
      </c>
      <c r="D56" s="57">
        <f>C$28*MIN(J26,S26)+IF(S26-J26&gt;0,C$29*(S26-J26))+ROUND($C$31*365/12,2)+(Summary!N19/12)*2</f>
        <v>106.13513963017031</v>
      </c>
      <c r="E56" s="57">
        <f>D$28*MIN(I26,R26)+IF(R26-I26&gt;0,D$29*(R26-I26))+ROUND($P$14*365/12,2)+(Summary!N19/12)*2</f>
        <v>184.52303801485249</v>
      </c>
      <c r="F56" s="57">
        <f>D$28*MIN(J26,S26)+IF(S26-J26&gt;0,D$29*(S26-J26))+ROUND($P$14*365/12,2)+(Summary!N19/12)*2</f>
        <v>106.00145109149692</v>
      </c>
      <c r="G56" s="57">
        <f>E$28*MIN(I26,R26)+IF(R26-I26&gt;0,E$29*(R26-I26))+ROUND($P$14*365/12,2)+(Summary!N19/12)*2</f>
        <v>178.31974237648569</v>
      </c>
      <c r="H56" s="57">
        <f>E$28*MIN(J26,S26)+IF(S26-J26&gt;0,E$29*(S26-J26))+ROUND($P$14*365/12,2)+(Summary!N19/12)*2</f>
        <v>102.43775117495467</v>
      </c>
      <c r="I56" s="57">
        <f>F$28*MIN(I26,R26)+IF(R26-I26&gt;0,F$29*(R26-I26))+ROUND($P$14*365/12,2)+(Summary!N19/12)*2</f>
        <v>178.36133614538255</v>
      </c>
      <c r="J56" s="57">
        <f>F$28*MIN(J26,S26)+IF(S26-J26&gt;0,F$29*(S26-J26))+ROUND($P$14*365/12,2)+(Summary!N19/12)*2</f>
        <v>102.46164616874306</v>
      </c>
      <c r="L56" s="38" t="s">
        <v>465</v>
      </c>
      <c r="M56" s="57">
        <f>C$22*K26+ROUND($C$25*365/12,2)+(Summary!N19/12)*2</f>
        <v>167.40798318600002</v>
      </c>
      <c r="N56" s="57">
        <f>C$22*L26+ROUND($C$25*365/12,2)+(Summary!N19/12)*2</f>
        <v>172.10163045600001</v>
      </c>
      <c r="O56" s="57">
        <f>D$22*K26+ROUND($F$14*365/12,2)+(Summary!N19/12)*2</f>
        <v>167.26773039900002</v>
      </c>
      <c r="P56" s="57">
        <f>D$22*L26+ROUND($F$14*365/12,2)+(Summary!N19/12)*2</f>
        <v>171.95696720399999</v>
      </c>
      <c r="Q56" s="57">
        <f>E$22*K26+ROUND($F$14*365/12,2)+(Summary!N19/12)*2</f>
        <v>162.25496208098846</v>
      </c>
      <c r="R56" s="57">
        <f>E$22*L26+ROUND($F$14*365/12,2)+(Summary!N19/12)*2</f>
        <v>166.78656466215162</v>
      </c>
      <c r="S56" s="57">
        <f>F$22*K26+ROUND($F$14*365/12,2)+(Summary!N19/12)*2</f>
        <v>162.28857323530187</v>
      </c>
      <c r="T56" s="57">
        <f>F$22*L26+ROUND($F$14*365/12,2)+(Summary!N19/12)*2</f>
        <v>166.82123277100317</v>
      </c>
      <c r="V56" s="38" t="s">
        <v>465</v>
      </c>
      <c r="W56" s="57">
        <f>C$28*K26+ROUND($C$31*365/12,2)+(Summary!N19/12)*2</f>
        <v>96.978202543999998</v>
      </c>
      <c r="X56" s="57">
        <f>C$28*L26+ROUND($C$31*365/12,2)+(Summary!N19/12)*2</f>
        <v>100.02720262399998</v>
      </c>
      <c r="Y56" s="57">
        <f>D$28*K26+ROUND($P$14*365/12,2)+(Summary!N19/12)*2</f>
        <v>96.851476484000003</v>
      </c>
      <c r="Z56" s="57">
        <f>D$28*L26+ROUND($P$14*365/12,2)+(Summary!N19/12)*2</f>
        <v>99.897434864000004</v>
      </c>
      <c r="AA56" s="57">
        <f>E$28*K26+ROUND($P$14*365/12,2)+(Summary!N19/12)*2</f>
        <v>93.595363751760672</v>
      </c>
      <c r="AB56" s="57">
        <f>E$28*L26+ROUND($P$14*365/12,2)+(Summary!N19/12)*2</f>
        <v>96.538928649614775</v>
      </c>
      <c r="AC56" s="57">
        <f>F$28*K26+ROUND($P$14*365/12,2)+(Summary!N19/12)*2</f>
        <v>93.617196340175326</v>
      </c>
      <c r="AD56" s="57">
        <f>F$28*L26+ROUND($P$14*365/12,2)+(Summary!N19/12)*2</f>
        <v>96.561447797413535</v>
      </c>
    </row>
    <row r="57" spans="2:30" x14ac:dyDescent="0.25">
      <c r="B57" s="38" t="s">
        <v>466</v>
      </c>
      <c r="C57" s="57">
        <f>C$28*MIN(I27,R27)+IF(R27-I27&gt;0,C$29*(R27-I27))+ROUND($C$31*365/12,2)+(Summary!N19/12)*2</f>
        <v>207.98371377582546</v>
      </c>
      <c r="D57" s="57">
        <f>C$28*MIN(J27,S27)+IF(S27-J27&gt;0,C$29*(S27-J27))+ROUND($C$31*365/12,2)+(Summary!N19/12)*2</f>
        <v>101.88654436375995</v>
      </c>
      <c r="E57" s="57">
        <f>D$28*MIN(I27,R27)+IF(R27-I27&gt;0,D$29*(R27-I27))+ROUND($P$14*365/12,2)+(Summary!N19/12)*2</f>
        <v>207.75112590745204</v>
      </c>
      <c r="F57" s="57">
        <f>D$28*MIN(J27,S27)+IF(S27-J27&gt;0,D$29*(S27-J27))+ROUND($P$14*365/12,2)+(Summary!N19/12)*2</f>
        <v>101.75676776354062</v>
      </c>
      <c r="G57" s="57">
        <f>E$28*MIN(I27,R27)+IF(R27-I27&gt;0,E$29*(R27-I27))+ROUND($P$14*365/12,2)+(Summary!N19/12)*2</f>
        <v>200.76699070852823</v>
      </c>
      <c r="H57" s="57">
        <f>E$28*MIN(J27,S27)+IF(S27-J27&gt;0,E$29*(S27-J27))+ROUND($P$14*365/12,2)+(Summary!N19/12)*2</f>
        <v>98.335757881573315</v>
      </c>
      <c r="I57" s="57">
        <f>F$28*MIN(I27,R27)+IF(R27-I27&gt;0,F$29*(R27-I27))+ROUND($P$14*365/12,2)+(Summary!N19/12)*2</f>
        <v>200.81382009122143</v>
      </c>
      <c r="J57" s="57">
        <f>F$28*MIN(J27,S27)+IF(S27-J27&gt;0,F$29*(S27-J27))+ROUND($P$14*365/12,2)+(Summary!N19/12)*2</f>
        <v>98.358696123230587</v>
      </c>
      <c r="L57" s="38" t="s">
        <v>466</v>
      </c>
      <c r="M57" s="57">
        <f>C$22*K27+ROUND($C$25*365/12,2)+(Summary!N19/12)*2</f>
        <v>245.32252786800001</v>
      </c>
      <c r="N57" s="57">
        <f>C$22*L27+ROUND($C$25*365/12,2)+(Summary!N19/12)*2</f>
        <v>234.05777442000002</v>
      </c>
      <c r="O57" s="57">
        <f>D$22*K27+ROUND($F$14*365/12,2)+(Summary!N19/12)*2</f>
        <v>245.10906136200001</v>
      </c>
      <c r="P57" s="57">
        <f>D$22*L27+ROUND($F$14*365/12,2)+(Summary!N19/12)*2</f>
        <v>233.85489303</v>
      </c>
      <c r="Q57" s="57">
        <f>E$22*K27+ROUND($F$14*365/12,2)+(Summary!N19/12)*2</f>
        <v>237.4795649282969</v>
      </c>
      <c r="R57" s="57">
        <f>E$22*L27+ROUND($F$14*365/12,2)+(Summary!N19/12)*2</f>
        <v>226.6037187335053</v>
      </c>
      <c r="S57" s="57">
        <f>F$22*K27+ROUND($F$14*365/12,2)+(Summary!N19/12)*2</f>
        <v>237.53072152794368</v>
      </c>
      <c r="T57" s="57">
        <f>F$22*L27+ROUND($F$14*365/12,2)+(Summary!N19/12)*2</f>
        <v>226.65233864226053</v>
      </c>
      <c r="V57" s="38" t="s">
        <v>466</v>
      </c>
      <c r="W57" s="57">
        <f>C$28*K27+ROUND($C$31*365/12,2)+(Summary!N19/12)*2</f>
        <v>147.59160387200001</v>
      </c>
      <c r="X57" s="57">
        <f>C$28*L27+ROUND($C$31*365/12,2)+(Summary!N19/12)*2</f>
        <v>140.27400367999999</v>
      </c>
      <c r="Y57" s="57">
        <f>D$28*K27+ROUND($P$14*365/12,2)+(Summary!N19/12)*2</f>
        <v>147.41438559200003</v>
      </c>
      <c r="Z57" s="57">
        <f>D$28*L27+ROUND($P$14*365/12,2)+(Summary!N19/12)*2</f>
        <v>140.10408548000001</v>
      </c>
      <c r="AA57" s="57">
        <f>E$28*K27+ROUND($P$14*365/12,2)+(Summary!N19/12)*2</f>
        <v>142.4585410561389</v>
      </c>
      <c r="AB57" s="57">
        <f>E$28*L27+ROUND($P$14*365/12,2)+(Summary!N19/12)*2</f>
        <v>135.39398530128904</v>
      </c>
      <c r="AC57" s="57">
        <f>F$28*K27+ROUND($P$14*365/12,2)+(Summary!N19/12)*2</f>
        <v>142.49177053032975</v>
      </c>
      <c r="AD57" s="57">
        <f>F$28*L27+ROUND($P$14*365/12,2)+(Summary!N19/12)*2</f>
        <v>135.42556703295801</v>
      </c>
    </row>
    <row r="58" spans="2:30" x14ac:dyDescent="0.25">
      <c r="B58" s="38" t="s">
        <v>467</v>
      </c>
      <c r="C58" s="57">
        <f>C$28*MIN(I28,R28)+IF(R28-I28&gt;0,C$29*(R28-I28))+ROUND($C$31*365/12,2)+(Summary!N19/12)*2</f>
        <v>187.7078330136504</v>
      </c>
      <c r="D58" s="57">
        <f>C$28*MIN(J28,S28)+IF(S28-J28&gt;0,C$29*(S28-J28))+ROUND($C$31*365/12,2)+(Summary!N19/12)*2</f>
        <v>110.02004052348455</v>
      </c>
      <c r="E58" s="57">
        <f>D$28*MIN(I28,R28)+IF(R28-I28&gt;0,D$29*(R28-I28))+ROUND($P$14*365/12,2)+(Summary!N19/12)*2</f>
        <v>187.49533929790272</v>
      </c>
      <c r="F58" s="57">
        <f>D$28*MIN(J28,S28)+IF(S28-J28&gt;0,D$29*(S28-J28))+ROUND($P$14*365/12,2)+(Summary!N19/12)*2</f>
        <v>109.88281940827478</v>
      </c>
      <c r="G58" s="57">
        <f>E$28*MIN(I28,R28)+IF(R28-I28&gt;0,E$29*(R28-I28))+ROUND($P$14*365/12,2)+(Summary!N19/12)*2</f>
        <v>181.19212624754613</v>
      </c>
      <c r="H58" s="57">
        <f>E$28*MIN(J28,S28)+IF(S28-J28&gt;0,E$29*(S28-J28))+ROUND($P$14*365/12,2)+(Summary!N19/12)*2</f>
        <v>106.18864271960881</v>
      </c>
      <c r="I58" s="57">
        <f>F$28*MIN(I28,R28)+IF(R28-I28&gt;0,F$29*(R28-I28))+ROUND($P$14*365/12,2)+(Summary!N19/12)*2</f>
        <v>181.2343899735086</v>
      </c>
      <c r="J58" s="57">
        <f>F$28*MIN(J28,S28)+IF(S28-J28&gt;0,F$29*(S28-J28))+ROUND($P$14*365/12,2)+(Summary!N19/12)*2</f>
        <v>106.21341257428124</v>
      </c>
      <c r="L58" s="38" t="s">
        <v>467</v>
      </c>
      <c r="M58" s="57">
        <f>C$22*K28+ROUND($C$25*365/12,2)+(Summary!N19/12)*2</f>
        <v>191.81494899000003</v>
      </c>
      <c r="N58" s="57">
        <f>C$22*L28+ROUND($C$25*365/12,2)+(Summary!N19/12)*2</f>
        <v>216.22191479400001</v>
      </c>
      <c r="O58" s="57">
        <f>D$22*K28+ROUND($F$14*365/12,2)+(Summary!N19/12)*2</f>
        <v>191.65176178500002</v>
      </c>
      <c r="P58" s="57">
        <f>D$22*L28+ROUND($F$14*365/12,2)+(Summary!N19/12)*2</f>
        <v>216.03579317100002</v>
      </c>
      <c r="Q58" s="57">
        <f>E$22*K28+ROUND($F$14*365/12,2)+(Summary!N19/12)*2</f>
        <v>185.8192955030369</v>
      </c>
      <c r="R58" s="57">
        <f>E$22*L28+ROUND($F$14*365/12,2)+(Summary!N19/12)*2</f>
        <v>209.38362892508533</v>
      </c>
      <c r="S58" s="57">
        <f>F$22*K28+ROUND($F$14*365/12,2)+(Summary!N19/12)*2</f>
        <v>185.8584028209487</v>
      </c>
      <c r="T58" s="57">
        <f>F$22*L28+ROUND($F$14*365/12,2)+(Summary!N19/12)*2</f>
        <v>209.42823240659555</v>
      </c>
      <c r="V58" s="38" t="s">
        <v>467</v>
      </c>
      <c r="W58" s="57">
        <f>C$28*K28+ROUND($C$31*365/12,2)+(Summary!N19/12)*2</f>
        <v>112.83300296</v>
      </c>
      <c r="X58" s="57">
        <f>C$28*L28+ROUND($C$31*365/12,2)+(Summary!N19/12)*2</f>
        <v>128.68780337600001</v>
      </c>
      <c r="Y58" s="57">
        <f>D$28*K28+ROUND($P$14*365/12,2)+(Summary!N19/12)*2</f>
        <v>112.69046006000001</v>
      </c>
      <c r="Z58" s="57">
        <f>D$28*L28+ROUND($P$14*365/12,2)+(Summary!N19/12)*2</f>
        <v>128.52944363600002</v>
      </c>
      <c r="AA58" s="57">
        <f>E$28*K28+ROUND($P$14*365/12,2)+(Summary!N19/12)*2</f>
        <v>108.90190122060204</v>
      </c>
      <c r="AB58" s="57">
        <f>E$28*L28+ROUND($P$14*365/12,2)+(Summary!N19/12)*2</f>
        <v>124.20843868944343</v>
      </c>
      <c r="AC58" s="57">
        <f>F$28*K28+ROUND($P$14*365/12,2)+(Summary!N19/12)*2</f>
        <v>108.92730391781406</v>
      </c>
      <c r="AD58" s="57">
        <f>F$28*L28+ROUND($P$14*365/12,2)+(Summary!N19/12)*2</f>
        <v>124.23741149545279</v>
      </c>
    </row>
    <row r="59" spans="2:30" x14ac:dyDescent="0.25">
      <c r="B59" s="38" t="s">
        <v>468</v>
      </c>
      <c r="C59" s="57">
        <f>C$28*MIN(I29,R29)+IF(R29-I29&gt;0,C$29*(R29-I29))+ROUND($C$31*365/12,2)+(Summary!N19/12)*2</f>
        <v>244.04300265964844</v>
      </c>
      <c r="D59" s="57">
        <f>C$28*MIN(J29,S29)+IF(S29-J29&gt;0,C$29*(S29-J29))+ROUND($C$31*365/12,2)+(Summary!N19/12)*2</f>
        <v>116.82098097854104</v>
      </c>
      <c r="E59" s="57">
        <f>D$28*MIN(I29,R29)+IF(R29-I29&gt;0,D$29*(R29-I29))+ROUND($P$14*365/12,2)+(Summary!N19/12)*2</f>
        <v>243.76956390998799</v>
      </c>
      <c r="F59" s="57">
        <f>D$28*MIN(J29,S29)+IF(S29-J29&gt;0,D$29*(S29-J29))+ROUND($P$14*365/12,2)+(Summary!N19/12)*2</f>
        <v>116.67833375940212</v>
      </c>
      <c r="G59" s="57">
        <f>E$28*MIN(I29,R29)+IF(R29-I29&gt;0,E$29*(R29-I29))+ROUND($P$14*365/12,2)+(Summary!N19/12)*2</f>
        <v>235.57462645166646</v>
      </c>
      <c r="H59" s="57">
        <f>E$28*MIN(J29,S29)+IF(S29-J29&gt;0,E$29*(S29-J29))+ROUND($P$14*365/12,2)+(Summary!N19/12)*2</f>
        <v>112.75571784387306</v>
      </c>
      <c r="I59" s="57">
        <f>F$28*MIN(I29,R29)+IF(R29-I29&gt;0,F$29*(R29-I29))+ROUND($P$14*365/12,2)+(Summary!N19/12)*2</f>
        <v>235.62957439460459</v>
      </c>
      <c r="J59" s="57">
        <f>F$28*MIN(J29,S29)+IF(S29-J29&gt;0,F$29*(S29-J29))+ROUND($P$14*365/12,2)+(Summary!N19/12)*2</f>
        <v>112.78201940829511</v>
      </c>
      <c r="L59" s="38" t="s">
        <v>468</v>
      </c>
      <c r="M59" s="57">
        <f>C$22*K29+ROUND($C$25*365/12,2)+(Summary!N19/12)*2</f>
        <v>243.44506896000001</v>
      </c>
      <c r="N59" s="57">
        <f>C$22*L29+ROUND($C$25*365/12,2)+(Summary!N19/12)*2</f>
        <v>181.48892499600001</v>
      </c>
      <c r="O59" s="57">
        <f>D$22*K29+ROUND($F$14*365/12,2)+(Summary!N19/12)*2</f>
        <v>243.23336664000001</v>
      </c>
      <c r="P59" s="57">
        <f>D$22*L29+ROUND($F$14*365/12,2)+(Summary!N19/12)*2</f>
        <v>181.33544081400001</v>
      </c>
      <c r="Q59" s="57">
        <f>E$22*K29+ROUND($F$14*365/12,2)+(Summary!N19/12)*2</f>
        <v>235.66692389583164</v>
      </c>
      <c r="R59" s="57">
        <f>E$22*L29+ROUND($F$14*365/12,2)+(Summary!N19/12)*2</f>
        <v>175.84976982447793</v>
      </c>
      <c r="S59" s="57">
        <f>F$22*K29+ROUND($F$14*365/12,2)+(Summary!N19/12)*2</f>
        <v>235.71765771366316</v>
      </c>
      <c r="T59" s="57">
        <f>F$22*L29+ROUND($F$14*365/12,2)+(Summary!N19/12)*2</f>
        <v>175.88655184240579</v>
      </c>
      <c r="V59" s="38" t="s">
        <v>468</v>
      </c>
      <c r="W59" s="57">
        <f>C$28*K29+ROUND($C$31*365/12,2)+(Summary!N19/12)*2</f>
        <v>146.37200384000002</v>
      </c>
      <c r="X59" s="57">
        <f>C$28*L29+ROUND($C$31*365/12,2)+(Summary!N19/12)*2</f>
        <v>106.125202784</v>
      </c>
      <c r="Y59" s="57">
        <f>D$28*K29+ROUND($P$14*365/12,2)+(Summary!N19/12)*2</f>
        <v>146.19600224000001</v>
      </c>
      <c r="Z59" s="57">
        <f>D$28*L29+ROUND($P$14*365/12,2)+(Summary!N19/12)*2</f>
        <v>105.98935162400001</v>
      </c>
      <c r="AA59" s="57">
        <f>E$28*K29+ROUND($P$14*365/12,2)+(Summary!N19/12)*2</f>
        <v>141.28111509699727</v>
      </c>
      <c r="AB59" s="57">
        <f>E$28*L29+ROUND($P$14*365/12,2)+(Summary!N19/12)*2</f>
        <v>102.42605844532301</v>
      </c>
      <c r="AC59" s="57">
        <f>F$28*K29+ROUND($P$14*365/12,2)+(Summary!N19/12)*2</f>
        <v>141.31406994743446</v>
      </c>
      <c r="AD59" s="57">
        <f>F$28*L29+ROUND($P$14*365/12,2)+(Summary!N19/12)*2</f>
        <v>102.44995071188997</v>
      </c>
    </row>
    <row r="60" spans="2:30" x14ac:dyDescent="0.25">
      <c r="B60" s="38" t="s">
        <v>469</v>
      </c>
      <c r="C60" s="57">
        <f>C$28*MIN(I30,R30)+IF(R30-I30&gt;0,C$29*(R30-I30))+ROUND($C$31*365/12,2)+(Summary!N19/12)*2</f>
        <v>162.81263042281626</v>
      </c>
      <c r="D60" s="57">
        <f>C$28*MIN(J30,S30)+IF(S30-J30&gt;0,C$29*(S30-J30))+ROUND($C$31*365/12,2)+(Summary!N19/12)*2</f>
        <v>103.17097808929137</v>
      </c>
      <c r="E60" s="57">
        <f>D$28*MIN(I30,R30)+IF(R30-I30&gt;0,D$29*(R30-I30))+ROUND($P$14*365/12,2)+(Summary!N19/12)*2</f>
        <v>162.62514338208791</v>
      </c>
      <c r="F60" s="57">
        <f>D$28*MIN(J30,S30)+IF(S30-J30&gt;0,D$29*(S30-J30))+ROUND($P$14*365/12,2)+(Summary!N19/12)*2</f>
        <v>103.03992448743681</v>
      </c>
      <c r="G60" s="57">
        <f>E$28*MIN(I30,R30)+IF(R30-I30&gt;0,E$29*(R30-I30))+ROUND($P$14*365/12,2)+(Summary!N19/12)*2</f>
        <v>157.15797128954335</v>
      </c>
      <c r="H60" s="57">
        <f>E$28*MIN(J30,S30)+IF(S30-J30&gt;0,E$29*(S30-J30))+ROUND($P$14*365/12,2)+(Summary!N19/12)*2</f>
        <v>99.575779779346675</v>
      </c>
      <c r="I60" s="57">
        <f>F$28*MIN(I30,R30)+IF(R30-I30&gt;0,F$29*(R30-I30))+ROUND($P$14*365/12,2)+(Summary!N19/12)*2</f>
        <v>157.19462927036409</v>
      </c>
      <c r="J60" s="57">
        <f>F$28*MIN(J30,S30)+IF(S30-J30&gt;0,F$29*(S30-J30))+ROUND($P$14*365/12,2)+(Summary!N19/12)*2</f>
        <v>99.599007244683392</v>
      </c>
      <c r="L60" s="38" t="s">
        <v>469</v>
      </c>
      <c r="M60" s="57">
        <f>C$22*K30+ROUND($C$25*365/12,2)+(Summary!N19/12)*2</f>
        <v>144.87847629000001</v>
      </c>
      <c r="N60" s="57">
        <f>C$22*L30+ROUND($C$25*365/12,2)+(Summary!N19/12)*2</f>
        <v>235.93523332800001</v>
      </c>
      <c r="O60" s="57">
        <f>D$22*K30+ROUND($F$14*365/12,2)+(Summary!N19/12)*2</f>
        <v>144.759393735</v>
      </c>
      <c r="P60" s="57">
        <f>D$22*L30+ROUND($F$14*365/12,2)+(Summary!N19/12)*2</f>
        <v>235.73058775199999</v>
      </c>
      <c r="Q60" s="57">
        <f>E$22*K30+ROUND($F$14*365/12,2)+(Summary!N19/12)*2</f>
        <v>140.50326969140528</v>
      </c>
      <c r="R60" s="57">
        <f>E$22*L30+ROUND($F$14*365/12,2)+(Summary!N19/12)*2</f>
        <v>228.41635976597055</v>
      </c>
      <c r="S60" s="57">
        <f>F$22*K30+ROUND($F$14*365/12,2)+(Summary!N19/12)*2</f>
        <v>140.53180746393554</v>
      </c>
      <c r="T60" s="57">
        <f>F$22*L30+ROUND($F$14*365/12,2)+(Summary!N19/12)*2</f>
        <v>228.46540245654106</v>
      </c>
      <c r="V60" s="38" t="s">
        <v>469</v>
      </c>
      <c r="W60" s="57">
        <f>C$28*K30+ROUND($C$31*365/12,2)+(Summary!N19/12)*2</f>
        <v>82.343002159999998</v>
      </c>
      <c r="X60" s="57">
        <f>C$28*L30+ROUND($C$31*365/12,2)+(Summary!N19/12)*2</f>
        <v>141.49360371200001</v>
      </c>
      <c r="Y60" s="57">
        <f>D$28*K30+ROUND($P$14*365/12,2)+(Summary!N19/12)*2</f>
        <v>82.230876260000002</v>
      </c>
      <c r="Z60" s="57">
        <f>D$28*L30+ROUND($P$14*365/12,2)+(Summary!N19/12)*2</f>
        <v>141.32246883200003</v>
      </c>
      <c r="AA60" s="57">
        <f>E$28*K30+ROUND($P$14*365/12,2)+(Summary!N19/12)*2</f>
        <v>79.466252242060946</v>
      </c>
      <c r="AB60" s="57">
        <f>E$28*L30+ROUND($P$14*365/12,2)+(Summary!N19/12)*2</f>
        <v>136.57141126043069</v>
      </c>
      <c r="AC60" s="57">
        <f>F$28*K30+ROUND($P$14*365/12,2)+(Summary!N19/12)*2</f>
        <v>79.484789345431864</v>
      </c>
      <c r="AD60" s="57">
        <f>F$28*L30+ROUND($P$14*365/12,2)+(Summary!N19/12)*2</f>
        <v>136.6032676158533</v>
      </c>
    </row>
    <row r="61" spans="2:30" x14ac:dyDescent="0.25">
      <c r="B61" s="38" t="s">
        <v>472</v>
      </c>
      <c r="C61" s="131">
        <f t="shared" ref="C61:J61" si="11">SUMPRODUCT(C52:C60,$U$22:$U$30)</f>
        <v>165.50018882616794</v>
      </c>
      <c r="D61" s="131">
        <f t="shared" si="11"/>
        <v>98.376907473100061</v>
      </c>
      <c r="E61" s="131">
        <f t="shared" si="11"/>
        <v>165.30865896041161</v>
      </c>
      <c r="F61" s="131">
        <f t="shared" si="11"/>
        <v>98.250619946368403</v>
      </c>
      <c r="G61" s="131">
        <f t="shared" si="11"/>
        <v>159.75127732782167</v>
      </c>
      <c r="H61" s="131">
        <f t="shared" si="11"/>
        <v>94.947473357043492</v>
      </c>
      <c r="I61" s="131">
        <f t="shared" si="11"/>
        <v>159.78854017337554</v>
      </c>
      <c r="J61" s="131">
        <f t="shared" si="11"/>
        <v>94.96962131256231</v>
      </c>
      <c r="L61" s="38" t="s">
        <v>472</v>
      </c>
      <c r="M61" s="131">
        <f>SUMPRODUCT(M52:M60,$T$22:$T$30)</f>
        <v>146.43202442514988</v>
      </c>
      <c r="N61" s="131">
        <f t="shared" ref="N61:T61" si="12">SUMPRODUCT(N52:N60,$T$22:$T$30)</f>
        <v>162.50169025234354</v>
      </c>
      <c r="O61" s="131">
        <f t="shared" si="12"/>
        <v>146.31148205238307</v>
      </c>
      <c r="P61" s="131">
        <f t="shared" si="12"/>
        <v>162.36604774643601</v>
      </c>
      <c r="Q61" s="131">
        <f t="shared" si="12"/>
        <v>142.00318273007861</v>
      </c>
      <c r="R61" s="131">
        <f t="shared" si="12"/>
        <v>157.51805526990202</v>
      </c>
      <c r="S61" s="131">
        <f t="shared" si="12"/>
        <v>142.03207034350172</v>
      </c>
      <c r="T61" s="131">
        <f t="shared" si="12"/>
        <v>157.55056158435775</v>
      </c>
      <c r="V61" s="38" t="s">
        <v>472</v>
      </c>
      <c r="W61" s="131">
        <f>SUMPRODUCT(W52:W60,$U$22:$U$30)</f>
        <v>95.086202549179191</v>
      </c>
      <c r="X61" s="131">
        <f t="shared" ref="X61:AD61" si="13">SUMPRODUCT(X52:X60,$U$22:$U$30)</f>
        <v>101.93974919076905</v>
      </c>
      <c r="Y61" s="131">
        <f t="shared" si="13"/>
        <v>94.961363959245858</v>
      </c>
      <c r="Z61" s="131">
        <f t="shared" si="13"/>
        <v>101.80807346332418</v>
      </c>
      <c r="AA61" s="131">
        <f t="shared" si="13"/>
        <v>91.768789587979512</v>
      </c>
      <c r="AB61" s="131">
        <f t="shared" si="13"/>
        <v>98.385338879768923</v>
      </c>
      <c r="AC61" s="131">
        <f t="shared" si="13"/>
        <v>91.790196144804426</v>
      </c>
      <c r="AD61" s="131">
        <f t="shared" si="13"/>
        <v>98.408288685737077</v>
      </c>
    </row>
    <row r="62" spans="2:30" x14ac:dyDescent="0.25">
      <c r="B62" s="48"/>
      <c r="C62" s="57"/>
      <c r="D62" s="57"/>
      <c r="E62" s="58"/>
      <c r="F62" s="57"/>
      <c r="G62" s="62"/>
      <c r="H62" s="62"/>
      <c r="I62" s="62"/>
      <c r="J62" s="62"/>
    </row>
    <row r="63" spans="2:30" x14ac:dyDescent="0.25">
      <c r="B63" s="48"/>
      <c r="C63" s="57"/>
      <c r="D63" s="57"/>
      <c r="E63" s="58"/>
      <c r="G63" s="62"/>
      <c r="H63" s="62"/>
      <c r="I63" s="62"/>
    </row>
    <row r="64" spans="2:30" x14ac:dyDescent="0.25">
      <c r="B64" s="48"/>
      <c r="C64" s="516" t="s">
        <v>78</v>
      </c>
      <c r="D64" s="516"/>
      <c r="E64" s="516"/>
      <c r="F64" s="516"/>
      <c r="G64" s="516"/>
      <c r="H64" s="516"/>
      <c r="I64" s="516"/>
      <c r="J64" s="516"/>
      <c r="L64" s="184">
        <f>Summary!J4</f>
        <v>500</v>
      </c>
      <c r="M64" s="516" t="str">
        <f>L64&amp;" kWh Monthly - Non-CARE"</f>
        <v>500 kWh Monthly - Non-CARE</v>
      </c>
      <c r="N64" s="516"/>
      <c r="O64" s="516"/>
      <c r="P64" s="516"/>
      <c r="Q64" s="516"/>
      <c r="R64" s="516"/>
      <c r="S64" s="516"/>
      <c r="T64" s="516"/>
      <c r="V64" s="48"/>
      <c r="W64" s="516" t="str">
        <f>L64&amp;" kWh Monthly - CARE"</f>
        <v>500 kWh Monthly - CARE</v>
      </c>
      <c r="X64" s="516"/>
      <c r="Y64" s="516"/>
      <c r="Z64" s="516"/>
      <c r="AA64" s="516"/>
      <c r="AB64" s="516"/>
      <c r="AC64" s="516"/>
      <c r="AD64" s="516"/>
    </row>
    <row r="65" spans="2:30" x14ac:dyDescent="0.25">
      <c r="B65" s="48"/>
      <c r="C65" s="517" t="str">
        <f t="shared" ref="C65:J66" si="14">C35</f>
        <v>Jan 2026</v>
      </c>
      <c r="D65" s="517"/>
      <c r="E65" s="517">
        <f t="shared" si="14"/>
        <v>46174</v>
      </c>
      <c r="F65" s="517"/>
      <c r="G65" s="517" t="str">
        <f t="shared" si="14"/>
        <v>Authorized</v>
      </c>
      <c r="H65" s="517"/>
      <c r="I65" s="518" t="str">
        <f t="shared" si="14"/>
        <v>w/Pending</v>
      </c>
      <c r="J65" s="517"/>
      <c r="L65" s="48"/>
      <c r="M65" s="519" t="str">
        <f>M50</f>
        <v>Jan 2026</v>
      </c>
      <c r="N65" s="519"/>
      <c r="O65" s="519">
        <f>O50</f>
        <v>46174</v>
      </c>
      <c r="P65" s="519"/>
      <c r="Q65" s="519" t="str">
        <f>Q50</f>
        <v>Authorized</v>
      </c>
      <c r="R65" s="519"/>
      <c r="S65" s="519" t="str">
        <f>S50</f>
        <v>w/Pending</v>
      </c>
      <c r="T65" s="519"/>
      <c r="V65" s="48"/>
      <c r="W65" s="519" t="str">
        <f>M65</f>
        <v>Jan 2026</v>
      </c>
      <c r="X65" s="519"/>
      <c r="Y65" s="519">
        <f>O65</f>
        <v>46174</v>
      </c>
      <c r="Z65" s="519"/>
      <c r="AA65" s="519" t="str">
        <f>Q65</f>
        <v>Authorized</v>
      </c>
      <c r="AB65" s="519"/>
      <c r="AC65" s="519" t="str">
        <f>S65</f>
        <v>w/Pending</v>
      </c>
      <c r="AD65" s="519"/>
    </row>
    <row r="66" spans="2:30" x14ac:dyDescent="0.25">
      <c r="B66" s="48"/>
      <c r="C66" s="101" t="str">
        <f t="shared" si="14"/>
        <v>Summer</v>
      </c>
      <c r="D66" s="101" t="str">
        <f t="shared" si="14"/>
        <v>Winter</v>
      </c>
      <c r="E66" s="101" t="str">
        <f t="shared" si="14"/>
        <v>Summer</v>
      </c>
      <c r="F66" s="101" t="str">
        <f t="shared" si="14"/>
        <v>Winter</v>
      </c>
      <c r="G66" s="101" t="str">
        <f t="shared" si="14"/>
        <v>Summer</v>
      </c>
      <c r="H66" s="101" t="str">
        <f t="shared" si="14"/>
        <v>Winter</v>
      </c>
      <c r="I66" s="101" t="str">
        <f t="shared" si="14"/>
        <v>Summer</v>
      </c>
      <c r="J66" s="101" t="str">
        <f t="shared" si="14"/>
        <v>Winter</v>
      </c>
      <c r="L66" s="48"/>
      <c r="M66" s="57" t="s">
        <v>454</v>
      </c>
      <c r="N66" s="57" t="s">
        <v>455</v>
      </c>
      <c r="O66" s="57" t="s">
        <v>454</v>
      </c>
      <c r="P66" s="57" t="s">
        <v>455</v>
      </c>
      <c r="Q66" s="57" t="s">
        <v>454</v>
      </c>
      <c r="R66" s="57" t="s">
        <v>455</v>
      </c>
      <c r="S66" s="57" t="s">
        <v>454</v>
      </c>
      <c r="T66" s="57" t="s">
        <v>455</v>
      </c>
      <c r="V66" s="48"/>
      <c r="W66" s="57" t="s">
        <v>454</v>
      </c>
      <c r="X66" s="57" t="s">
        <v>455</v>
      </c>
      <c r="Y66" s="57" t="s">
        <v>454</v>
      </c>
      <c r="Z66" s="57" t="s">
        <v>455</v>
      </c>
      <c r="AA66" s="57" t="s">
        <v>454</v>
      </c>
      <c r="AB66" s="57" t="s">
        <v>455</v>
      </c>
      <c r="AC66" s="57" t="s">
        <v>454</v>
      </c>
      <c r="AD66" s="57" t="s">
        <v>455</v>
      </c>
    </row>
    <row r="67" spans="2:30" x14ac:dyDescent="0.25">
      <c r="B67" s="38" t="str">
        <f t="shared" ref="B67:B76" si="15">B37</f>
        <v>5 warm</v>
      </c>
      <c r="C67" s="101">
        <f>C$22*MIN(K22,X22)+IF(X22-K22&gt;0,C$23*(X22-K22))+ROUND($C$25*365/12,2)+(Summary!N19/12)*2</f>
        <v>142.19028967695672</v>
      </c>
      <c r="D67" s="101">
        <f>C$22*MIN(L22,Y22)+IF(Y22-L22&gt;0,C$23*(Y22-L22))+ROUND($C$25*365/12,2)+(Summary!N19/12)*2</f>
        <v>162.26643480464367</v>
      </c>
      <c r="E67" s="101">
        <f>D$22*MIN(K22,X22)+IF(X22-K22&gt;0,D$23*(X22-K22))+ROUND($F$14*365/12,2)+(Summary!N19/12)*2</f>
        <v>142.07373312194954</v>
      </c>
      <c r="F67" s="101">
        <f>D$22*MIN(L22,Y22)+IF(Y22-L22&gt;0,D$23*(Y22-L22))+ROUND($F$14*365/12,2)+(Summary!N19/12)*2</f>
        <v>162.13101336049439</v>
      </c>
      <c r="G67" s="101">
        <f>E$22*MIN(K22,X22)+IF(X22-K22&gt;0,E$23*(X22-K22))+ROUND($F$14*365/12,2)+(Summary!N19/12)*2</f>
        <v>137.9078907262716</v>
      </c>
      <c r="H67" s="101">
        <f>E$22*MIN(L22,Y22)+IF(Y22-L22&gt;0,E$23*(Y22-L22))+ROUND($F$14*365/12,2)+(Summary!N19/12)*2</f>
        <v>157.29092184195071</v>
      </c>
      <c r="I67" s="101">
        <f>F$22*MIN(K22,X22)+IF(X22-K22&gt;0,F$23*(X22-K22))+ROUND($F$14*365/12,2)+(Summary!N19/12)*2</f>
        <v>137.93582315057762</v>
      </c>
      <c r="J67" s="101">
        <f>F$22*MIN(L22,Y22)+IF(Y22-L22&gt;0,F$23*(Y22-L22))+ROUND($F$14*365/12,2)+(Summary!N19/12)*2</f>
        <v>157.32337517962767</v>
      </c>
      <c r="L67" s="38" t="s">
        <v>459</v>
      </c>
      <c r="M67" s="57">
        <f>C$22*MIN(I22,$L$64)+IF($L$64-I22&gt;0,C$23*($L$64-I22))+ROUND($C$25*365/12,2)+(Summary!$N$19/12)*2</f>
        <v>172.46</v>
      </c>
      <c r="N67" s="57">
        <f>C$22*MIN(J22,$L$64)+IF($L$64-J22&gt;0,C$23*($L$64-J22))+ROUND($C$25*365/12,2)+(Summary!$N$19/12)*2</f>
        <v>172.46</v>
      </c>
      <c r="O67" s="57">
        <f>D$22*MIN(I22,$L$64)+IF($L$64-I22&gt;0,D$23*($L$64-I22))+ROUND($F$14*365/12,2)+(Summary!$N$19/12)*2</f>
        <v>172.315</v>
      </c>
      <c r="P67" s="57">
        <f>D$22*MIN(J22,$L$64)+IF($L$64-J22&gt;0,D$23*($L$64-J22))+ROUND($F$14*365/12,2)+(Summary!$N$19/12)*2</f>
        <v>172.315</v>
      </c>
      <c r="Q67" s="57">
        <f>E$22*MIN(I22,$L$64)+IF($L$64-I22&gt;0,E$23*($L$64-I22))+ROUND($F$14*365/12,2)+(Summary!$N$19/12)*2</f>
        <v>167.13256176359138</v>
      </c>
      <c r="R67" s="57">
        <f>E$22*MIN(J22,$L$64)+IF($L$64-J22&gt;0,E$23*($L$64-J22))+ROUND($F$14*365/12,2)+(Summary!$N$19/12)*2</f>
        <v>167.13256176359138</v>
      </c>
      <c r="S67" s="57">
        <f>F$22*MIN(I22,$L$64)+IF($L$64-I22&gt;0,F$23*($L$64-I22))+ROUND($F$14*365/12,2)+(Summary!$N$19/12)*2</f>
        <v>167.16731057307808</v>
      </c>
      <c r="T67" s="57">
        <f>F$22*MIN(J22,$L$64)+IF($L$64-J22&gt;0,F$23*($L$64-J22))+ROUND($F$14*365/12,2)+(Summary!$N$19/12)*2</f>
        <v>167.16731057307808</v>
      </c>
      <c r="V67" s="38" t="s">
        <v>459</v>
      </c>
      <c r="W67" s="57">
        <f>C$28*MIN(I22,$L$64)+IF($L$64-I22&gt;0,C$29*($L$64-I22))+ROUND($C$31*365/12,2)+(Summary!N19/12)*2</f>
        <v>100.25999999999999</v>
      </c>
      <c r="X67" s="57">
        <f>C$28*MIN(J22,$L$64)+IF($L$64-J22&gt;0,C$29*($L$64-J22))+ROUND($C$31*365/12,2)+(Summary!N19/12)*2</f>
        <v>100.25999999999999</v>
      </c>
      <c r="Y67" s="57">
        <f>D$28*MIN(I22,$L$64)+IF($L$64-I22&gt;0,D$29*($L$64-I22))+ROUND($P$14*365/12,2)+(Summary!N19/12)*2</f>
        <v>100.13</v>
      </c>
      <c r="Z67" s="57">
        <f>D$28*MIN(J22,$L$64)+IF($L$64-J22&gt;0,D$29*($L$64-J22))+ROUND($P$14*365/12,2)+(Summary!N19/12)*2</f>
        <v>100.13</v>
      </c>
      <c r="AA67" s="57">
        <f>E$28*MIN(I22,$L$64)+IF($L$64-I22&gt;0,E$29*($L$64-I22))+ROUND($P$14*365/12,2)+(Summary!N19/12)*2</f>
        <v>96.763675834372535</v>
      </c>
      <c r="AB67" s="57">
        <f>E$28*MIN(J22,$L$64)+IF($L$64-J22&gt;0,E$29*($L$64-J22))+ROUND($P$14*365/12,2)+(Summary!N19/12)*2</f>
        <v>96.763675834372535</v>
      </c>
      <c r="AC67" s="57">
        <f>F$28*MIN(I22,$L$64)+IF($L$64-I22&gt;0,F$29*($L$64-I22))+ROUND($P$14*365/12,2)+(Summary!N19/12)*2</f>
        <v>96.786247402380823</v>
      </c>
      <c r="AD67" s="57">
        <f>F$28*MIN(J22,$L$64)+IF($L$64-J22&gt;0,F$29*($L$64-J22))+ROUND($P$14*365/12,2)+(Summary!N19/12)*2</f>
        <v>96.786247402380823</v>
      </c>
    </row>
    <row r="68" spans="2:30" x14ac:dyDescent="0.25">
      <c r="B68" s="38" t="str">
        <f t="shared" si="15"/>
        <v>6 cool</v>
      </c>
      <c r="C68" s="101">
        <f>C$22*MIN(K23,X23)+IF(X23-K23&gt;0,C$23*(X23-K23))+ROUND($C$25*365/12,2)+(Summary!N19/12)*2</f>
        <v>125.5759875378595</v>
      </c>
      <c r="D68" s="101">
        <f>C$22*MIN(L23,Y23)+IF(Y23-L23&gt;0,C$23*(Y23-L23))+ROUND($C$25*365/12,2)+(Summary!N19/12)*2</f>
        <v>119.33167640133777</v>
      </c>
      <c r="E68" s="101">
        <f>D$22*MIN(K23,X23)+IF(X23-K23&gt;0,D$23*(X23-K23))+ROUND($F$14*365/12,2)+(Summary!N19/12)*2</f>
        <v>125.47535606556795</v>
      </c>
      <c r="F68" s="101">
        <f>D$22*MIN(L23,Y23)+IF(Y23-L23&gt;0,D$23*(Y23-L23))+ROUND($F$14*365/12,2)+(Summary!N19/12)*2</f>
        <v>119.23659932870351</v>
      </c>
      <c r="G68" s="101">
        <f>E$22*MIN(K23,X23)+IF(X23-K23&gt;0,E$23*(X23-K23))+ROUND($F$14*365/12,2)+(Summary!N19/12)*2</f>
        <v>121.86748768422089</v>
      </c>
      <c r="H68" s="101">
        <f>E$22*MIN(L23,Y23)+IF(Y23-L23&gt;0,E$23*(Y23-L23))+ROUND($F$14*365/12,2)+(Summary!N19/12)*2</f>
        <v>115.83845411059568</v>
      </c>
      <c r="I68" s="101">
        <f>F$22*MIN(K23,X23)+IF(X23-K23&gt;0,F$23*(X23-K23))+ROUND($F$14*365/12,2)+(Summary!N19/12)*2</f>
        <v>121.89167883234799</v>
      </c>
      <c r="J68" s="101">
        <f>F$22*MIN(L23,Y23)+IF(Y23-L23&gt;0,F$23*(Y23-L23))+ROUND($F$14*365/12,2)+(Summary!N19/12)*2</f>
        <v>115.86123904220619</v>
      </c>
      <c r="L68" s="38" t="s">
        <v>461</v>
      </c>
      <c r="M68" s="57">
        <f>C$22*MIN(I23,$L$64)+IF($L$64-I23&gt;0,C$23*($L$64-I23))+ROUND($C$25*365/12,2)+(Summary!$N$19/12)*2</f>
        <v>187.950125896</v>
      </c>
      <c r="N68" s="57">
        <f>C$22*MIN(J23,$L$64)+IF($L$64-J23&gt;0,C$23*($L$64-J23))+ROUND($C$25*365/12,2)+(Summary!$N$19/12)*2</f>
        <v>189.17994604000003</v>
      </c>
      <c r="O68" s="57">
        <f>D$22*MIN(I23,$L$64)+IF($L$64-I23&gt;0,D$23*($L$64-I23))+ROUND($F$14*365/12,2)+(Summary!$N$19/12)*2</f>
        <v>187.79133373800002</v>
      </c>
      <c r="P68" s="57">
        <f>D$22*MIN(J23,$L$64)+IF($L$64-J23&gt;0,D$23*($L$64-J23))+ROUND($F$14*365/12,2)+(Summary!$N$19/12)*2</f>
        <v>189.02005886999999</v>
      </c>
      <c r="Q68" s="57">
        <f>E$22*MIN(I23,$L$64)+IF($L$64-I23&gt;0,E$23*($L$64-I23))+ROUND($F$14*365/12,2)+(Summary!$N$19/12)*2</f>
        <v>182.08864029630334</v>
      </c>
      <c r="R68" s="57">
        <f>E$22*MIN(J23,$L$64)+IF($L$64-J23&gt;0,E$23*($L$64-J23))+ROUND($F$14*365/12,2)+(Summary!$N$19/12)*2</f>
        <v>183.27606038431728</v>
      </c>
      <c r="S68" s="57">
        <f>F$22*MIN(I23,$L$64)+IF($L$64-I23&gt;0,F$23*($L$64-I23))+ROUND($F$14*365/12,2)+(Summary!$N$19/12)*2</f>
        <v>182.12687747327041</v>
      </c>
      <c r="T68" s="57">
        <f>F$22*MIN(J23,$L$64)+IF($L$64-J23&gt;0,F$23*($L$64-J23))+ROUND($F$14*365/12,2)+(Summary!$N$19/12)*2</f>
        <v>183.31457451607642</v>
      </c>
      <c r="U68" s="156"/>
      <c r="V68" s="38" t="s">
        <v>461</v>
      </c>
      <c r="W68" s="57">
        <f>C$28*MIN(I23,$L$64)+IF($L$64-I23&gt;0,C$29*($L$64-I23))+ROUND($C$31*365/12,2)+(Summary!N19/12)*2</f>
        <v>110.71445576399999</v>
      </c>
      <c r="X68" s="57">
        <f>C$28*MIN(J23,$L$64)+IF($L$64-J23&gt;0,C$29*($L$64-J23))+ROUND($C$31*365/12,2)+(Summary!N19/12)*2</f>
        <v>111.54447485999999</v>
      </c>
      <c r="Y68" s="57">
        <f>D$28*MIN(I23,$L$64)+IF($L$64-I23&gt;0,D$29*($L$64-I23))+ROUND($P$14*365/12,2)+(Summary!N19/12)*2</f>
        <v>110.576793454</v>
      </c>
      <c r="Z68" s="57">
        <f>D$28*MIN(J23,$L$64)+IF($L$64-J23&gt;0,D$29*($L$64-J23))+ROUND($P$14*365/12,2)+(Summary!N19/12)*2</f>
        <v>111.40620421</v>
      </c>
      <c r="AA68" s="57">
        <f>E$28*MIN(I23,$L$64)+IF($L$64-I23&gt;0,E$29*($L$64-I23))+ROUND($P$14*365/12,2)+(Summary!N19/12)*2</f>
        <v>106.85928800958764</v>
      </c>
      <c r="AB68" s="57">
        <f>E$28*MIN(J23,$L$64)+IF($L$64-J23&gt;0,E$29*($L$64-J23))+ROUND($P$14*365/12,2)+(Summary!N19/12)*2</f>
        <v>107.66081714514472</v>
      </c>
      <c r="AC68" s="57">
        <f>F$28*MIN(I23,$L$64)+IF($L$64-I23&gt;0,F$29*($L$64-I23))+ROUND($P$14*365/12,2)+(Summary!N19/12)*2</f>
        <v>106.88421428609318</v>
      </c>
      <c r="AD68" s="57">
        <f>F$28*MIN(J23,$L$64)+IF($L$64-J23&gt;0,F$29*($L$64-J23))+ROUND($P$14*365/12,2)+(Summary!N19/12)*2</f>
        <v>107.68593037093413</v>
      </c>
    </row>
    <row r="69" spans="2:30" x14ac:dyDescent="0.25">
      <c r="B69" s="38" t="str">
        <f t="shared" si="15"/>
        <v>8 cool</v>
      </c>
      <c r="C69" s="101">
        <f>C$22*MIN(K24,X24)+IF(X24-K24&gt;0,C$23*(X24-K24))+ROUND($C$25*365/12,2)+(Summary!N19/12)*2</f>
        <v>142.9517220207407</v>
      </c>
      <c r="D69" s="101">
        <f>C$22*MIN(L24,Y24)+IF(Y24-L24&gt;0,C$23*(Y24-L24))+ROUND($C$25*365/12,2)+(Summary!N19/12)*2</f>
        <v>123.39194763790374</v>
      </c>
      <c r="E69" s="101">
        <f>D$22*MIN(K24,X24)+IF(X24-K24&gt;0,D$23*(X24-K24))+ROUND($F$14*365/12,2)+(Summary!N19/12)*2</f>
        <v>142.83483744906312</v>
      </c>
      <c r="F69" s="101">
        <f>D$22*MIN(L24,Y24)+IF(Y24-L24&gt;0,D$23*(Y24-L24))+ROUND($F$14*365/12,2)+(Summary!N19/12)*2</f>
        <v>123.29305526276605</v>
      </c>
      <c r="G69" s="101">
        <f>E$22*MIN(K24,X24)+IF(X24-K24&gt;0,E$23*(X24-K24))+ROUND($F$14*365/12,2)+(Summary!N19/12)*2</f>
        <v>138.64340963408296</v>
      </c>
      <c r="H69" s="101">
        <f>E$22*MIN(L24,Y24)+IF(Y24-L24&gt;0,E$23*(Y24-L24))+ROUND($F$14*365/12,2)+(Summary!N19/12)*2</f>
        <v>119.75854749585019</v>
      </c>
      <c r="I69" s="101">
        <f>F$22*MIN(K24,X24)+IF(X24-K24&gt;0,F$23*(X24-K24))+ROUND($F$14*365/12,2)+(Summary!N19/12)*2</f>
        <v>138.67151361139557</v>
      </c>
      <c r="J69" s="101">
        <f>F$22*MIN(L24,Y24)+IF(Y24-L24&gt;0,F$23*(Y24-L24))+ROUND($F$14*365/12,2)+(Summary!N19/12)*2</f>
        <v>119.78224675311466</v>
      </c>
      <c r="L69" s="38" t="s">
        <v>462</v>
      </c>
      <c r="M69" s="57">
        <f>C$22*MIN(I24,$L$64)+IF($L$64-I24&gt;0,C$23*($L$64-I24))+ROUND($C$25*365/12,2)+(Summary!$N$19/12)*2</f>
        <v>183.64575539200001</v>
      </c>
      <c r="N69" s="57">
        <f>C$22*MIN(J24,$L$64)+IF($L$64-J24&gt;0,C$23*($L$64-J24))+ROUND($C$25*365/12,2)+(Summary!$N$19/12)*2</f>
        <v>191.33213129200001</v>
      </c>
      <c r="O69" s="57">
        <f>D$22*MIN(I24,$L$64)+IF($L$64-I24&gt;0,D$23*($L$64-I24))+ROUND($F$14*365/12,2)+(Summary!$N$19/12)*2</f>
        <v>183.490795776</v>
      </c>
      <c r="P69" s="57">
        <f>D$22*MIN(J24,$L$64)+IF($L$64-J24&gt;0,D$23*($L$64-J24))+ROUND($F$14*365/12,2)+(Summary!$N$19/12)*2</f>
        <v>191.170327851</v>
      </c>
      <c r="Q69" s="57">
        <f>E$22*MIN(I24,$L$64)+IF($L$64-I24&gt;0,E$23*($L$64-I24))+ROUND($F$14*365/12,2)+(Summary!$N$19/12)*2</f>
        <v>177.93266998825459</v>
      </c>
      <c r="R69" s="57">
        <f>E$22*MIN(J24,$L$64)+IF($L$64-J24&gt;0,E$23*($L$64-J24))+ROUND($F$14*365/12,2)+(Summary!$N$19/12)*2</f>
        <v>185.35404553834164</v>
      </c>
      <c r="S69" s="57">
        <f>F$22*MIN(I24,$L$64)+IF($L$64-I24&gt;0,F$23*($L$64-I24))+ROUND($F$14*365/12,2)+(Summary!$N$19/12)*2</f>
        <v>177.96993782344933</v>
      </c>
      <c r="T69" s="57">
        <f>F$22*MIN(J24,$L$64)+IF($L$64-J24&gt;0,F$23*($L$64-J24))+ROUND($F$14*365/12,2)+(Summary!$N$19/12)*2</f>
        <v>185.39304434098696</v>
      </c>
      <c r="V69" s="38" t="s">
        <v>462</v>
      </c>
      <c r="W69" s="57">
        <f>C$28*MIN(I24,$L$64)+IF($L$64-I24&gt;0,C$29*($L$64-I24))+ROUND($C$31*365/12,2)+(Summary!N19/12)*2</f>
        <v>107.80938892799999</v>
      </c>
      <c r="X69" s="57">
        <f>C$28*MIN(J24,$L$64)+IF($L$64-J24&gt;0,C$29*($L$64-J24))+ROUND($C$31*365/12,2)+(Summary!N19/12)*2</f>
        <v>112.997008278</v>
      </c>
      <c r="Y69" s="57">
        <f>D$28*MIN(I24,$L$64)+IF($L$64-I24&gt;0,D$29*($L$64-I24))+ROUND($P$14*365/12,2)+(Summary!N19/12)*2</f>
        <v>107.673855808</v>
      </c>
      <c r="Z69" s="57">
        <f>D$28*MIN(J24,$L$64)+IF($L$64-J24&gt;0,D$29*($L$64-J24))+ROUND($P$14*365/12,2)+(Summary!N19/12)*2</f>
        <v>112.857673033</v>
      </c>
      <c r="AA69" s="57">
        <f>E$28*MIN(I24,$L$64)+IF($L$64-I24&gt;0,E$29*($L$64-I24))+ROUND($P$14*365/12,2)+(Summary!N19/12)*2</f>
        <v>104.05393603513785</v>
      </c>
      <c r="AB69" s="57">
        <f>E$28*MIN(J24,$L$64)+IF($L$64-J24&gt;0,E$29*($L$64-J24))+ROUND($P$14*365/12,2)+(Summary!N19/12)*2</f>
        <v>109.0634931323696</v>
      </c>
      <c r="AC69" s="57">
        <f>F$28*MIN(I24,$L$64)+IF($L$64-I24&gt;0,F$29*($L$64-I24))+ROUND($P$14*365/12,2)+(Summary!N19/12)*2</f>
        <v>104.07820798914989</v>
      </c>
      <c r="AD69" s="57">
        <f>F$28*MIN(J24,$L$64)+IF($L$64-J24&gt;0,F$29*($L$64-J24))+ROUND($P$14*365/12,2)+(Summary!N19/12)*2</f>
        <v>109.08893351940578</v>
      </c>
    </row>
    <row r="70" spans="2:30" x14ac:dyDescent="0.25">
      <c r="B70" s="38" t="str">
        <f t="shared" si="15"/>
        <v>9 warm</v>
      </c>
      <c r="C70" s="101">
        <f>C$22*MIN(K25,X25)+IF(X25-K25&gt;0,C$23*(X25-K25))+ROUND($C$25*365/12,2)+(Summary!N19/12)*2</f>
        <v>177.55335977651725</v>
      </c>
      <c r="D70" s="101">
        <f>C$22*MIN(L25,Y25)+IF(Y25-L25&gt;0,C$23*(Y25-L25))+ROUND($C$25*365/12,2)+(Summary!N19/12)*2</f>
        <v>130.16216958534923</v>
      </c>
      <c r="E70" s="101">
        <f>D$22*MIN(K25,X25)+IF(X25-K25&gt;0,D$23*(X25-K25))+ROUND($F$14*365/12,2)+(Summary!N19/12)*2</f>
        <v>177.40408514773381</v>
      </c>
      <c r="F70" s="101">
        <f>D$22*MIN(L25,Y25)+IF(Y25-L25&gt;0,D$23*(Y25-L25))+ROUND($F$14*365/12,2)+(Summary!N19/12)*2</f>
        <v>130.05691545671286</v>
      </c>
      <c r="G70" s="101">
        <f>E$22*MIN(K25,X25)+IF(X25-K25&gt;0,E$23*(X25-K25))+ROUND($F$14*365/12,2)+(Summary!N19/12)*2</f>
        <v>172.05057131402387</v>
      </c>
      <c r="H70" s="101">
        <f>E$22*MIN(L25,Y25)+IF(Y25-L25&gt;0,E$23*(Y25-L25))+ROUND($F$14*365/12,2)+(Summary!N19/12)*2</f>
        <v>126.29503255474799</v>
      </c>
      <c r="I70" s="101">
        <f>F$22*MIN(K25,X25)+IF(X25-K25&gt;0,F$23*(X25-K25))+ROUND($F$14*365/12,2)+(Summary!N19/12)*2</f>
        <v>172.08646720391314</v>
      </c>
      <c r="J70" s="101">
        <f>F$22*MIN(L25,Y25)+IF(Y25-L25&gt;0,F$23*(Y25-L25))+ROUND($F$14*365/12,2)+(Summary!N19/12)*2</f>
        <v>126.32025638691124</v>
      </c>
      <c r="L70" s="38" t="s">
        <v>8</v>
      </c>
      <c r="M70" s="57">
        <f>C$22*MIN(I25,$L$64)+IF($L$64-I25&gt;0,C$23*($L$64-I25))+ROUND($C$25*365/12,2)+(Summary!$N$19/12)*2</f>
        <v>172.46</v>
      </c>
      <c r="N70" s="57">
        <f>C$22*MIN(J25,$L$64)+IF($L$64-J25&gt;0,C$23*($L$64-J25))+ROUND($C$25*365/12,2)+(Summary!$N$19/12)*2</f>
        <v>186.10539567999999</v>
      </c>
      <c r="O70" s="57">
        <f>D$22*MIN(I25,$L$64)+IF($L$64-I25&gt;0,D$23*($L$64-I25))+ROUND($F$14*365/12,2)+(Summary!$N$19/12)*2</f>
        <v>172.315</v>
      </c>
      <c r="P70" s="57">
        <f>D$22*MIN(J25,$L$64)+IF($L$64-J25&gt;0,D$23*($L$64-J25))+ROUND($F$14*365/12,2)+(Summary!$N$19/12)*2</f>
        <v>185.94824604000002</v>
      </c>
      <c r="Q70" s="57">
        <f>E$22*MIN(I25,$L$64)+IF($L$64-I25&gt;0,E$23*($L$64-I25))+ROUND($F$14*365/12,2)+(Summary!$N$19/12)*2</f>
        <v>167.13256176359138</v>
      </c>
      <c r="R70" s="57">
        <f>E$22*MIN(J25,$L$64)+IF($L$64-J25&gt;0,E$23*($L$64-J25))+ROUND($F$14*365/12,2)+(Summary!$N$19/12)*2</f>
        <v>180.30751016428243</v>
      </c>
      <c r="S70" s="57">
        <f>F$22*MIN(I25,$L$64)+IF($L$64-I25&gt;0,F$23*($L$64-I25))+ROUND($F$14*365/12,2)+(Summary!$N$19/12)*2</f>
        <v>167.16731057307808</v>
      </c>
      <c r="T70" s="57">
        <f>F$22*MIN(J25,$L$64)+IF($L$64-J25&gt;0,F$23*($L$64-J25))+ROUND($F$14*365/12,2)+(Summary!$N$19/12)*2</f>
        <v>180.34533190906137</v>
      </c>
      <c r="V70" s="38" t="s">
        <v>8</v>
      </c>
      <c r="W70" s="57">
        <f>C$28*MIN(I25,$L$64)+IF($L$64-I25&gt;0,C$29*($L$64-I25))+ROUND($C$31*365/12,2)+(Summary!N19/12)*2</f>
        <v>100.25999999999999</v>
      </c>
      <c r="X70" s="57">
        <f>C$28*MIN(J25,$L$64)+IF($L$64-J25&gt;0,C$29*($L$64-J25))+ROUND($C$31*365/12,2)+(Summary!N19/12)*2</f>
        <v>109.46942711999999</v>
      </c>
      <c r="Y70" s="57">
        <f>D$28*MIN(I25,$L$64)+IF($L$64-I25&gt;0,D$29*($L$64-I25))+ROUND($P$14*365/12,2)+(Summary!N19/12)*2</f>
        <v>100.13</v>
      </c>
      <c r="Z70" s="57">
        <f>D$28*MIN(J25,$L$64)+IF($L$64-J25&gt;0,D$29*($L$64-J25))+ROUND($P$14*365/12,2)+(Summary!N19/12)*2</f>
        <v>109.33267732</v>
      </c>
      <c r="AA70" s="57">
        <f>E$28*MIN(I25,$L$64)+IF($L$64-I25&gt;0,E$29*($L$64-I25))+ROUND($P$14*365/12,2)+(Summary!N19/12)*2</f>
        <v>96.763675834372535</v>
      </c>
      <c r="AB70" s="57">
        <f>E$28*MIN(J25,$L$64)+IF($L$64-J25&gt;0,E$29*($L$64-J25))+ROUND($P$14*365/12,2)+(Summary!N19/12)*2</f>
        <v>105.65699430625203</v>
      </c>
      <c r="AC70" s="57">
        <f>F$28*MIN(I25,$L$64)+IF($L$64-I25&gt;0,F$29*($L$64-I25))+ROUND($P$14*365/12,2)+(Summary!N19/12)*2</f>
        <v>96.786247402380823</v>
      </c>
      <c r="AD70" s="57">
        <f>F$28*MIN(J25,$L$64)+IF($L$64-J25&gt;0,F$29*($L$64-J25))+ROUND($P$14*365/12,2)+(Summary!N19/12)*2</f>
        <v>105.68164015883178</v>
      </c>
    </row>
    <row r="71" spans="2:30" x14ac:dyDescent="0.25">
      <c r="B71" s="38" t="str">
        <f t="shared" si="15"/>
        <v>10 hot (Sec 745)</v>
      </c>
      <c r="C71" s="101">
        <f>C$22*MIN(K26,X26)+IF(X26-K26&gt;0,C$23*(X26-K26))+ROUND($C$25*365/12,2)+(Summary!N19/12)*2</f>
        <v>203.38166101569362</v>
      </c>
      <c r="D71" s="101">
        <f>C$22*MIN(L26,Y26)+IF(Y26-L26&gt;0,C$23*(Y26-L26))+ROUND($C$25*365/12,2)+(Summary!N19/12)*2</f>
        <v>143.48846370107515</v>
      </c>
      <c r="E71" s="101">
        <f>D$22*MIN(K26,X26)+IF(X26-K26&gt;0,D$23*(X26-K26))+ROUND($F$14*365/12,2)+(Summary!N19/12)*2</f>
        <v>203.20804235714056</v>
      </c>
      <c r="F71" s="101">
        <f>D$22*MIN(L26,Y26)+IF(Y26-L26&gt;0,D$23*(Y26-L26))+ROUND($F$14*365/12,2)+(Summary!N19/12)*2</f>
        <v>143.37068729490147</v>
      </c>
      <c r="G71" s="101">
        <f>E$22*MIN(K26,X26)+IF(X26-K26&gt;0,E$23*(X26-K26))+ROUND($F$14*365/12,2)+(Summary!N19/12)*2</f>
        <v>196.98709807882463</v>
      </c>
      <c r="H71" s="101">
        <f>E$22*MIN(L26,Y26)+IF(Y26-L26&gt;0,E$23*(Y26-L26))+ROUND($F$14*365/12,2)+(Summary!N19/12)*2</f>
        <v>139.16124625558345</v>
      </c>
      <c r="I71" s="101">
        <f>F$22*MIN(K26,X26)+IF(X26-K26&gt;0,F$23*(X26-K26))+ROUND($F$14*365/12,2)+(Summary!N19/12)*2</f>
        <v>197.0288101837632</v>
      </c>
      <c r="J71" s="101">
        <f>F$22*MIN(L26,Y26)+IF(Y26-L26&gt;0,F$23*(Y26-L26))+ROUND($F$14*365/12,2)+(Summary!N19/12)*2</f>
        <v>139.18947101351557</v>
      </c>
      <c r="L71" s="38" t="s">
        <v>465</v>
      </c>
      <c r="M71" s="57">
        <f>C$22*MIN(I26,$L$64)+IF($L$64-I26&gt;0,C$23*($L$64-I26))+ROUND($C$25*365/12,2)+(Summary!$N$19/12)*2</f>
        <v>172.46</v>
      </c>
      <c r="N71" s="57">
        <f>C$22*MIN(J26,$L$64)+IF($L$64-J26&gt;0,C$23*($L$64-J26))+ROUND($C$25*365/12,2)+(Summary!$N$19/12)*2</f>
        <v>185.79794064399999</v>
      </c>
      <c r="O71" s="57">
        <f>D$22*MIN(I26,$L$64)+IF($L$64-I26&gt;0,D$23*($L$64-I26))+ROUND($F$14*365/12,2)+(Summary!$N$19/12)*2</f>
        <v>172.315</v>
      </c>
      <c r="P71" s="57">
        <f>D$22*MIN(J26,$L$64)+IF($L$64-J26&gt;0,D$23*($L$64-J26))+ROUND($F$14*365/12,2)+(Summary!$N$19/12)*2</f>
        <v>185.64106475700001</v>
      </c>
      <c r="Q71" s="57">
        <f>E$22*MIN(I26,$L$64)+IF($L$64-I26&gt;0,E$23*($L$64-I26))+ROUND($F$14*365/12,2)+(Summary!$N$19/12)*2</f>
        <v>167.13256176359138</v>
      </c>
      <c r="R71" s="57">
        <f>E$22*MIN(J26,$L$64)+IF($L$64-J26&gt;0,E$23*($L$64-J26))+ROUND($F$14*365/12,2)+(Summary!$N$19/12)*2</f>
        <v>180.01065514227895</v>
      </c>
      <c r="S71" s="57">
        <f>F$22*MIN(I26,$L$64)+IF($L$64-I26&gt;0,F$23*($L$64-I26))+ROUND($F$14*365/12,2)+(Summary!$N$19/12)*2</f>
        <v>167.16731057307808</v>
      </c>
      <c r="T71" s="57">
        <f>F$22*MIN(J26,$L$64)+IF($L$64-J26&gt;0,F$23*($L$64-J26))+ROUND($F$14*365/12,2)+(Summary!$N$19/12)*2</f>
        <v>180.04840764835987</v>
      </c>
      <c r="V71" s="38" t="s">
        <v>465</v>
      </c>
      <c r="W71" s="57">
        <f>C$28*MIN(I26,$L$64)+IF($L$64-I26&gt;0,C$29*($L$64-I26))+ROUND($C$31*365/12,2)+(Summary!N19/12)*2</f>
        <v>100.25999999999999</v>
      </c>
      <c r="X71" s="57">
        <f>C$28*MIN(J26,$L$64)+IF($L$64-J26&gt;0,C$29*($L$64-J26))+ROUND($C$31*365/12,2)+(Summary!N19/12)*2</f>
        <v>109.26192234599999</v>
      </c>
      <c r="Y71" s="57">
        <f>D$28*MIN(I26,$L$64)+IF($L$64-I26&gt;0,D$29*($L$64-I26))+ROUND($P$14*365/12,2)+(Summary!N19/12)*2</f>
        <v>100.13</v>
      </c>
      <c r="Z71" s="57">
        <f>D$28*MIN(J26,$L$64)+IF($L$64-J26&gt;0,D$29*($L$64-J26))+ROUND($P$14*365/12,2)+(Summary!N19/12)*2</f>
        <v>109.125324631</v>
      </c>
      <c r="AA71" s="57">
        <f>E$28*MIN(I26,$L$64)+IF($L$64-I26&gt;0,E$29*($L$64-I26))+ROUND($P$14*365/12,2)+(Summary!N19/12)*2</f>
        <v>96.763675834372535</v>
      </c>
      <c r="AB71" s="57">
        <f>E$28*MIN(J26,$L$64)+IF($L$64-J26&gt;0,E$29*($L$64-J26))+ROUND($P$14*365/12,2)+(Summary!N19/12)*2</f>
        <v>105.45661202236275</v>
      </c>
      <c r="AC71" s="57">
        <f>F$28*MIN(I26,$L$64)+IF($L$64-I26&gt;0,F$29*($L$64-I26))+ROUND($P$14*365/12,2)+(Summary!N19/12)*2</f>
        <v>96.786247402380823</v>
      </c>
      <c r="AD71" s="57">
        <f>F$28*MIN(J26,$L$64)+IF($L$64-J26&gt;0,F$29*($L$64-J26))+ROUND($P$14*365/12,2)+(Summary!N19/12)*2</f>
        <v>105.48121113762154</v>
      </c>
    </row>
    <row r="72" spans="2:30" x14ac:dyDescent="0.25">
      <c r="B72" s="38" t="str">
        <f t="shared" si="15"/>
        <v>13 hot</v>
      </c>
      <c r="C72" s="101">
        <f>C$22*MIN(K27,X27)+IF(X27-K27&gt;0,C$23*(X27-K27))+ROUND($C$25*365/12,2)+(Summary!N19/12)*2</f>
        <v>296.89350260304388</v>
      </c>
      <c r="D72" s="101">
        <f>C$22*MIN(L27,Y27)+IF(Y27-L27&gt;0,C$23*(Y27-L27))+ROUND($C$25*365/12,2)+(Summary!N19/12)*2</f>
        <v>185.65060964205938</v>
      </c>
      <c r="E72" s="101">
        <f>D$22*MIN(K27,X27)+IF(X27-K27&gt;0,D$23*(X27-K27))+ROUND($F$14*365/12,2)+(Summary!N19/12)*2</f>
        <v>296.63220360888351</v>
      </c>
      <c r="F72" s="101">
        <f>D$22*MIN(L27,Y27)+IF(Y27-L27&gt;0,D$23*(Y27-L27))+ROUND($F$14*365/12,2)+(Summary!N19/12)*2</f>
        <v>185.49321486273141</v>
      </c>
      <c r="G72" s="101">
        <f>E$22*MIN(K27,X27)+IF(X27-K27&gt;0,E$23*(X27-K27))+ROUND($F$14*365/12,2)+(Summary!N19/12)*2</f>
        <v>287.27069600247472</v>
      </c>
      <c r="H72" s="101">
        <f>E$22*MIN(L27,Y27)+IF(Y27-L27&gt;0,E$23*(Y27-L27))+ROUND($F$14*365/12,2)+(Summary!N19/12)*2</f>
        <v>179.86777539652206</v>
      </c>
      <c r="I72" s="101">
        <f>F$22*MIN(K27,X27)+IF(X27-K27&gt;0,F$23*(X27-K27))+ROUND($F$14*365/12,2)+(Summary!N19/12)*2</f>
        <v>287.33346592456235</v>
      </c>
      <c r="J72" s="101">
        <f>F$22*MIN(L27,Y27)+IF(Y27-L27&gt;0,F$23*(Y27-L27))+ROUND($F$14*365/12,2)+(Summary!N19/12)*2</f>
        <v>179.90549457721909</v>
      </c>
      <c r="L72" s="38" t="s">
        <v>466</v>
      </c>
      <c r="M72" s="57">
        <f>C$22*MIN(I27,$L$64)+IF($L$64-I27&gt;0,C$23*($L$64-I27))+ROUND($C$25*365/12,2)+(Summary!$N$19/12)*2</f>
        <v>172.46</v>
      </c>
      <c r="N72" s="57">
        <f>C$22*MIN(J27,$L$64)+IF($L$64-J27&gt;0,C$23*($L$64-J27))+ROUND($C$25*365/12,2)+(Summary!$N$19/12)*2</f>
        <v>185.490485608</v>
      </c>
      <c r="O72" s="57">
        <f>D$22*MIN(I27,$L$64)+IF($L$64-I27&gt;0,D$23*($L$64-I27))+ROUND($F$14*365/12,2)+(Summary!$N$19/12)*2</f>
        <v>172.315</v>
      </c>
      <c r="P72" s="57">
        <f>D$22*MIN(J27,$L$64)+IF($L$64-J27&gt;0,D$23*($L$64-J27))+ROUND($F$14*365/12,2)+(Summary!$N$19/12)*2</f>
        <v>185.333883474</v>
      </c>
      <c r="Q72" s="57">
        <f>E$22*MIN(I27,$L$64)+IF($L$64-I27&gt;0,E$23*($L$64-I27))+ROUND($F$14*365/12,2)+(Summary!$N$19/12)*2</f>
        <v>167.13256176359138</v>
      </c>
      <c r="R72" s="57">
        <f>E$22*MIN(J27,$L$64)+IF($L$64-J27&gt;0,E$23*($L$64-J27))+ROUND($F$14*365/12,2)+(Summary!$N$19/12)*2</f>
        <v>179.71380012027547</v>
      </c>
      <c r="S72" s="57">
        <f>F$22*MIN(I27,$L$64)+IF($L$64-I27&gt;0,F$23*($L$64-I27))+ROUND($F$14*365/12,2)+(Summary!$N$19/12)*2</f>
        <v>167.16731057307808</v>
      </c>
      <c r="T72" s="57">
        <f>F$22*MIN(J27,$L$64)+IF($L$64-J27&gt;0,F$23*($L$64-J27))+ROUND($F$14*365/12,2)+(Summary!$N$19/12)*2</f>
        <v>179.75148338765837</v>
      </c>
      <c r="V72" s="38" t="s">
        <v>466</v>
      </c>
      <c r="W72" s="57">
        <f>C$28*MIN(I27,$L$64)+IF($L$64-I27&gt;0,C$29*($L$64-I27))+ROUND($C$31*365/12,2)+(Summary!N19/12)*2</f>
        <v>100.25999999999999</v>
      </c>
      <c r="X72" s="57">
        <f>C$28*MIN(J27,$L$64)+IF($L$64-J27&gt;0,C$29*($L$64-J27))+ROUND($C$31*365/12,2)+(Summary!N19/12)*2</f>
        <v>109.05441757199999</v>
      </c>
      <c r="Y72" s="57">
        <f>D$28*MIN(I27,$L$64)+IF($L$64-I27&gt;0,D$29*($L$64-I27))+ROUND($P$14*365/12,2)+(Summary!N19/12)*2</f>
        <v>100.13</v>
      </c>
      <c r="Z72" s="57">
        <f>D$28*MIN(J27,$L$64)+IF($L$64-J27&gt;0,D$29*($L$64-J27))+ROUND($P$14*365/12,2)+(Summary!N19/12)*2</f>
        <v>108.91797194199999</v>
      </c>
      <c r="AA72" s="57">
        <f>E$28*MIN(I27,$L$64)+IF($L$64-I27&gt;0,E$29*($L$64-I27))+ROUND($P$14*365/12,2)+(Summary!N19/12)*2</f>
        <v>96.763675834372535</v>
      </c>
      <c r="AB72" s="57">
        <f>E$28*MIN(J27,$L$64)+IF($L$64-J27&gt;0,E$29*($L$64-J27))+ROUND($P$14*365/12,2)+(Summary!N19/12)*2</f>
        <v>105.25622973847349</v>
      </c>
      <c r="AC72" s="57">
        <f>F$28*MIN(I27,$L$64)+IF($L$64-I27&gt;0,F$29*($L$64-I27))+ROUND($P$14*365/12,2)+(Summary!N19/12)*2</f>
        <v>96.786247402380823</v>
      </c>
      <c r="AD72" s="57">
        <f>F$28*MIN(J27,$L$64)+IF($L$64-J27&gt;0,F$29*($L$64-J27))+ROUND($P$14*365/12,2)+(Summary!N19/12)*2</f>
        <v>105.28078211641132</v>
      </c>
    </row>
    <row r="73" spans="2:30" x14ac:dyDescent="0.25">
      <c r="B73" s="38" t="str">
        <f t="shared" si="15"/>
        <v>14 hot</v>
      </c>
      <c r="C73" s="101">
        <f>C$22*MIN(K28,X28)+IF(X28-K28&gt;0,C$23*(X28-K28))+ROUND($C$25*365/12,2)+(Summary!N19/12)*2</f>
        <v>236.82901582750557</v>
      </c>
      <c r="D73" s="101">
        <f>C$22*MIN(L28,Y28)+IF(Y28-L28&gt;0,C$23*(Y28-L28))+ROUND($C$25*365/12,2)+(Summary!N19/12)*2</f>
        <v>172.80330444833189</v>
      </c>
      <c r="E73" s="101">
        <f>D$22*MIN(K28,X28)+IF(X28-K28&gt;0,D$23*(X28-K28))+ROUND($F$14*365/12,2)+(Summary!N19/12)*2</f>
        <v>236.62407771843365</v>
      </c>
      <c r="F73" s="101">
        <f>D$22*MIN(L28,Y28)+IF(Y28-L28&gt;0,D$23*(Y28-L28))+ROUND($F$14*365/12,2)+(Summary!N19/12)*2</f>
        <v>172.65798185650371</v>
      </c>
      <c r="G73" s="101">
        <f>E$22*MIN(K28,X28)+IF(X28-K28&gt;0,E$23*(X28-K28))+ROUND($F$14*365/12,2)+(Summary!N19/12)*2</f>
        <v>229.27981401375283</v>
      </c>
      <c r="H73" s="101">
        <f>E$22*MIN(L28,Y28)+IF(Y28-L28&gt;0,E$23*(Y28-L28))+ROUND($F$14*365/12,2)+(Summary!N19/12)*2</f>
        <v>167.46401388061113</v>
      </c>
      <c r="I73" s="101">
        <f>F$22*MIN(K28,X28)+IF(X28-K28&gt;0,F$23*(X28-K28))+ROUND($F$14*365/12,2)+(Summary!N19/12)*2</f>
        <v>229.32905809706889</v>
      </c>
      <c r="J73" s="101">
        <f>F$22*MIN(L28,Y28)+IF(Y28-L28&gt;0,F$23*(Y28-L28))+ROUND($F$14*365/12,2)+(Summary!N19/12)*2</f>
        <v>167.49883999824942</v>
      </c>
      <c r="L73" s="38" t="s">
        <v>467</v>
      </c>
      <c r="M73" s="57">
        <f>C$22*MIN(I28,$L$64)+IF($L$64-I28&gt;0,C$23*($L$64-I28))+ROUND($C$25*365/12,2)+(Summary!$N$19/12)*2</f>
        <v>172.46</v>
      </c>
      <c r="N73" s="57">
        <f>C$22*MIN(J28,$L$64)+IF($L$64-J28&gt;0,C$23*($L$64-J28))+ROUND($C$25*365/12,2)+(Summary!$N$19/12)*2</f>
        <v>186.41285071600001</v>
      </c>
      <c r="O73" s="57">
        <f>D$22*MIN(I28,$L$64)+IF($L$64-I28&gt;0,D$23*($L$64-I28))+ROUND($F$14*365/12,2)+(Summary!$N$19/12)*2</f>
        <v>172.315</v>
      </c>
      <c r="P73" s="57">
        <f>D$22*MIN(J28,$L$64)+IF($L$64-J28&gt;0,D$23*($L$64-J28))+ROUND($F$14*365/12,2)+(Summary!$N$19/12)*2</f>
        <v>186.25542732300002</v>
      </c>
      <c r="Q73" s="57">
        <f>E$22*MIN(I28,$L$64)+IF($L$64-I28&gt;0,E$23*($L$64-I28))+ROUND($F$14*365/12,2)+(Summary!$N$19/12)*2</f>
        <v>167.13256176359138</v>
      </c>
      <c r="R73" s="57">
        <f>E$22*MIN(J28,$L$64)+IF($L$64-J28&gt;0,E$23*($L$64-J28))+ROUND($F$14*365/12,2)+(Summary!$N$19/12)*2</f>
        <v>180.60436518628592</v>
      </c>
      <c r="S73" s="57">
        <f>F$22*MIN(I28,$L$64)+IF($L$64-I28&gt;0,F$23*($L$64-I28))+ROUND($F$14*365/12,2)+(Summary!$N$19/12)*2</f>
        <v>167.16731057307808</v>
      </c>
      <c r="T73" s="57">
        <f>F$22*MIN(J28,$L$64)+IF($L$64-J28&gt;0,F$23*($L$64-J28))+ROUND($F$14*365/12,2)+(Summary!$N$19/12)*2</f>
        <v>180.6422561697629</v>
      </c>
      <c r="V73" s="38" t="s">
        <v>467</v>
      </c>
      <c r="W73" s="57">
        <f>C$28*MIN(I28,$L$64)+IF($L$64-I28&gt;0,C$29*($L$64-I28))+ROUND($C$31*365/12,2)+(Summary!N19/12)*2</f>
        <v>100.25999999999999</v>
      </c>
      <c r="X73" s="57">
        <f>C$28*MIN(J28,$L$64)+IF($L$64-J28&gt;0,C$29*($L$64-J28))+ROUND($C$31*365/12,2)+(Summary!N19/12)*2</f>
        <v>109.67693189399999</v>
      </c>
      <c r="Y73" s="57">
        <f>D$28*MIN(I28,$L$64)+IF($L$64-I28&gt;0,D$29*($L$64-I28))+ROUND($P$14*365/12,2)+(Summary!N19/12)*2</f>
        <v>100.13</v>
      </c>
      <c r="Z73" s="57">
        <f>D$28*MIN(J28,$L$64)+IF($L$64-J28&gt;0,D$29*($L$64-J28))+ROUND($P$14*365/12,2)+(Summary!N19/12)*2</f>
        <v>109.54003000900001</v>
      </c>
      <c r="AA73" s="57">
        <f>E$28*MIN(I28,$L$64)+IF($L$64-I28&gt;0,E$29*($L$64-I28))+ROUND($P$14*365/12,2)+(Summary!N19/12)*2</f>
        <v>96.763675834372535</v>
      </c>
      <c r="AB73" s="57">
        <f>E$28*MIN(J28,$L$64)+IF($L$64-J28&gt;0,E$29*($L$64-J28))+ROUND($P$14*365/12,2)+(Summary!N19/12)*2</f>
        <v>105.85737659014127</v>
      </c>
      <c r="AC73" s="57">
        <f>F$28*MIN(I28,$L$64)+IF($L$64-I28&gt;0,F$29*($L$64-I28))+ROUND($P$14*365/12,2)+(Summary!N19/12)*2</f>
        <v>96.786247402380823</v>
      </c>
      <c r="AD73" s="57">
        <f>F$28*MIN(J28,$L$64)+IF($L$64-J28&gt;0,F$29*($L$64-J28))+ROUND($P$14*365/12,2)+(Summary!N19/12)*2</f>
        <v>105.88206918004202</v>
      </c>
    </row>
    <row r="74" spans="2:30" x14ac:dyDescent="0.25">
      <c r="B74" s="38" t="str">
        <f t="shared" si="15"/>
        <v>15 hot</v>
      </c>
      <c r="C74" s="101">
        <f>C$22*MIN(K29,X29)+IF(X29-K29&gt;0,C$23*(X29-K29))+ROUND($C$25*365/12,2)+(Summary!N19/12)*2</f>
        <v>277.43210248650541</v>
      </c>
      <c r="D74" s="101">
        <f>C$22*MIN(L29,Y29)+IF(Y29-L29&gt;0,C$23*(Y29-L29))+ROUND($C$25*365/12,2)+(Summary!N19/12)*2</f>
        <v>151.05036799238007</v>
      </c>
      <c r="E74" s="101">
        <f>D$22*MIN(K29,X29)+IF(X29-K29&gt;0,D$23*(X29-K29))+ROUND($F$14*365/12,2)+(Summary!N19/12)*2</f>
        <v>277.18887692330293</v>
      </c>
      <c r="F74" s="101">
        <f>D$22*MIN(L29,Y29)+IF(Y29-L29&gt;0,D$23*(Y29-L29))+ROUND($F$14*365/12,2)+(Summary!N19/12)*2</f>
        <v>150.92548591501051</v>
      </c>
      <c r="G74" s="101">
        <f>E$22*MIN(K29,X29)+IF(X29-K29&gt;0,E$23*(X29-K29))+ROUND($F$14*365/12,2)+(Summary!N19/12)*2</f>
        <v>268.48097966722224</v>
      </c>
      <c r="H74" s="101">
        <f>E$22*MIN(L29,Y29)+IF(Y29-L29&gt;0,E$23*(Y29-L29))+ROUND($F$14*365/12,2)+(Summary!N19/12)*2</f>
        <v>146.46208141292712</v>
      </c>
      <c r="I74" s="101">
        <f>F$22*MIN(K29,X29)+IF(X29-K29&gt;0,F$23*(X29-K29))+ROUND($F$14*365/12,2)+(Summary!N19/12)*2</f>
        <v>268.53936706114342</v>
      </c>
      <c r="J74" s="101">
        <f>F$22*MIN(L29,Y29)+IF(Y29-L29&gt;0,F$23*(Y29-L29))+ROUND($F$14*365/12,2)+(Summary!N19/12)*2</f>
        <v>146.49200902337415</v>
      </c>
      <c r="L74" s="38" t="s">
        <v>468</v>
      </c>
      <c r="M74" s="57">
        <f>C$22*MIN(I29,$L$64)+IF($L$64-I29&gt;0,C$23*($L$64-I29))+ROUND($C$25*365/12,2)+(Summary!$N$19/12)*2</f>
        <v>172.46</v>
      </c>
      <c r="N74" s="57">
        <f>C$22*MIN(J29,$L$64)+IF($L$64-J29&gt;0,C$23*($L$64-J29))+ROUND($C$25*365/12,2)+(Summary!$N$19/12)*2</f>
        <v>193.17686150800003</v>
      </c>
      <c r="O74" s="57">
        <f>D$22*MIN(I29,$L$64)+IF($L$64-I29&gt;0,D$23*($L$64-I29))+ROUND($F$14*365/12,2)+(Summary!$N$19/12)*2</f>
        <v>172.315</v>
      </c>
      <c r="P74" s="57">
        <f>D$22*MIN(J29,$L$64)+IF($L$64-J29&gt;0,D$23*($L$64-J29))+ROUND($F$14*365/12,2)+(Summary!$N$19/12)*2</f>
        <v>193.013415549</v>
      </c>
      <c r="Q74" s="57">
        <f>E$22*MIN(I29,$L$64)+IF($L$64-I29&gt;0,E$23*($L$64-I29))+ROUND($F$14*365/12,2)+(Summary!$N$19/12)*2</f>
        <v>167.13256176359138</v>
      </c>
      <c r="R74" s="57">
        <f>E$22*MIN(J29,$L$64)+IF($L$64-J29&gt;0,E$23*($L$64-J29))+ROUND($F$14*365/12,2)+(Summary!$N$19/12)*2</f>
        <v>187.13517567036251</v>
      </c>
      <c r="S74" s="57">
        <f>F$22*MIN(I29,$L$64)+IF($L$64-I29&gt;0,F$23*($L$64-I29))+ROUND($F$14*365/12,2)+(Summary!$N$19/12)*2</f>
        <v>167.16731057307808</v>
      </c>
      <c r="T74" s="57">
        <f>F$22*MIN(J29,$L$64)+IF($L$64-J29&gt;0,F$23*($L$64-J29))+ROUND($F$14*365/12,2)+(Summary!$N$19/12)*2</f>
        <v>187.17458990519603</v>
      </c>
      <c r="V74" s="38" t="s">
        <v>468</v>
      </c>
      <c r="W74" s="57">
        <f>C$28*MIN(I29,$L$64)+IF($L$64-I29&gt;0,C$29*($L$64-I29))+ROUND($C$31*365/12,2)+(Summary!N19/12)*2</f>
        <v>100.25999999999999</v>
      </c>
      <c r="X74" s="57">
        <f>C$28*MIN(J29,$L$64)+IF($L$64-J29&gt;0,C$29*($L$64-J29))+ROUND($C$31*365/12,2)+(Summary!N19/12)*2</f>
        <v>114.242036922</v>
      </c>
      <c r="Y74" s="57">
        <f>D$28*MIN(I29,$L$64)+IF($L$64-I29&gt;0,D$29*($L$64-I29))+ROUND($P$14*365/12,2)+(Summary!N19/12)*2</f>
        <v>100.13</v>
      </c>
      <c r="Z74" s="57">
        <f>D$28*MIN(J29,$L$64)+IF($L$64-J29&gt;0,D$29*($L$64-J29))+ROUND($P$14*365/12,2)+(Summary!N19/12)*2</f>
        <v>114.10178916700001</v>
      </c>
      <c r="AA74" s="57">
        <f>E$28*MIN(I29,$L$64)+IF($L$64-I29&gt;0,E$29*($L$64-I29))+ROUND($P$14*365/12,2)+(Summary!N19/12)*2</f>
        <v>96.763675834372535</v>
      </c>
      <c r="AB74" s="57">
        <f>E$28*MIN(J29,$L$64)+IF($L$64-J29&gt;0,E$29*($L$64-J29))+ROUND($P$14*365/12,2)+(Summary!N19/12)*2</f>
        <v>110.26578683570523</v>
      </c>
      <c r="AC74" s="57">
        <f>F$28*MIN(I29,$L$64)+IF($L$64-I29&gt;0,F$29*($L$64-I29))+ROUND($P$14*365/12,2)+(Summary!N19/12)*2</f>
        <v>96.786247402380823</v>
      </c>
      <c r="AD74" s="57">
        <f>F$28*MIN(J29,$L$64)+IF($L$64-J29&gt;0,F$29*($L$64-J29))+ROUND($P$14*365/12,2)+(Summary!N19/12)*2</f>
        <v>110.2915076466672</v>
      </c>
    </row>
    <row r="75" spans="2:30" x14ac:dyDescent="0.25">
      <c r="B75" s="38" t="str">
        <f t="shared" si="15"/>
        <v>16 cool</v>
      </c>
      <c r="C75" s="101">
        <f>C$22*MIN(K30,X30)+IF(X30-K30&gt;0,C$23*(X30-K30))+ROUND($C$25*365/12,2)+(Summary!N19/12)*2</f>
        <v>142.34737122359584</v>
      </c>
      <c r="D75" s="101">
        <f>C$22*MIN(L30,Y30)+IF(Y30-L30&gt;0,C$23*(Y30-L30))+ROUND($C$25*365/12,2)+(Summary!N19/12)*2</f>
        <v>173.2812333578164</v>
      </c>
      <c r="E75" s="101">
        <f>D$22*MIN(K30,X30)+IF(X30-K30&gt;0,D$23*(X30-K30))+ROUND($F$14*365/12,2)+(Summary!N19/12)*2</f>
        <v>142.230667064258</v>
      </c>
      <c r="F75" s="101">
        <f>D$22*MIN(L30,Y30)+IF(Y30-L30&gt;0,D$23*(Y30-L30))+ROUND($F$14*365/12,2)+(Summary!N19/12)*2</f>
        <v>173.13546167200937</v>
      </c>
      <c r="G75" s="101">
        <f>E$22*MIN(K30,X30)+IF(X30-K30&gt;0,E$23*(X30-K30))+ROUND($F$14*365/12,2)+(Summary!N19/12)*2</f>
        <v>138.05954914908335</v>
      </c>
      <c r="H75" s="101">
        <f>E$22*MIN(L30,Y30)+IF(Y30-L30&gt;0,E$23*(Y30-L30))+ROUND($F$14*365/12,2)+(Summary!N19/12)*2</f>
        <v>167.92544264916719</v>
      </c>
      <c r="I75" s="101">
        <f>F$22*MIN(K30,X30)+IF(X30-K30&gt;0,F$23*(X30-K30))+ROUND($F$14*365/12,2)+(Summary!N19/12)*2</f>
        <v>138.08751694631877</v>
      </c>
      <c r="J75" s="101">
        <f>F$22*MIN(L30,Y30)+IF(Y30-L30&gt;0,F$23*(Y30-L30))+ROUND($F$14*365/12,2)+(Summary!N19/12)*2</f>
        <v>167.96037639081314</v>
      </c>
      <c r="L75" s="38" t="s">
        <v>469</v>
      </c>
      <c r="M75" s="57">
        <f>C$22*MIN(I30,$L$64)+IF($L$64-I30&gt;0,C$23*($L$64-I30))+ROUND($C$25*365/12,2)+(Summary!$N$19/12)*2</f>
        <v>177.804109708</v>
      </c>
      <c r="N75" s="57">
        <f>C$22*MIN(J30,$L$64)+IF($L$64-J30&gt;0,C$23*($L$64-J30))+ROUND($C$25*365/12,2)+(Summary!$N$19/12)*2</f>
        <v>184.87557553600001</v>
      </c>
      <c r="O75" s="57">
        <f>D$22*MIN(I30,$L$64)+IF($L$64-I30&gt;0,D$23*($L$64-I30))+ROUND($F$14*365/12,2)+(Summary!$N$19/12)*2</f>
        <v>177.65435139900001</v>
      </c>
      <c r="P75" s="57">
        <f>D$22*MIN(J30,$L$64)+IF($L$64-J30&gt;0,D$23*($L$64-J30))+ROUND($F$14*365/12,2)+(Summary!$N$19/12)*2</f>
        <v>184.71952090800002</v>
      </c>
      <c r="Q75" s="57">
        <f>E$22*MIN(I30,$L$64)+IF($L$64-I30&gt;0,E$23*($L$64-I30))+ROUND($F$14*365/12,2)+(Summary!$N$19/12)*2</f>
        <v>172.29242457018842</v>
      </c>
      <c r="R75" s="57">
        <f>E$22*MIN(J30,$L$64)+IF($L$64-J30&gt;0,E$23*($L$64-J30))+ROUND($F$14*365/12,2)+(Summary!$N$19/12)*2</f>
        <v>179.1200900762685</v>
      </c>
      <c r="S75" s="57">
        <f>F$22*MIN(I30,$L$64)+IF($L$64-I30&gt;0,F$23*($L$64-I30))+ROUND($F$14*365/12,2)+(Summary!$N$19/12)*2</f>
        <v>172.32837687012074</v>
      </c>
      <c r="T75" s="57">
        <f>F$22*MIN(J30,$L$64)+IF($L$64-J30&gt;0,F$23*($L$64-J30))+ROUND($F$14*365/12,2)+(Summary!$N$19/12)*2</f>
        <v>179.15763486625536</v>
      </c>
      <c r="V75" s="38" t="s">
        <v>469</v>
      </c>
      <c r="W75" s="57">
        <f>C$28*MIN(I30,$L$64)+IF($L$64-I30&gt;0,C$29*($L$64-I30))+ROUND($C$31*365/12,2)+(Summary!N19/12)*2</f>
        <v>103.86679822199999</v>
      </c>
      <c r="X75" s="57">
        <f>C$28*MIN(J30,$L$64)+IF($L$64-J30&gt;0,C$29*($L$64-J30))+ROUND($C$31*365/12,2)+(Summary!N19/12)*2</f>
        <v>108.63940802399999</v>
      </c>
      <c r="Y75" s="57">
        <f>D$28*MIN(I30,$L$64)+IF($L$64-I30&gt;0,D$29*($L$64-I30))+ROUND($P$14*365/12,2)+(Summary!N19/12)*2</f>
        <v>103.73415471700001</v>
      </c>
      <c r="Z75" s="57">
        <f>D$28*MIN(J30,$L$64)+IF($L$64-J30&gt;0,D$29*($L$64-J30))+ROUND($P$14*365/12,2)+(Summary!N19/12)*2</f>
        <v>108.50326656399999</v>
      </c>
      <c r="AA75" s="57">
        <f>E$28*MIN(I30,$L$64)+IF($L$64-I30&gt;0,E$29*($L$64-I30))+ROUND($P$14*365/12,2)+(Summary!N19/12)*2</f>
        <v>100.24667264124173</v>
      </c>
      <c r="AB75" s="57">
        <f>E$28*MIN(J30,$L$64)+IF($L$64-J30&gt;0,E$29*($L$64-J30))+ROUND($P$14*365/12,2)+(Summary!N19/12)*2</f>
        <v>104.85546517069494</v>
      </c>
      <c r="AC75" s="57">
        <f>F$28*MIN(I30,$L$64)+IF($L$64-I30&gt;0,F$29*($L$64-I30))+ROUND($P$14*365/12,2)+(Summary!N19/12)*2</f>
        <v>100.27005658615543</v>
      </c>
      <c r="AD75" s="57">
        <f>F$28*MIN(J30,$L$64)+IF($L$64-J30&gt;0,F$29*($L$64-J30))+ROUND($P$14*365/12,2)+(Summary!N19/12)*2</f>
        <v>104.87992407399084</v>
      </c>
    </row>
    <row r="76" spans="2:30" x14ac:dyDescent="0.25">
      <c r="B76" s="38" t="str">
        <f t="shared" si="15"/>
        <v>ALL</v>
      </c>
      <c r="C76" s="193">
        <f>SUMPRODUCT(C67:C75,$AB$22:$AB$30)</f>
        <v>171.55600143116789</v>
      </c>
      <c r="D76" s="193">
        <f>SUMPRODUCT(D67:D75,$AB$22:$AB$30)</f>
        <v>135.59280845968587</v>
      </c>
      <c r="E76" s="193">
        <f t="shared" ref="E76:J76" si="16">SUMPRODUCT(E67:E75,$AB$22:$AB$30)</f>
        <v>171.41224329040512</v>
      </c>
      <c r="F76" s="193">
        <f t="shared" si="16"/>
        <v>135.48245133943021</v>
      </c>
      <c r="G76" s="193">
        <f>SUMPRODUCT(G67:G75,$AB$22:$AB$30)</f>
        <v>166.26015228514481</v>
      </c>
      <c r="H76" s="193">
        <f t="shared" si="16"/>
        <v>131.53818265203023</v>
      </c>
      <c r="I76" s="193">
        <f>SUMPRODUCT(I67:I75,$AB$22:$AB$30)</f>
        <v>166.29469761316093</v>
      </c>
      <c r="J76" s="193">
        <f t="shared" si="16"/>
        <v>131.56462940063204</v>
      </c>
      <c r="L76" s="38" t="s">
        <v>472</v>
      </c>
      <c r="M76" s="131">
        <f t="shared" ref="M76:S76" si="17">SUMPRODUCT(M67:M75,$T$22:$T$30)</f>
        <v>177.75431979449158</v>
      </c>
      <c r="N76" s="131">
        <f t="shared" si="17"/>
        <v>187.89212375692517</v>
      </c>
      <c r="O76" s="131">
        <f t="shared" si="17"/>
        <v>177.60460581762663</v>
      </c>
      <c r="P76" s="131">
        <f t="shared" si="17"/>
        <v>187.73338324309333</v>
      </c>
      <c r="Q76" s="131">
        <f t="shared" si="17"/>
        <v>172.24435124518325</v>
      </c>
      <c r="R76" s="131">
        <f t="shared" si="17"/>
        <v>182.03263787560689</v>
      </c>
      <c r="S76" s="131">
        <f t="shared" si="17"/>
        <v>172.28029233245556</v>
      </c>
      <c r="T76" s="418">
        <f>SUMPRODUCT(T67:T75,$T$22:$T$30)</f>
        <v>182.07086199052549</v>
      </c>
      <c r="V76" s="38" t="s">
        <v>472</v>
      </c>
      <c r="W76" s="131">
        <f>SUMPRODUCT(W67:W75,$U$22:$U$30)</f>
        <v>102.16999348133193</v>
      </c>
      <c r="X76" s="131">
        <f t="shared" ref="X76:AD76" si="18">SUMPRODUCT(X67:X75,$U$22:$U$30)</f>
        <v>110.18645608459808</v>
      </c>
      <c r="Y76" s="131">
        <f t="shared" si="18"/>
        <v>102.03859360337727</v>
      </c>
      <c r="Z76" s="131">
        <f t="shared" si="18"/>
        <v>110.04918075765246</v>
      </c>
      <c r="AA76" s="131">
        <f t="shared" si="18"/>
        <v>98.608109813529595</v>
      </c>
      <c r="AB76" s="131">
        <f t="shared" si="18"/>
        <v>106.34941163608619</v>
      </c>
      <c r="AC76" s="131">
        <f t="shared" si="18"/>
        <v>98.631111578764958</v>
      </c>
      <c r="AD76" s="131">
        <f t="shared" si="18"/>
        <v>106.37421898862674</v>
      </c>
    </row>
    <row r="77" spans="2:30" x14ac:dyDescent="0.25">
      <c r="B77" s="48"/>
      <c r="C77" s="101"/>
      <c r="D77" s="101"/>
      <c r="E77" s="190"/>
      <c r="F77" s="61"/>
      <c r="G77" s="62"/>
      <c r="H77" s="62"/>
      <c r="I77" s="62"/>
      <c r="J77" s="62"/>
    </row>
    <row r="78" spans="2:30" x14ac:dyDescent="0.25">
      <c r="B78" s="48"/>
      <c r="C78" s="101"/>
      <c r="D78" s="101"/>
      <c r="E78" s="190"/>
      <c r="F78" s="101"/>
      <c r="G78" s="62"/>
      <c r="H78" s="62"/>
      <c r="I78" s="62"/>
      <c r="J78" s="62"/>
    </row>
    <row r="79" spans="2:30" x14ac:dyDescent="0.25">
      <c r="B79" s="48"/>
      <c r="C79" s="516" t="s">
        <v>473</v>
      </c>
      <c r="D79" s="516"/>
      <c r="E79" s="516"/>
      <c r="F79" s="516"/>
      <c r="G79" s="516"/>
      <c r="H79" s="516"/>
      <c r="I79" s="516"/>
      <c r="J79" s="516"/>
    </row>
    <row r="80" spans="2:30" x14ac:dyDescent="0.25">
      <c r="B80" s="48"/>
      <c r="C80" s="517" t="str">
        <f t="shared" ref="C80:J81" si="19">C50</f>
        <v>Jan 2026</v>
      </c>
      <c r="D80" s="517"/>
      <c r="E80" s="518">
        <f t="shared" si="19"/>
        <v>46174</v>
      </c>
      <c r="F80" s="517"/>
      <c r="G80" s="517" t="str">
        <f t="shared" si="19"/>
        <v>Authorized</v>
      </c>
      <c r="H80" s="517"/>
      <c r="I80" s="518" t="str">
        <f t="shared" si="19"/>
        <v>w/Pending</v>
      </c>
      <c r="J80" s="517"/>
      <c r="P80" s="99"/>
      <c r="Q80" s="99"/>
      <c r="R80" s="99"/>
      <c r="S80" s="99"/>
    </row>
    <row r="81" spans="2:30" x14ac:dyDescent="0.25">
      <c r="B81" s="48"/>
      <c r="C81" s="101" t="str">
        <f t="shared" si="19"/>
        <v>Summer</v>
      </c>
      <c r="D81" s="101" t="str">
        <f t="shared" si="19"/>
        <v>Winter</v>
      </c>
      <c r="E81" s="101" t="str">
        <f t="shared" si="19"/>
        <v>Summer</v>
      </c>
      <c r="F81" s="101" t="str">
        <f t="shared" si="19"/>
        <v>Winter</v>
      </c>
      <c r="G81" s="101" t="str">
        <f t="shared" si="19"/>
        <v>Summer</v>
      </c>
      <c r="H81" s="101" t="str">
        <f t="shared" si="19"/>
        <v>Winter</v>
      </c>
      <c r="I81" s="101" t="str">
        <f t="shared" si="19"/>
        <v>Summer</v>
      </c>
      <c r="J81" s="101" t="str">
        <f t="shared" si="19"/>
        <v>Winter</v>
      </c>
      <c r="P81" s="99"/>
      <c r="Q81" s="99"/>
      <c r="R81" s="99"/>
      <c r="S81" s="99"/>
    </row>
    <row r="82" spans="2:30" x14ac:dyDescent="0.25">
      <c r="B82" s="38" t="str">
        <f t="shared" ref="B82:B91" si="20">B52</f>
        <v>5 warm</v>
      </c>
      <c r="C82" s="101">
        <f>C$28*MIN(K22,Z22)+IF(Z22-K22&gt;0,C$29*(Z22-K22))+ROUND($C$31*365/12,2)+(Summary!N19/12)*2</f>
        <v>69.953939085362222</v>
      </c>
      <c r="D82" s="101">
        <f>C$28*MIN(L22,AA22)+IF(AA22-L22&gt;0,C$29*(AA22-L22))+ROUND($C$31*365/12,2)+(Summary!N19/12)*2</f>
        <v>86.489862944318446</v>
      </c>
      <c r="E82" s="101">
        <f>D$28*MIN(K22,Z22)+IF(Z22-K22&gt;0,D$29*(Z22-K22))+ROUND($P$14*365/12,2)+(Summary!N19/12)*2</f>
        <v>69.854172585875645</v>
      </c>
      <c r="F82" s="101">
        <f>D$28*MIN(L22,AA22)+IF(AA22-L22&gt;0,D$29*(AA22-L22))+ROUND($P$14*365/12,2)+(Summary!N19/12)*2</f>
        <v>86.373600112171289</v>
      </c>
      <c r="G82" s="101">
        <f>E$28*MIN(K22,Z22)+IF(Z22-K22&gt;0,E$29*(Z22-K22))+ROUND($P$14*365/12,2)+(Summary!N19/12)*2</f>
        <v>67.505606054146043</v>
      </c>
      <c r="H82" s="101">
        <f>E$28*MIN(L22,AA22)+IF(AA22-L22&gt;0,E$29*(AA22-L22))+ROUND($P$14*365/12,2)+(Summary!N19/12)*2</f>
        <v>83.469713547646606</v>
      </c>
      <c r="I82" s="101">
        <f>F$28*MIN(K22,Z22)+IF(Z22-K22&gt;0,F$29*(Z22-K22))+ROUND($P$14*365/12,2)+(Summary!N19/12)*2</f>
        <v>67.521353447024666</v>
      </c>
      <c r="J82" s="101">
        <f>F$28*MIN(L22,AA22)+IF(AA22-L22&gt;0,F$29*(AA22-L22))+ROUND($P$14*365/12,2)+(Summary!N19/12)*2</f>
        <v>83.489184421470583</v>
      </c>
      <c r="P82" s="99"/>
      <c r="Q82" s="99"/>
      <c r="R82" s="99"/>
      <c r="S82" s="99"/>
    </row>
    <row r="83" spans="2:30" x14ac:dyDescent="0.25">
      <c r="B83" s="38" t="str">
        <f t="shared" si="20"/>
        <v>6 cool</v>
      </c>
      <c r="C83" s="101">
        <f>C$28*MIN(K23,Z23)+IF(Z23-K23&gt;0,C$29*(Z23-K23))+ROUND($C$31*365/12,2)+(Summary!N19/12)*2</f>
        <v>79.029953999794117</v>
      </c>
      <c r="D83" s="101">
        <f>C$28*MIN(L23,AA23)+IF(AA23-L23&gt;0,C$29*(AA23-L23))+ROUND($C$31*365/12,2)+(Summary!N19/12)*2</f>
        <v>74.054974548820155</v>
      </c>
      <c r="E83" s="101">
        <f>D$28*MIN(K23,Z23)+IF(Z23-K23&gt;0,D$29*(Z23-K23))+ROUND($P$14*365/12,2)+(Summary!N19/12)*2</f>
        <v>78.922877552090554</v>
      </c>
      <c r="F83" s="101">
        <f>D$28*MIN(L23,AA23)+IF(AA23-L23&gt;0,D$29*(AA23-L23))+ROUND($P$14*365/12,2)+(Summary!N19/12)*2</f>
        <v>73.951116832789822</v>
      </c>
      <c r="G83" s="101">
        <f>E$28*MIN(K23,Z23)+IF(Z23-K23&gt;0,E$29*(Z23-K23))+ROUND($P$14*365/12,2)+(Summary!N19/12)*2</f>
        <v>76.2694558108671</v>
      </c>
      <c r="H83" s="101">
        <f>E$28*MIN(L23,AA23)+IF(AA23-L23&gt;0,E$29*(AA23-L23))+ROUND($P$14*365/12,2)+(Summary!N19/12)*2</f>
        <v>71.464826689879715</v>
      </c>
      <c r="I83" s="101">
        <f>F$28*MIN(K23,Z23)+IF(Z23-K23&gt;0,F$29*(Z23-K23))+ROUND($P$14*365/12,2)+(Summary!N19/12)*2</f>
        <v>76.287247290932584</v>
      </c>
      <c r="J83" s="101">
        <f>F$28*MIN(L23,AA23)+IF(AA23-L23&gt;0,F$29*(AA23-L23))+ROUND($P$14*365/12,2)+(Summary!N19/12)*2</f>
        <v>71.481497534482884</v>
      </c>
      <c r="P83" s="99"/>
      <c r="Q83" s="99"/>
      <c r="R83" s="99"/>
      <c r="S83" s="99"/>
    </row>
    <row r="84" spans="2:30" x14ac:dyDescent="0.25">
      <c r="B84" s="38" t="str">
        <f t="shared" si="20"/>
        <v>8 cool</v>
      </c>
      <c r="C84" s="101">
        <f>C$28*MIN(K24,Z24)+IF(Z24-K24&gt;0,C$29*(Z24-K24))+ROUND($C$31*365/12,2)+(Summary!N19/12)*2</f>
        <v>88.015134634223344</v>
      </c>
      <c r="D84" s="101">
        <f>C$28*MIN(L24,AA24)+IF(AA24-L24&gt;0,C$29*(AA24-L24))+ROUND($C$31*365/12,2)+(Summary!N19/12)*2</f>
        <v>73.815533308226421</v>
      </c>
      <c r="E84" s="101">
        <f>D$28*MIN(K24,Z24)+IF(Z24-K24&gt;0,D$29*(Z24-K24))+ROUND($P$14*365/12,2)+(Summary!N19/12)*2</f>
        <v>87.899206580242875</v>
      </c>
      <c r="F84" s="101">
        <f>D$28*MIN(L24,AA24)+IF(AA24-L24&gt;0,D$29*(AA24-L24))+ROUND($P$14*365/12,2)+(Summary!N19/12)*2</f>
        <v>73.711914460153579</v>
      </c>
      <c r="G84" s="101">
        <f>E$28*MIN(K24,Z24)+IF(Z24-K24&gt;0,E$29*(Z24-K24))+ROUND($P$14*365/12,2)+(Summary!N19/12)*2</f>
        <v>84.944034955595285</v>
      </c>
      <c r="H84" s="101">
        <f>E$28*MIN(L24,AA24)+IF(AA24-L24&gt;0,E$29*(AA24-L24))+ROUND($P$14*365/12,2)+(Summary!N19/12)*2</f>
        <v>71.233665387020594</v>
      </c>
      <c r="I84" s="101">
        <f>F$28*MIN(K24,Z24)+IF(Z24-K24&gt;0,F$29*(Z24-K24))+ROUND($P$14*365/12,2)+(Summary!N19/12)*2</f>
        <v>84.963849701300106</v>
      </c>
      <c r="J84" s="101">
        <f>F$28*MIN(L24,AA24)+IF(AA24-L24&gt;0,F$29*(AA24-L24))+ROUND($P$14*365/12,2)+(Summary!N19/12)*2</f>
        <v>71.250282315380289</v>
      </c>
      <c r="P84" s="99"/>
      <c r="Q84" s="99"/>
      <c r="R84" s="99"/>
      <c r="S84" s="99"/>
    </row>
    <row r="85" spans="2:30" x14ac:dyDescent="0.25">
      <c r="B85" s="38" t="str">
        <f t="shared" si="20"/>
        <v>9 warm</v>
      </c>
      <c r="C85" s="101">
        <f>C$28*MIN(K25,Z25)+IF(Z25-K25&gt;0,C$29*(Z25-K25))+ROUND($C$31*365/12,2)+(Summary!N19/12)*2</f>
        <v>104.65887126928337</v>
      </c>
      <c r="D85" s="101">
        <f>C$28*MIN(L25,AA25)+IF(AA25-L25&gt;0,C$29*(AA25-L25))+ROUND($C$31*365/12,2)+(Summary!N19/12)*2</f>
        <v>74.469118104372967</v>
      </c>
      <c r="E85" s="101">
        <f>D$28*MIN(K25,Z25)+IF(Z25-K25&gt;0,D$29*(Z25-K25))+ROUND($P$14*365/12,2)+(Summary!N19/12)*2</f>
        <v>104.52639234458178</v>
      </c>
      <c r="F85" s="101">
        <f>D$28*MIN(L25,AA25)+IF(AA25-L25&gt;0,D$29*(AA25-L25))+ROUND($P$14*365/12,2)+(Summary!N19/12)*2</f>
        <v>74.364847236351849</v>
      </c>
      <c r="G85" s="101">
        <f>E$28*MIN(K25,Z25)+IF(Z25-K25&gt;0,E$29*(Z25-K25))+ROUND($P$14*365/12,2)+(Summary!N19/12)*2</f>
        <v>101.01227826691969</v>
      </c>
      <c r="H85" s="101">
        <f>E$28*MIN(L25,AA25)+IF(AA25-L25&gt;0,E$29*(AA25-L25))+ROUND($P$14*365/12,2)+(Summary!N19/12)*2</f>
        <v>71.864649058135527</v>
      </c>
      <c r="I85" s="101">
        <f>F$28*MIN(K25,Z25)+IF(Z25-K25&gt;0,F$29*(Z25-K25))+ROUND($P$14*365/12,2)+(Summary!N19/12)*2</f>
        <v>101.03584078228965</v>
      </c>
      <c r="J85" s="101">
        <f>F$28*MIN(L25,AA25)+IF(AA25-L25&gt;0,F$29*(AA25-L25))+ROUND($P$14*365/12,2)+(Summary!N19/12)*2</f>
        <v>71.881413157621267</v>
      </c>
      <c r="P85" s="99"/>
      <c r="Q85" s="99"/>
      <c r="R85" s="99"/>
      <c r="S85" s="99"/>
    </row>
    <row r="86" spans="2:30" x14ac:dyDescent="0.25">
      <c r="B86" s="38" t="str">
        <f t="shared" si="20"/>
        <v>10 hot (Sec 745)</v>
      </c>
      <c r="C86" s="101">
        <f>C$28*MIN(K26,Z26)+IF(Z26-K26&gt;0,C$29*(Z26-K26))+ROUND($C$31*365/12,2)+(Summary!N19/12)*2</f>
        <v>132.33241717304293</v>
      </c>
      <c r="D86" s="101">
        <f>C$28*MIN(L26,AA26)+IF(AA26-L26&gt;0,C$29*(AA26-L26))+ROUND($C$31*365/12,2)+(Summary!N19/12)*2</f>
        <v>83.247697451108394</v>
      </c>
      <c r="E86" s="101">
        <f>D$28*MIN(K26,Z26)+IF(Z26-K26&gt;0,D$29*(Z26-K26))+ROUND($P$14*365/12,2)+(Summary!N19/12)*2</f>
        <v>132.17279735175802</v>
      </c>
      <c r="F86" s="101">
        <f>D$28*MIN(L26,AA26)+IF(AA26-L26&gt;0,D$29*(AA26-L26))+ROUND($P$14*365/12,2)+(Summary!N19/12)*2</f>
        <v>83.134669021887433</v>
      </c>
      <c r="G86" s="101">
        <f>E$28*MIN(K26,Z26)+IF(Z26-K26&gt;0,E$29*(Z26-K26))+ROUND($P$14*365/12,2)+(Summary!N19/12)*2</f>
        <v>127.72931677451155</v>
      </c>
      <c r="H86" s="101">
        <f>E$28*MIN(L26,AA26)+IF(AA26-L26&gt;0,E$29*(AA26-L26))+ROUND($P$14*365/12,2)+(Summary!N19/12)*2</f>
        <v>80.33966294468074</v>
      </c>
      <c r="I86" s="101">
        <f>F$28*MIN(K26,Z26)+IF(Z26-K26&gt;0,F$29*(Z26-K26))+ROUND($P$14*365/12,2)+(Summary!N19/12)*2</f>
        <v>127.75911079288534</v>
      </c>
      <c r="J86" s="101">
        <f>F$28*MIN(L26,AA26)+IF(AA26-L26&gt;0,F$29*(AA26-L26))+ROUND($P$14*365/12,2)+(Summary!N19/12)*2</f>
        <v>80.358403763048571</v>
      </c>
      <c r="P86" s="99"/>
      <c r="Q86" s="99"/>
      <c r="R86" s="99"/>
      <c r="S86" s="99"/>
    </row>
    <row r="87" spans="2:30" x14ac:dyDescent="0.25">
      <c r="B87" s="38" t="str">
        <f t="shared" si="20"/>
        <v>13 hot</v>
      </c>
      <c r="C87" s="101">
        <f>C$28*MIN(K27,Z27)+IF(Z27-K27&gt;0,C$29*(Z27-K27))+ROUND($C$31*365/12,2)+(Summary!N19/12)*2</f>
        <v>190.33035722248653</v>
      </c>
      <c r="D87" s="101">
        <f>C$28*MIN(L27,AA27)+IF(AA27-L27&gt;0,C$29*(AA27-L27))+ROUND($C$31*365/12,2)+(Summary!N19/12)*2</f>
        <v>107.57193910585686</v>
      </c>
      <c r="E87" s="101">
        <f>D$28*MIN(K27,Z27)+IF(Z27-K27&gt;0,D$29*(Z27-K27))+ROUND($P$14*365/12,2)+(Summary!N19/12)*2</f>
        <v>190.11337456460186</v>
      </c>
      <c r="F87" s="101">
        <f>D$28*MIN(L27,AA27)+IF(AA27-L27&gt;0,D$29*(AA27-L27))+ROUND($P$14*365/12,2)+(Summary!N19/12)*2</f>
        <v>107.43464467338893</v>
      </c>
      <c r="G87" s="101">
        <f>E$28*MIN(K27,Z27)+IF(Z27-K27&gt;0,E$29*(Z27-K27))+ROUND($P$14*365/12,2)+(Summary!N19/12)*2</f>
        <v>183.72215317207673</v>
      </c>
      <c r="H87" s="101">
        <f>E$28*MIN(L27,AA27)+IF(AA27-L27&gt;0,E$29*(AA27-L27))+ROUND($P$14*365/12,2)+(Summary!N19/12)*2</f>
        <v>103.82276626484803</v>
      </c>
      <c r="I87" s="101">
        <f>F$28*MIN(K27,Z27)+IF(Z27-K27&gt;0,F$29*(Z27-K27))+ROUND($P$14*365/12,2)+(Summary!N19/12)*2</f>
        <v>183.76500700350226</v>
      </c>
      <c r="J87" s="101">
        <f>F$28*MIN(L27,AA27)+IF(AA27-L27&gt;0,F$29*(AA27-L27))+ROUND($P$14*365/12,2)+(Summary!N19/12)*2</f>
        <v>103.84698430064164</v>
      </c>
      <c r="P87" s="99"/>
      <c r="Q87" s="99"/>
      <c r="R87" s="99"/>
      <c r="S87" s="99"/>
    </row>
    <row r="88" spans="2:30" x14ac:dyDescent="0.25">
      <c r="B88" s="38" t="str">
        <f t="shared" si="20"/>
        <v>14 hot</v>
      </c>
      <c r="C88" s="101">
        <f>C$28*MIN(K28,Z28)+IF(Z28-K28&gt;0,C$29*(Z28-K28))+ROUND($C$31*365/12,2)+(Summary!N19/12)*2</f>
        <v>182.0499766537406</v>
      </c>
      <c r="D88" s="101">
        <f>C$28*MIN(L28,AA28)+IF(AA28-L28&gt;0,C$29*(AA28-L28))+ROUND($C$31*365/12,2)+(Summary!N19/12)*2</f>
        <v>123.29523536961517</v>
      </c>
      <c r="E88" s="101">
        <f>D$28*MIN(K28,Z28)+IF(Z28-K28&gt;0,D$29*(Z28-K28))+ROUND($P$14*365/12,2)+(Summary!N19/12)*2</f>
        <v>181.84303388986478</v>
      </c>
      <c r="F88" s="101">
        <f>D$28*MIN(L28,AA28)+IF(AA28-L28&gt;0,D$29*(AA28-L28))+ROUND($P$14*365/12,2)+(Summary!N19/12)*2</f>
        <v>123.14225528644516</v>
      </c>
      <c r="G88" s="101">
        <f>E$28*MIN(K28,Z28)+IF(Z28-K28&gt;0,E$29*(Z28-K28))+ROUND($P$14*365/12,2)+(Summary!N19/12)*2</f>
        <v>175.72982974989949</v>
      </c>
      <c r="H88" s="101">
        <f>E$28*MIN(L28,AA28)+IF(AA28-L28&gt;0,E$29*(AA28-L28))+ROUND($P$14*365/12,2)+(Summary!N19/12)*2</f>
        <v>119.00234702778445</v>
      </c>
      <c r="I88" s="101">
        <f>F$28*MIN(K28,Z28)+IF(Z28-K28&gt;0,F$29*(Z28-K28))+ROUND($P$14*365/12,2)+(Summary!N19/12)*2</f>
        <v>175.77081944554521</v>
      </c>
      <c r="J88" s="101">
        <f>F$28*MIN(L28,AA28)+IF(AA28-L28&gt;0,F$29*(AA28-L28))+ROUND($P$14*365/12,2)+(Summary!N19/12)*2</f>
        <v>119.03010556089382</v>
      </c>
      <c r="P88" s="99"/>
      <c r="Q88" s="99"/>
      <c r="R88" s="99"/>
      <c r="S88" s="99"/>
    </row>
    <row r="89" spans="2:30" x14ac:dyDescent="0.25">
      <c r="B89" s="38" t="str">
        <f t="shared" si="20"/>
        <v>15 hot</v>
      </c>
      <c r="C89" s="101">
        <f>C$28*MIN(K29,Z29)+IF(Z29-K29&gt;0,C$29*(Z29-K29))+ROUND($C$31*365/12,2)+(Summary!N19/12)*2</f>
        <v>220.53426031841158</v>
      </c>
      <c r="D89" s="101">
        <f>C$28*MIN(L29,AA29)+IF(AA29-L29&gt;0,C$29*(AA29-L29))+ROUND($C$31*365/12,2)+(Summary!N19/12)*2</f>
        <v>98.493635242768775</v>
      </c>
      <c r="E89" s="101">
        <f>D$28*MIN(K29,Z29)+IF(Z29-K29&gt;0,D$29*(Z29-K29))+ROUND($P$14*365/12,2)+(Summary!N19/12)*2</f>
        <v>220.28925773545808</v>
      </c>
      <c r="F89" s="101">
        <f>D$28*MIN(L29,AA29)+IF(AA29-L29&gt;0,D$29*(AA29-L29))+ROUND($P$14*365/12,2)+(Summary!N19/12)*2</f>
        <v>98.365397378400502</v>
      </c>
      <c r="G89" s="101">
        <f>E$28*MIN(K29,Z29)+IF(Z29-K29&gt;0,E$29*(Z29-K29))+ROUND($P$14*365/12,2)+(Summary!N19/12)*2</f>
        <v>212.88363845260744</v>
      </c>
      <c r="H89" s="101">
        <f>E$28*MIN(L29,AA29)+IF(AA29-L29&gt;0,E$29*(AA29-L29))+ROUND($P$14*365/12,2)+(Summary!N19/12)*2</f>
        <v>95.05839241037458</v>
      </c>
      <c r="I89" s="101">
        <f>F$28*MIN(K29,Z29)+IF(Z29-K29&gt;0,F$29*(Z29-K29))+ROUND($P$14*365/12,2)+(Summary!N19/12)*2</f>
        <v>212.9332939317182</v>
      </c>
      <c r="J89" s="101">
        <f>F$28*MIN(L29,AA29)+IF(AA29-L29&gt;0,F$29*(AA29-L29))+ROUND($P$14*365/12,2)+(Summary!N19/12)*2</f>
        <v>95.080566236740367</v>
      </c>
      <c r="P89" s="99"/>
      <c r="Q89" s="99"/>
      <c r="R89" s="99"/>
      <c r="S89" s="99"/>
    </row>
    <row r="90" spans="2:30" x14ac:dyDescent="0.25">
      <c r="B90" s="38" t="str">
        <f t="shared" si="20"/>
        <v>16 cool</v>
      </c>
      <c r="C90" s="101">
        <f>C$28*MIN(K30,Z30)+IF(Z30-K30&gt;0,C$29*(Z30-K30))+ROUND($C$31*365/12,2)+(Summary!N19/12)*2</f>
        <v>146.95656071448295</v>
      </c>
      <c r="D90" s="101">
        <f>C$28*MIN(L30,AA30)+IF(AA30-L30&gt;0,C$29*(AA30-L30))+ROUND($C$31*365/12,2)+(Summary!N19/12)*2</f>
        <v>109.94694048525133</v>
      </c>
      <c r="E90" s="101">
        <f>D$28*MIN(K30,Z30)+IF(Z30-K30&gt;0,D$29*(Z30-K30))+ROUND($P$14*365/12,2)+(Summary!N19/12)*2</f>
        <v>146.78431799409358</v>
      </c>
      <c r="F90" s="101">
        <f>D$28*MIN(L30,AA30)+IF(AA30-L30&gt;0,D$29*(AA30-L30))+ROUND($P$14*365/12,2)+(Summary!N19/12)*2</f>
        <v>109.80727673776006</v>
      </c>
      <c r="G90" s="101">
        <f>E$28*MIN(K30,Z30)+IF(Z30-K30&gt;0,E$29*(Z30-K30))+ROUND($P$14*365/12,2)+(Summary!N19/12)*2</f>
        <v>141.84965392338935</v>
      </c>
      <c r="H90" s="101">
        <f>E$28*MIN(L30,AA30)+IF(AA30-L30&gt;0,E$29*(AA30-L30))+ROUND($P$14*365/12,2)+(Summary!N19/12)*2</f>
        <v>106.11563950502868</v>
      </c>
      <c r="I90" s="101">
        <f>F$28*MIN(K30,Z30)+IF(Z30-K30&gt;0,F$29*(Z30-K30))+ROUND($P$14*365/12,2)+(Summary!N19/12)*2</f>
        <v>141.88274138026807</v>
      </c>
      <c r="J90" s="101">
        <f>F$28*MIN(L30,AA30)+IF(AA30-L30&gt;0,F$29*(AA30-L30))+ROUND($P$14*365/12,2)+(Summary!N19/12)*2</f>
        <v>106.14039233237411</v>
      </c>
      <c r="P90" s="99"/>
      <c r="Q90" s="99"/>
      <c r="R90" s="99"/>
      <c r="S90" s="99"/>
    </row>
    <row r="91" spans="2:30" x14ac:dyDescent="0.25">
      <c r="B91" s="38" t="str">
        <f t="shared" si="20"/>
        <v>ALL</v>
      </c>
      <c r="C91" s="193">
        <f>SUMPRODUCT(C82:C90,$AC$22:$AC$30)</f>
        <v>126.39912970895288</v>
      </c>
      <c r="D91" s="193">
        <f t="shared" ref="D91:I91" si="21">SUMPRODUCT(D82:D90,$AC$22:$AC$30)</f>
        <v>85.521069584549281</v>
      </c>
      <c r="E91" s="193">
        <f t="shared" si="21"/>
        <v>126.24559188163431</v>
      </c>
      <c r="F91" s="193">
        <f t="shared" si="21"/>
        <v>85.40577322622471</v>
      </c>
      <c r="G91" s="193">
        <f t="shared" si="21"/>
        <v>122.00136130447487</v>
      </c>
      <c r="H91" s="193">
        <f t="shared" si="21"/>
        <v>82.534421303544505</v>
      </c>
      <c r="I91" s="193">
        <f t="shared" si="21"/>
        <v>122.02981933002496</v>
      </c>
      <c r="J91" s="193">
        <f>SUMPRODUCT(J82:J90,$AC$22:$AC$30)</f>
        <v>82.553674029072326</v>
      </c>
      <c r="P91" s="99"/>
      <c r="Q91" s="99"/>
      <c r="R91" s="99"/>
      <c r="S91" s="99"/>
    </row>
    <row r="92" spans="2:30" x14ac:dyDescent="0.25">
      <c r="B92" s="48"/>
      <c r="P92" s="99"/>
      <c r="Q92" s="99"/>
      <c r="R92" s="99"/>
      <c r="S92" s="99"/>
    </row>
    <row r="93" spans="2:30" x14ac:dyDescent="0.25">
      <c r="B93" s="48"/>
      <c r="P93" s="99"/>
      <c r="Q93" s="99"/>
      <c r="R93" s="99"/>
      <c r="S93" s="99"/>
    </row>
    <row r="94" spans="2:30" x14ac:dyDescent="0.25">
      <c r="B94" s="48"/>
    </row>
    <row r="95" spans="2:30" x14ac:dyDescent="0.25">
      <c r="B95" s="366"/>
      <c r="C95" s="367"/>
      <c r="D95" s="368"/>
      <c r="E95" s="368"/>
      <c r="F95" s="369">
        <v>2026</v>
      </c>
      <c r="G95" s="369">
        <f>F95+1</f>
        <v>2027</v>
      </c>
      <c r="H95" s="369">
        <f t="shared" ref="H95:I95" si="22">G95+1</f>
        <v>2028</v>
      </c>
      <c r="I95" s="369">
        <f t="shared" si="22"/>
        <v>2029</v>
      </c>
      <c r="J95" s="416"/>
      <c r="K95" s="99"/>
      <c r="L95" s="99"/>
      <c r="M95" s="369">
        <f>F95</f>
        <v>2026</v>
      </c>
      <c r="N95" s="369">
        <f t="shared" ref="N95:P95" si="23">G95</f>
        <v>2027</v>
      </c>
      <c r="O95" s="369">
        <f t="shared" si="23"/>
        <v>2028</v>
      </c>
      <c r="P95" s="369">
        <f t="shared" si="23"/>
        <v>2029</v>
      </c>
      <c r="Q95" s="416"/>
      <c r="R95" s="99"/>
    </row>
    <row r="96" spans="2:30" ht="15" customHeight="1" x14ac:dyDescent="0.25">
      <c r="B96" s="370"/>
      <c r="C96" s="371"/>
      <c r="D96" s="371"/>
      <c r="E96" s="371"/>
      <c r="F96" s="372" t="s">
        <v>16</v>
      </c>
      <c r="G96" s="372" t="s">
        <v>16</v>
      </c>
      <c r="H96" s="372" t="s">
        <v>16</v>
      </c>
      <c r="I96" s="372" t="s">
        <v>16</v>
      </c>
      <c r="J96" s="127"/>
      <c r="K96" s="99"/>
      <c r="L96" s="99"/>
      <c r="M96" s="372" t="s">
        <v>24</v>
      </c>
      <c r="N96" s="372" t="s">
        <v>24</v>
      </c>
      <c r="O96" s="372" t="s">
        <v>24</v>
      </c>
      <c r="P96" s="372" t="s">
        <v>24</v>
      </c>
      <c r="Q96" s="127"/>
      <c r="R96" s="99"/>
      <c r="U96" s="182"/>
      <c r="AC96" s="182"/>
      <c r="AD96" s="182"/>
    </row>
    <row r="97" spans="1:31" ht="15" customHeight="1" x14ac:dyDescent="0.25">
      <c r="A97" s="38">
        <v>3</v>
      </c>
      <c r="B97" s="135"/>
      <c r="D97" s="22" t="s">
        <v>438</v>
      </c>
      <c r="E97" s="365"/>
      <c r="F97" s="386">
        <v>3341.0920855294025</v>
      </c>
      <c r="G97" s="386">
        <v>3347.1656665988157</v>
      </c>
      <c r="H97" s="381">
        <f>H$107*(G97/SUM(G$97:G$102))</f>
        <v>3576.6832648829245</v>
      </c>
      <c r="I97" s="381">
        <f>I$107*(H97/SUM(H$97:H$102))</f>
        <v>3576.683264882924</v>
      </c>
      <c r="J97" s="381"/>
      <c r="K97" s="102"/>
      <c r="M97" s="386">
        <v>1853.4857067220289</v>
      </c>
      <c r="N97" s="386">
        <v>1869.410808178985</v>
      </c>
      <c r="O97" s="381">
        <f>O$107*(N97/SUM(N$97:N$102))</f>
        <v>1997.5976748110097</v>
      </c>
      <c r="P97" s="381">
        <f>P$107*(O97/SUM(O$97:O$102))</f>
        <v>1997.5976748110102</v>
      </c>
      <c r="Q97" s="381"/>
      <c r="R97" s="102"/>
      <c r="AC97" s="156"/>
      <c r="AD97" s="156"/>
    </row>
    <row r="98" spans="1:31" ht="15.75" x14ac:dyDescent="0.25">
      <c r="A98" s="38">
        <f>A97+1</f>
        <v>4</v>
      </c>
      <c r="B98" s="50"/>
      <c r="D98" s="25" t="s">
        <v>440</v>
      </c>
      <c r="E98" s="25"/>
      <c r="F98" s="386">
        <v>4595.0463263387064</v>
      </c>
      <c r="G98" s="386">
        <v>4616.2239619309021</v>
      </c>
      <c r="H98" s="381">
        <f t="shared" ref="H98:I98" si="24">H$107*(G98/SUM(G$97:G$102))</f>
        <v>4932.7618158700343</v>
      </c>
      <c r="I98" s="381">
        <f t="shared" si="24"/>
        <v>4932.7618158700343</v>
      </c>
      <c r="J98" s="381"/>
      <c r="K98" s="102"/>
      <c r="M98" s="386">
        <v>2569.0964948794699</v>
      </c>
      <c r="N98" s="386">
        <v>2591.1701057982305</v>
      </c>
      <c r="O98" s="381">
        <f t="shared" ref="O98:P98" si="25">O$107*(N98/SUM(N$97:N$102))</f>
        <v>2768.8485354508343</v>
      </c>
      <c r="P98" s="381">
        <f t="shared" si="25"/>
        <v>2768.8485354508352</v>
      </c>
      <c r="Q98" s="381"/>
      <c r="R98" s="102"/>
      <c r="AC98" s="156"/>
      <c r="AD98" s="156"/>
    </row>
    <row r="99" spans="1:31" s="59" customFormat="1" ht="15.75" x14ac:dyDescent="0.25">
      <c r="A99" s="38">
        <f t="shared" ref="A99:A105" si="26">A98+1</f>
        <v>5</v>
      </c>
      <c r="B99" s="60"/>
      <c r="D99" s="22" t="s">
        <v>442</v>
      </c>
      <c r="E99" s="22"/>
      <c r="F99" s="386">
        <v>2086.626225812819</v>
      </c>
      <c r="G99" s="386">
        <v>2090.4193848217938</v>
      </c>
      <c r="H99" s="381">
        <f t="shared" ref="H99:I99" si="27">H$107*(G99/SUM(G$97:G$102))</f>
        <v>2233.7609712268586</v>
      </c>
      <c r="I99" s="381">
        <f t="shared" si="27"/>
        <v>2233.7609712268586</v>
      </c>
      <c r="J99" s="381"/>
      <c r="K99" s="102"/>
      <c r="L99" s="38"/>
      <c r="M99" s="386">
        <v>788.54881992569801</v>
      </c>
      <c r="N99" s="386">
        <v>795.32401107798819</v>
      </c>
      <c r="O99" s="381">
        <f t="shared" ref="O99:P99" si="28">O$107*(N99/SUM(N$97:N$102))</f>
        <v>849.85996031464185</v>
      </c>
      <c r="P99" s="381">
        <f t="shared" si="28"/>
        <v>849.85996031464208</v>
      </c>
      <c r="Q99" s="381"/>
      <c r="R99" s="102"/>
      <c r="W99" s="38"/>
      <c r="X99" s="38"/>
      <c r="Y99" s="38"/>
      <c r="Z99" s="38"/>
      <c r="AA99" s="38"/>
      <c r="AB99" s="38"/>
      <c r="AC99" s="156"/>
      <c r="AD99" s="156"/>
    </row>
    <row r="100" spans="1:31" ht="15.75" x14ac:dyDescent="0.25">
      <c r="A100" s="38">
        <f t="shared" si="26"/>
        <v>6</v>
      </c>
      <c r="B100" s="48"/>
      <c r="D100" s="25" t="s">
        <v>440</v>
      </c>
      <c r="E100" s="25"/>
      <c r="F100" s="386">
        <v>2800.7453230856049</v>
      </c>
      <c r="G100" s="386">
        <v>2814.3729169112789</v>
      </c>
      <c r="H100" s="381">
        <f t="shared" ref="H100:I100" si="29">H$107*(G100/SUM(G$97:G$102))</f>
        <v>3007.3565265996785</v>
      </c>
      <c r="I100" s="381">
        <f t="shared" si="29"/>
        <v>3007.3565265996785</v>
      </c>
      <c r="J100" s="381"/>
      <c r="K100" s="102"/>
      <c r="M100" s="386">
        <v>1049.208786315409</v>
      </c>
      <c r="N100" s="386">
        <v>1058.2235611858086</v>
      </c>
      <c r="O100" s="381">
        <f t="shared" ref="O100:P100" si="30">O$107*(N100/SUM(N$97:N$102))</f>
        <v>1130.7867248901684</v>
      </c>
      <c r="P100" s="381">
        <f t="shared" si="30"/>
        <v>1130.7867248901687</v>
      </c>
      <c r="Q100" s="381"/>
      <c r="R100" s="102"/>
      <c r="AC100" s="156"/>
      <c r="AD100" s="156"/>
    </row>
    <row r="101" spans="1:31" ht="15.75" x14ac:dyDescent="0.25">
      <c r="A101" s="38">
        <f t="shared" si="26"/>
        <v>7</v>
      </c>
      <c r="B101" s="48"/>
      <c r="D101" s="22" t="s">
        <v>444</v>
      </c>
      <c r="E101" s="22"/>
      <c r="F101" s="386">
        <v>165.84792431046702</v>
      </c>
      <c r="G101" s="386">
        <v>166.14940980913269</v>
      </c>
      <c r="H101" s="381">
        <f t="shared" ref="H101:I101" si="31">H$107*(G101/SUM(G$97:G$102))</f>
        <v>177.54239638169869</v>
      </c>
      <c r="I101" s="381">
        <f t="shared" si="31"/>
        <v>177.54239638169869</v>
      </c>
      <c r="J101" s="381"/>
      <c r="K101" s="102"/>
      <c r="M101" s="386">
        <v>9.0433785959966126</v>
      </c>
      <c r="N101" s="386">
        <v>9.1210790719876638</v>
      </c>
      <c r="O101" s="381">
        <f t="shared" ref="O101:P101" si="32">O$107*(N101/SUM(N$97:N$102))</f>
        <v>9.7465181362241484</v>
      </c>
      <c r="P101" s="381">
        <f t="shared" si="32"/>
        <v>9.7465181362241502</v>
      </c>
      <c r="Q101" s="381"/>
      <c r="R101" s="102"/>
      <c r="AC101" s="156"/>
      <c r="AD101" s="156"/>
    </row>
    <row r="102" spans="1:31" ht="15.75" x14ac:dyDescent="0.25">
      <c r="A102" s="38">
        <f t="shared" si="26"/>
        <v>8</v>
      </c>
      <c r="B102" s="48"/>
      <c r="D102" s="25" t="s">
        <v>440</v>
      </c>
      <c r="E102" s="25"/>
      <c r="F102" s="386">
        <v>281.02608811359454</v>
      </c>
      <c r="G102" s="386">
        <v>282.45701332451608</v>
      </c>
      <c r="H102" s="381">
        <f t="shared" ref="H102:I102" si="33">H$107*(G102/SUM(G$97:G$102))</f>
        <v>301.8252973517063</v>
      </c>
      <c r="I102" s="381">
        <f t="shared" si="33"/>
        <v>301.8252973517063</v>
      </c>
      <c r="J102" s="381"/>
      <c r="K102" s="102"/>
      <c r="M102" s="386">
        <v>20.132350388633686</v>
      </c>
      <c r="N102" s="386">
        <v>20.305327024678537</v>
      </c>
      <c r="O102" s="381">
        <f t="shared" ref="O102:P102" si="34">O$107*(N102/SUM(N$97:N$102))</f>
        <v>21.697678152554811</v>
      </c>
      <c r="P102" s="381">
        <f t="shared" si="34"/>
        <v>21.697678152554818</v>
      </c>
      <c r="Q102" s="381"/>
      <c r="R102" s="102"/>
      <c r="AC102" s="156"/>
      <c r="AD102" s="156"/>
    </row>
    <row r="103" spans="1:31" x14ac:dyDescent="0.25">
      <c r="A103" s="38">
        <f t="shared" si="26"/>
        <v>9</v>
      </c>
      <c r="B103" s="48"/>
      <c r="D103" s="25"/>
      <c r="E103" s="25"/>
      <c r="F103" s="25"/>
      <c r="G103" s="25"/>
      <c r="H103" s="25"/>
      <c r="I103" s="25"/>
      <c r="J103" s="25"/>
      <c r="K103" s="384"/>
      <c r="M103" s="25"/>
      <c r="N103" s="25"/>
      <c r="O103" s="25"/>
      <c r="P103" s="25"/>
      <c r="Q103" s="25"/>
      <c r="R103" s="46"/>
      <c r="AA103" s="156"/>
      <c r="AB103" s="156"/>
      <c r="AC103" s="156"/>
      <c r="AD103" s="156"/>
    </row>
    <row r="104" spans="1:31" ht="15.75" x14ac:dyDescent="0.25">
      <c r="A104" s="38">
        <f t="shared" si="26"/>
        <v>10</v>
      </c>
      <c r="B104" s="48"/>
      <c r="D104" s="25" t="s">
        <v>445</v>
      </c>
      <c r="E104" s="25"/>
      <c r="F104" s="420">
        <v>19072895.180499904</v>
      </c>
      <c r="G104" s="420">
        <v>19086288.38799509</v>
      </c>
      <c r="H104" s="381">
        <f t="shared" ref="H104" si="35">$F107/SUM($F$107:$F$108)*H$108</f>
        <v>19099691.000355415</v>
      </c>
      <c r="I104" s="381">
        <f t="shared" ref="I104:I105" si="36">$F107/SUM($F$107:$F$108)*I$108</f>
        <v>19113103.024185088</v>
      </c>
      <c r="J104" s="381"/>
      <c r="K104" s="385"/>
      <c r="M104" s="420">
        <v>6438624.7574765813</v>
      </c>
      <c r="N104" s="420">
        <v>6478390.8985707965</v>
      </c>
      <c r="O104" s="381">
        <f>$M107*O$108</f>
        <v>6518402.6427304316</v>
      </c>
      <c r="P104" s="381">
        <f t="shared" ref="O104:P105" si="37">$M107*P$108</f>
        <v>6558661.5068455869</v>
      </c>
      <c r="Q104" s="381"/>
      <c r="R104" s="139"/>
      <c r="AA104" s="156"/>
      <c r="AB104" s="156"/>
      <c r="AC104" s="156"/>
      <c r="AD104" s="156"/>
    </row>
    <row r="105" spans="1:31" ht="15.75" x14ac:dyDescent="0.25">
      <c r="A105" s="38">
        <f t="shared" si="26"/>
        <v>11</v>
      </c>
      <c r="B105" s="48"/>
      <c r="D105" s="27" t="s">
        <v>446</v>
      </c>
      <c r="E105" s="27"/>
      <c r="F105" s="420">
        <v>8676304.2195000928</v>
      </c>
      <c r="G105" s="420">
        <v>8682396.8206287324</v>
      </c>
      <c r="H105" s="381">
        <f t="shared" ref="H105" si="38">$F108/SUM($F$107:$F$108)*H$108</f>
        <v>8688493.7000523191</v>
      </c>
      <c r="I105" s="381">
        <f t="shared" si="36"/>
        <v>8694594.8607751224</v>
      </c>
      <c r="J105" s="381"/>
      <c r="K105" s="139"/>
      <c r="M105" s="420">
        <v>5406026.8425234184</v>
      </c>
      <c r="N105" s="420">
        <v>5439415.4673115406</v>
      </c>
      <c r="O105" s="381">
        <f t="shared" si="37"/>
        <v>5473010.3064411227</v>
      </c>
      <c r="P105" s="381">
        <f t="shared" si="37"/>
        <v>5506812.6335301967</v>
      </c>
      <c r="Q105" s="381"/>
      <c r="R105" s="139"/>
      <c r="AA105" s="156"/>
      <c r="AB105" s="156"/>
      <c r="AC105" s="156"/>
      <c r="AD105" s="156"/>
    </row>
    <row r="106" spans="1:31" x14ac:dyDescent="0.25">
      <c r="B106" s="48"/>
      <c r="C106" s="57"/>
      <c r="D106" s="57"/>
      <c r="E106" s="57"/>
      <c r="F106" s="57"/>
      <c r="G106" s="62"/>
      <c r="H106" s="62"/>
      <c r="M106" s="57"/>
      <c r="N106" s="62"/>
      <c r="O106" s="62"/>
      <c r="R106" s="156"/>
      <c r="T106" s="156"/>
      <c r="U106" s="156"/>
      <c r="AB106" s="156"/>
      <c r="AC106" s="156"/>
      <c r="AD106" s="156"/>
      <c r="AE106" s="156"/>
    </row>
    <row r="107" spans="1:31" ht="15.75" x14ac:dyDescent="0.25">
      <c r="B107" s="48"/>
      <c r="C107" s="57"/>
      <c r="D107" s="22"/>
      <c r="E107" s="25"/>
      <c r="F107" s="407">
        <f>1-F108</f>
        <v>0.687331367855604</v>
      </c>
      <c r="G107" s="381">
        <f>SUM(G97:G102)</f>
        <v>13316.78835339644</v>
      </c>
      <c r="H107" s="381">
        <f>G107/'SAR and RAR'!$K$59*'SAR and RAR'!$K$60</f>
        <v>14229.9302723129</v>
      </c>
      <c r="I107" s="381">
        <f>H107/'SAR and RAR'!$K$60*'SAR and RAR'!$K$61</f>
        <v>14229.930272312902</v>
      </c>
      <c r="J107" s="381"/>
      <c r="K107" s="271"/>
      <c r="M107" s="398">
        <f>1-M108</f>
        <v>0.54358920590594506</v>
      </c>
      <c r="N107" s="381">
        <f>SUM(N97:N102)</f>
        <v>6343.5548923376782</v>
      </c>
      <c r="O107" s="381">
        <f>N107/'SAR and RAR'!$K$59*'SAR and RAR'!$K$60</f>
        <v>6778.5370917554328</v>
      </c>
      <c r="P107" s="381">
        <f>O107/'SAR and RAR'!$K$60*'SAR and RAR'!$K$61</f>
        <v>6778.5370917554346</v>
      </c>
      <c r="Q107" s="381"/>
      <c r="R107" s="271"/>
      <c r="T107" s="70"/>
    </row>
    <row r="108" spans="1:31" ht="15.75" x14ac:dyDescent="0.25">
      <c r="B108" s="48"/>
      <c r="C108" s="57"/>
      <c r="D108" s="25"/>
      <c r="E108" s="25" t="s">
        <v>474</v>
      </c>
      <c r="F108" s="419">
        <v>0.312668632144396</v>
      </c>
      <c r="G108" s="381">
        <f>SUM(G104:G105)</f>
        <v>27768685.208623823</v>
      </c>
      <c r="H108" s="381">
        <f>(SUM(G104:G105)/SUM(F104:F105))*SUM(G104:G105)</f>
        <v>27788184.700407736</v>
      </c>
      <c r="I108" s="381">
        <f>(SUM(H104:H105)/SUM(G104:G105))*SUM(H104:H105)</f>
        <v>27807697.884960208</v>
      </c>
      <c r="J108" s="381"/>
      <c r="M108" s="421">
        <v>0.45641079409405494</v>
      </c>
      <c r="N108" s="381">
        <f>SUM(N104:N105)</f>
        <v>11917806.365882337</v>
      </c>
      <c r="O108" s="381">
        <f>(SUM(N104:N105)/SUM(M104:M105))*SUM(N104:N105)</f>
        <v>11991412.949171554</v>
      </c>
      <c r="P108" s="381">
        <f>(SUM(O104:O105)/SUM(N104:N105))*SUM(O104:O105)</f>
        <v>12065474.140375784</v>
      </c>
      <c r="Q108" s="381"/>
      <c r="R108" s="70"/>
      <c r="T108" s="70"/>
      <c r="U108" s="182"/>
      <c r="AB108" s="182"/>
      <c r="AC108" s="182"/>
      <c r="AD108" s="182"/>
      <c r="AE108" s="182"/>
    </row>
    <row r="109" spans="1:31" ht="15.75" x14ac:dyDescent="0.25">
      <c r="B109" s="48"/>
      <c r="C109" s="57"/>
      <c r="D109" s="22"/>
      <c r="E109" s="70"/>
      <c r="F109" s="70"/>
      <c r="G109" s="70"/>
      <c r="H109" s="70"/>
      <c r="I109" s="70"/>
      <c r="J109" s="70"/>
      <c r="K109" s="70"/>
      <c r="L109" s="70"/>
      <c r="M109" s="70"/>
      <c r="N109" s="70"/>
      <c r="O109" s="70"/>
      <c r="P109" s="70"/>
      <c r="Q109" s="70"/>
      <c r="R109" s="70"/>
      <c r="S109" s="70"/>
      <c r="T109" s="156"/>
      <c r="AA109" s="156"/>
      <c r="AB109" s="156"/>
      <c r="AC109" s="156"/>
      <c r="AD109" s="156"/>
    </row>
    <row r="110" spans="1:31" ht="15.75" x14ac:dyDescent="0.25">
      <c r="B110" s="48"/>
      <c r="C110" s="57"/>
      <c r="D110" s="25"/>
      <c r="E110" s="70"/>
      <c r="F110" s="380"/>
      <c r="G110" s="380"/>
      <c r="H110" s="397"/>
      <c r="I110" s="380"/>
      <c r="J110" s="380"/>
      <c r="K110" s="70"/>
      <c r="L110" s="70"/>
      <c r="M110" s="70"/>
      <c r="N110" s="380"/>
      <c r="O110" s="396"/>
      <c r="P110" s="396"/>
      <c r="Q110" s="380"/>
      <c r="R110" s="70"/>
      <c r="S110" s="70"/>
      <c r="T110" s="156"/>
      <c r="AA110" s="156"/>
      <c r="AB110" s="156"/>
      <c r="AC110" s="156"/>
      <c r="AD110" s="156"/>
    </row>
    <row r="111" spans="1:31" ht="15.75" x14ac:dyDescent="0.25">
      <c r="B111" s="48"/>
      <c r="C111" s="57"/>
      <c r="D111" s="22"/>
      <c r="E111" s="70"/>
      <c r="F111" s="380"/>
      <c r="G111" s="380"/>
      <c r="H111" s="380"/>
      <c r="I111" s="380"/>
      <c r="J111" s="380"/>
      <c r="K111" s="70"/>
      <c r="L111" s="70"/>
      <c r="M111" s="70"/>
      <c r="N111" s="380"/>
      <c r="O111" s="380"/>
      <c r="P111" s="380"/>
      <c r="Q111" s="380"/>
      <c r="R111" s="70"/>
      <c r="S111" s="70"/>
      <c r="T111" s="156"/>
      <c r="AA111" s="156"/>
      <c r="AB111" s="156"/>
      <c r="AC111" s="156"/>
      <c r="AD111" s="156"/>
    </row>
    <row r="112" spans="1:31" ht="15.75" x14ac:dyDescent="0.25">
      <c r="B112" s="48"/>
      <c r="C112" s="57"/>
      <c r="D112" s="25"/>
      <c r="E112" s="70"/>
      <c r="F112" s="380"/>
      <c r="G112" s="380"/>
      <c r="H112" s="380"/>
      <c r="I112" s="380"/>
      <c r="J112" s="380"/>
      <c r="K112" s="70"/>
      <c r="L112" s="70"/>
      <c r="M112" s="70"/>
      <c r="N112" s="380"/>
      <c r="O112" s="380"/>
      <c r="P112" s="380"/>
      <c r="Q112" s="380"/>
      <c r="R112" s="70"/>
      <c r="S112" s="70"/>
      <c r="T112" s="156"/>
      <c r="AA112" s="156"/>
      <c r="AB112" s="156"/>
      <c r="AC112" s="156"/>
      <c r="AD112" s="156"/>
    </row>
    <row r="113" spans="2:30" ht="15.75" x14ac:dyDescent="0.25">
      <c r="B113" s="48"/>
      <c r="C113" s="57"/>
      <c r="D113" s="25"/>
      <c r="E113" s="70"/>
      <c r="F113" s="380"/>
      <c r="G113" s="380"/>
      <c r="H113" s="380"/>
      <c r="I113" s="380"/>
      <c r="J113" s="380"/>
      <c r="K113" s="70"/>
      <c r="L113" s="70"/>
      <c r="M113" s="70"/>
      <c r="N113" s="380"/>
      <c r="O113" s="380"/>
      <c r="P113" s="380"/>
      <c r="Q113" s="380"/>
      <c r="R113" s="70"/>
      <c r="S113" s="70"/>
      <c r="T113" s="156"/>
      <c r="AA113" s="156"/>
      <c r="AB113" s="156"/>
      <c r="AC113" s="156"/>
      <c r="AD113" s="156"/>
    </row>
    <row r="114" spans="2:30" ht="15.75" x14ac:dyDescent="0.25">
      <c r="B114" s="48"/>
      <c r="C114" s="57"/>
      <c r="D114" s="25"/>
      <c r="E114" s="70"/>
      <c r="F114" s="380"/>
      <c r="G114" s="380"/>
      <c r="H114" s="380"/>
      <c r="I114" s="380"/>
      <c r="J114" s="380"/>
      <c r="K114" s="70"/>
      <c r="L114" s="70"/>
      <c r="M114" s="70"/>
      <c r="N114" s="380"/>
      <c r="O114" s="380"/>
      <c r="P114" s="380"/>
      <c r="Q114" s="380"/>
      <c r="R114" s="70"/>
      <c r="S114" s="70"/>
      <c r="T114" s="156"/>
      <c r="AA114" s="156"/>
      <c r="AB114" s="156"/>
      <c r="AC114" s="156"/>
      <c r="AD114" s="156"/>
    </row>
    <row r="115" spans="2:30" ht="15.75" x14ac:dyDescent="0.25">
      <c r="D115" s="27"/>
      <c r="E115" s="70"/>
      <c r="F115" s="380"/>
      <c r="G115" s="380"/>
      <c r="H115" s="380"/>
      <c r="I115" s="380"/>
      <c r="J115" s="380"/>
      <c r="K115" s="70"/>
      <c r="L115" s="70"/>
      <c r="M115" s="70"/>
      <c r="N115" s="380"/>
      <c r="O115" s="380"/>
      <c r="P115" s="380"/>
      <c r="Q115" s="380"/>
      <c r="R115" s="70"/>
      <c r="S115" s="70"/>
      <c r="T115" s="156"/>
      <c r="AA115" s="156"/>
      <c r="AB115" s="156"/>
      <c r="AC115" s="156"/>
      <c r="AD115" s="156"/>
    </row>
    <row r="116" spans="2:30" ht="15.75" x14ac:dyDescent="0.25">
      <c r="G116" s="380"/>
      <c r="H116" s="380"/>
      <c r="I116" s="380"/>
      <c r="J116" s="380"/>
      <c r="Q116" s="156"/>
      <c r="R116" s="156"/>
      <c r="S116" s="156"/>
      <c r="T116" s="156"/>
      <c r="AA116" s="156"/>
      <c r="AB116" s="156"/>
      <c r="AC116" s="156"/>
      <c r="AD116" s="156"/>
    </row>
    <row r="117" spans="2:30" ht="15.75" x14ac:dyDescent="0.25">
      <c r="G117" s="380"/>
      <c r="H117" s="380"/>
      <c r="I117" s="380"/>
      <c r="J117" s="380"/>
      <c r="Q117" s="156"/>
      <c r="R117" s="156"/>
      <c r="S117" s="156"/>
      <c r="T117" s="156"/>
      <c r="AA117" s="156"/>
      <c r="AB117" s="156"/>
      <c r="AC117" s="156"/>
      <c r="AD117" s="156"/>
    </row>
    <row r="118" spans="2:30" ht="15.75" x14ac:dyDescent="0.25">
      <c r="G118" s="380"/>
      <c r="H118" s="380"/>
      <c r="I118" s="380"/>
      <c r="J118" s="380"/>
      <c r="Q118" s="156"/>
      <c r="R118" s="156"/>
      <c r="S118" s="156"/>
      <c r="T118" s="156"/>
      <c r="AA118" s="156"/>
      <c r="AB118" s="156"/>
      <c r="AC118" s="156"/>
      <c r="AD118" s="156"/>
    </row>
    <row r="119" spans="2:30" ht="15.75" x14ac:dyDescent="0.25">
      <c r="G119" s="380"/>
      <c r="H119" s="380"/>
      <c r="I119" s="380"/>
      <c r="J119" s="380"/>
    </row>
  </sheetData>
  <mergeCells count="61">
    <mergeCell ref="B2:D2"/>
    <mergeCell ref="C35:D35"/>
    <mergeCell ref="E35:F35"/>
    <mergeCell ref="E3:J3"/>
    <mergeCell ref="O3:T3"/>
    <mergeCell ref="P21:Q21"/>
    <mergeCell ref="R21:S21"/>
    <mergeCell ref="T20:U20"/>
    <mergeCell ref="I20:J20"/>
    <mergeCell ref="K20:L20"/>
    <mergeCell ref="M34:T34"/>
    <mergeCell ref="M35:N35"/>
    <mergeCell ref="O35:P35"/>
    <mergeCell ref="Q35:R35"/>
    <mergeCell ref="S35:T35"/>
    <mergeCell ref="C50:D50"/>
    <mergeCell ref="E50:F50"/>
    <mergeCell ref="G35:H35"/>
    <mergeCell ref="I35:J35"/>
    <mergeCell ref="C34:J34"/>
    <mergeCell ref="G50:H50"/>
    <mergeCell ref="I50:J50"/>
    <mergeCell ref="C49:J49"/>
    <mergeCell ref="M49:T49"/>
    <mergeCell ref="M50:N50"/>
    <mergeCell ref="O50:P50"/>
    <mergeCell ref="Q50:R50"/>
    <mergeCell ref="S50:T50"/>
    <mergeCell ref="AB20:AC20"/>
    <mergeCell ref="X21:Y21"/>
    <mergeCell ref="Z21:AA21"/>
    <mergeCell ref="Y65:Z65"/>
    <mergeCell ref="AA65:AB65"/>
    <mergeCell ref="AC65:AD65"/>
    <mergeCell ref="W49:AD49"/>
    <mergeCell ref="W50:X50"/>
    <mergeCell ref="Y50:Z50"/>
    <mergeCell ref="AA50:AB50"/>
    <mergeCell ref="AC50:AD50"/>
    <mergeCell ref="W34:AD34"/>
    <mergeCell ref="W35:X35"/>
    <mergeCell ref="Y35:Z35"/>
    <mergeCell ref="AA35:AB35"/>
    <mergeCell ref="AC35:AD35"/>
    <mergeCell ref="C80:D80"/>
    <mergeCell ref="E80:F80"/>
    <mergeCell ref="G80:H80"/>
    <mergeCell ref="I80:J80"/>
    <mergeCell ref="S65:T65"/>
    <mergeCell ref="M65:N65"/>
    <mergeCell ref="O65:P65"/>
    <mergeCell ref="Q65:R65"/>
    <mergeCell ref="C79:J79"/>
    <mergeCell ref="M64:T64"/>
    <mergeCell ref="W64:AD64"/>
    <mergeCell ref="C65:D65"/>
    <mergeCell ref="E65:F65"/>
    <mergeCell ref="G65:H65"/>
    <mergeCell ref="I65:J65"/>
    <mergeCell ref="W65:X65"/>
    <mergeCell ref="C64:J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7A2C-3483-48EA-B946-2C09C52344FE}">
  <sheetPr codeName="Sheet5"/>
  <dimension ref="B1:AA96"/>
  <sheetViews>
    <sheetView zoomScale="80" zoomScaleNormal="80" workbookViewId="0">
      <selection activeCell="W32" sqref="W32"/>
    </sheetView>
  </sheetViews>
  <sheetFormatPr defaultColWidth="8.7109375" defaultRowHeight="15" x14ac:dyDescent="0.25"/>
  <cols>
    <col min="1" max="1" width="3.5703125" style="38" customWidth="1"/>
    <col min="2" max="3" width="19.42578125" style="38" customWidth="1"/>
    <col min="4" max="4" width="15.7109375" style="38" customWidth="1"/>
    <col min="5" max="5" width="10.5703125" style="38" customWidth="1"/>
    <col min="6" max="6" width="20.7109375" style="38" customWidth="1"/>
    <col min="7" max="15" width="15" style="38" customWidth="1"/>
    <col min="16" max="17" width="17" style="38" customWidth="1"/>
    <col min="18" max="18" width="20.5703125" style="38" customWidth="1"/>
    <col min="19" max="19" width="14" style="38" customWidth="1"/>
    <col min="20" max="20" width="16.42578125" style="38" customWidth="1"/>
    <col min="21" max="21" width="15.7109375" style="38" bestFit="1" customWidth="1"/>
    <col min="22" max="22" width="16.5703125" style="38" bestFit="1" customWidth="1"/>
    <col min="23" max="23" width="15.42578125" style="38" customWidth="1"/>
    <col min="24" max="24" width="16.5703125" style="38" bestFit="1" customWidth="1"/>
    <col min="25" max="25" width="15" style="38" bestFit="1" customWidth="1"/>
    <col min="26" max="26" width="15.5703125" style="38" customWidth="1"/>
    <col min="27" max="27" width="15" style="38" customWidth="1"/>
    <col min="28" max="16384" width="8.7109375" style="38"/>
  </cols>
  <sheetData>
    <row r="1" spans="2:25"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2:25" ht="15.75" x14ac:dyDescent="0.25">
      <c r="B2" s="112"/>
      <c r="C2" s="513" t="s">
        <v>377</v>
      </c>
      <c r="D2" s="513"/>
      <c r="E2" s="112"/>
      <c r="F2" s="112"/>
      <c r="G2" s="112"/>
      <c r="H2" s="112"/>
      <c r="I2" s="112"/>
      <c r="J2" s="112"/>
      <c r="K2" s="112"/>
      <c r="L2" s="112"/>
      <c r="M2" s="112"/>
      <c r="N2" s="112"/>
      <c r="O2" s="112"/>
      <c r="P2" s="112"/>
      <c r="Q2" s="112"/>
      <c r="R2" s="112"/>
      <c r="S2" s="112"/>
      <c r="T2" s="112"/>
      <c r="U2" s="112"/>
      <c r="V2" s="112"/>
    </row>
    <row r="3" spans="2:25" x14ac:dyDescent="0.25">
      <c r="B3" s="4"/>
      <c r="C3" s="114" t="s">
        <v>378</v>
      </c>
      <c r="D3" s="114" t="s">
        <v>379</v>
      </c>
      <c r="J3" s="132"/>
      <c r="P3" s="89"/>
      <c r="Q3" s="89"/>
      <c r="R3" s="89"/>
      <c r="S3" s="89"/>
      <c r="T3" s="89"/>
      <c r="U3" s="89"/>
      <c r="V3" s="89"/>
    </row>
    <row r="4" spans="2:25" ht="15.75" x14ac:dyDescent="0.25">
      <c r="B4" s="67" t="s">
        <v>142</v>
      </c>
      <c r="C4" s="5">
        <f>INDEX('Incremental Rev Req'!$S$9:$X$22,MATCH(B4,'Incremental Rev Req'!$S$9:$S$22,0),MATCH(Summary!$D$3,'Incremental Rev Req'!$S$9:$X$9,0))</f>
        <v>5656575.1844340097</v>
      </c>
      <c r="D4" s="120">
        <f>INDEX('Incremental Rev Req'!$S$71:$X$84,MATCH(B4,'Incremental Rev Req'!$S$71:$S$84,0),MATCH(Summary!$D$3,'Incremental Rev Req'!$S$71:$X$71,0))</f>
        <v>5656575.1844340097</v>
      </c>
      <c r="G4" s="512" t="s">
        <v>380</v>
      </c>
      <c r="H4" s="512"/>
      <c r="I4" s="512"/>
      <c r="J4" s="512"/>
      <c r="K4" s="512"/>
      <c r="L4" s="512"/>
      <c r="M4" s="512"/>
      <c r="N4" s="512"/>
      <c r="O4" s="512"/>
      <c r="P4" s="512"/>
      <c r="Q4" s="10"/>
      <c r="R4" s="2"/>
      <c r="S4" s="2"/>
      <c r="T4" s="2"/>
      <c r="U4" s="2"/>
      <c r="V4" s="2"/>
      <c r="W4" s="2"/>
      <c r="X4" s="2"/>
    </row>
    <row r="5" spans="2:25" ht="15.75" x14ac:dyDescent="0.25">
      <c r="B5" s="67" t="s">
        <v>147</v>
      </c>
      <c r="C5" s="5">
        <f>INDEX('Incremental Rev Req'!$S$9:$X$22,MATCH(B5,'Incremental Rev Req'!$S$9:$S$22,0),MATCH(Summary!$D$3,'Incremental Rev Req'!$S$9:$X$9,0))</f>
        <v>10656273.281867869</v>
      </c>
      <c r="D5" s="5">
        <f>INDEX('Incremental Rev Req'!$S$71:$X$84,MATCH(B5,'Incremental Rev Req'!$S$71:$S$84,0),MATCH(Summary!$D$3,'Incremental Rev Req'!$S$71:$X$71,0))</f>
        <v>10660510.281867869</v>
      </c>
      <c r="F5" s="9"/>
      <c r="G5" s="10" t="s">
        <v>142</v>
      </c>
      <c r="H5" s="10" t="s">
        <v>147</v>
      </c>
      <c r="I5" s="10" t="s">
        <v>381</v>
      </c>
      <c r="J5" s="10" t="s">
        <v>382</v>
      </c>
      <c r="K5" s="10" t="s">
        <v>228</v>
      </c>
      <c r="L5" s="10" t="s">
        <v>383</v>
      </c>
      <c r="M5" s="10" t="s">
        <v>384</v>
      </c>
      <c r="N5" s="10" t="s">
        <v>287</v>
      </c>
      <c r="O5" s="94" t="s">
        <v>385</v>
      </c>
      <c r="P5" s="94" t="s">
        <v>386</v>
      </c>
      <c r="Q5" s="94" t="s">
        <v>296</v>
      </c>
      <c r="R5" s="94" t="s">
        <v>387</v>
      </c>
    </row>
    <row r="6" spans="2:25" ht="15.75" x14ac:dyDescent="0.25">
      <c r="B6" s="67" t="s">
        <v>158</v>
      </c>
      <c r="C6" s="5">
        <f>INDEX('Incremental Rev Req'!$S$9:$X$22,MATCH(B6,'Incremental Rev Req'!$S$9:$S$22,0),MATCH(Summary!$D$3,'Incremental Rev Req'!$S$9:$X$9,0))</f>
        <v>2137.996733802267</v>
      </c>
      <c r="D6" s="5">
        <f>INDEX('Incremental Rev Req'!$S$71:$X$84,MATCH(B6,'Incremental Rev Req'!$S$71:$S$84,0),MATCH(Summary!$D$3,'Incremental Rev Req'!$S$71:$X$71,0))</f>
        <v>2137.996733802267</v>
      </c>
      <c r="F6" s="9" t="s">
        <v>475</v>
      </c>
      <c r="G6" s="149">
        <f>VLOOKUP(Summary!$D$3,'SAR and AR (GS1)'!$F$37:$R$42,'SAR and AR (GS1)'!G$35,TRUE)</f>
        <v>8.2708586417863272E-2</v>
      </c>
      <c r="H6" s="149">
        <f>VLOOKUP(Summary!$D$3,'SAR and AR (GS1)'!$F$37:$R$42,'SAR and AR (GS1)'!H$35,TRUE)</f>
        <v>6.924310175536233E-2</v>
      </c>
      <c r="I6" s="149">
        <f>VLOOKUP(Summary!$D$3,'SAR and AR (GS1)'!$F$37:$R$42,'SAR and AR (GS1)'!I$35,TRUE)</f>
        <v>7.2663413241094474E-2</v>
      </c>
      <c r="J6" s="149">
        <f>VLOOKUP(Summary!$D$3,'SAR and AR (GS1)'!$F$37:$R$42,'SAR and AR (GS1)'!J$35,TRUE)</f>
        <v>7.073233698292572E-2</v>
      </c>
      <c r="K6" s="149">
        <f>VLOOKUP(Summary!$D$3,'SAR and AR (GS1)'!$F$37:$R$42,'SAR and AR (GS1)'!K$35,TRUE)</f>
        <v>6.8722896352149648E-2</v>
      </c>
      <c r="L6" s="149">
        <f>VLOOKUP(Summary!$D$3,'SAR and AR (GS1)'!$F$37:$R$42,'SAR and AR (GS1)'!L$35,TRUE)</f>
        <v>7.3065791147950268E-2</v>
      </c>
      <c r="M6" s="149">
        <f>VLOOKUP(Summary!$D$3,'SAR and AR (GS1)'!$F$37:$R$42,'SAR and AR (GS1)'!M$35,TRUE)</f>
        <v>7.2661431359380038E-2</v>
      </c>
      <c r="N6" s="149">
        <f>VLOOKUP(Summary!$D$3,'SAR and AR (GS1)'!$F$37:$R$42,'SAR and AR (GS1)'!N$35,TRUE)</f>
        <v>7.2595615571127411E-2</v>
      </c>
      <c r="O6" s="149">
        <f>VLOOKUP(Summary!$D$3,'SAR and AR (GS1)'!$F$37:$R$42,'SAR and AR (GS1)'!O$35,TRUE)</f>
        <v>7.5243862185687738E-2</v>
      </c>
      <c r="P6" s="149">
        <f>VLOOKUP(Summary!$D$3,'SAR and AR (GS1)'!$F$37:$R$42,'SAR and AR (GS1)'!P$35,TRUE)</f>
        <v>8.1023901392294956E-2</v>
      </c>
      <c r="Q6" s="149">
        <f>VLOOKUP(Summary!$D$3,'SAR and AR (GS1)'!$F$37:$R$42,'SAR and AR (GS1)'!Q$35,TRUE)</f>
        <v>7.266341324109446E-2</v>
      </c>
      <c r="R6" s="149">
        <f>VLOOKUP(Summary!$D$3,'SAR and AR (GS1)'!$F$37:$R$42,'SAR and AR (GS1)'!R$35,TRUE)</f>
        <v>8.3368378070312263E-2</v>
      </c>
    </row>
    <row r="7" spans="2:25" ht="15.75" x14ac:dyDescent="0.25">
      <c r="B7" s="67" t="s">
        <v>157</v>
      </c>
      <c r="C7" s="5">
        <f>INDEX('Incremental Rev Req'!$S$9:$X$22,MATCH(B7,'Incremental Rev Req'!$S$9:$S$22,0),MATCH(Summary!$D$3,'Incremental Rev Req'!$S$9:$X$9,0))</f>
        <v>589425.03217759123</v>
      </c>
      <c r="D7" s="5">
        <f>INDEX('Incremental Rev Req'!$S$71:$X$84,MATCH(B7,'Incremental Rev Req'!$S$71:$S$84,0),MATCH(Summary!$D$3,'Incremental Rev Req'!$S$71:$X$71,0))</f>
        <v>589425.03217759123</v>
      </c>
      <c r="F7" s="9"/>
      <c r="G7" s="301"/>
      <c r="H7" s="301"/>
      <c r="I7" s="301"/>
      <c r="J7" s="301"/>
      <c r="L7" s="301"/>
      <c r="M7" s="301"/>
      <c r="N7" s="301"/>
      <c r="O7" s="301"/>
      <c r="P7" s="301"/>
      <c r="Q7" s="301"/>
      <c r="R7" s="301"/>
    </row>
    <row r="8" spans="2:25" ht="16.350000000000001" customHeight="1" x14ac:dyDescent="0.25">
      <c r="B8" s="67" t="s">
        <v>228</v>
      </c>
      <c r="C8" s="5">
        <f>INDEX('Incremental Rev Req'!$S$9:$X$22,MATCH(B8,'Incremental Rev Req'!$S$9:$S$22,0),MATCH(Summary!$D$3,'Incremental Rev Req'!$S$9:$X$9,0))</f>
        <v>131844.61631190931</v>
      </c>
      <c r="D8" s="5">
        <f>INDEX('Incremental Rev Req'!$S$71:$X$84,MATCH(B8,'Incremental Rev Req'!$S$71:$S$84,0),MATCH(Summary!$D$3,'Incremental Rev Req'!$S$71:$X$71,0))</f>
        <v>131844.61631190931</v>
      </c>
      <c r="F8" s="37"/>
      <c r="G8" s="512" t="s">
        <v>388</v>
      </c>
      <c r="H8" s="512"/>
      <c r="I8" s="512"/>
      <c r="J8" s="512"/>
      <c r="K8" s="512"/>
      <c r="L8" s="512"/>
      <c r="M8" s="512"/>
      <c r="N8" s="512"/>
      <c r="O8" s="512"/>
      <c r="P8" s="512"/>
      <c r="Q8" s="185"/>
      <c r="R8" s="185"/>
      <c r="S8" s="158"/>
      <c r="W8" s="9"/>
      <c r="X8" s="116" t="s">
        <v>378</v>
      </c>
      <c r="Y8" s="116" t="s">
        <v>389</v>
      </c>
    </row>
    <row r="9" spans="2:25" ht="15.75" customHeight="1" x14ac:dyDescent="0.25">
      <c r="B9" s="67" t="s">
        <v>145</v>
      </c>
      <c r="C9" s="5">
        <f>INDEX('Incremental Rev Req'!$S$9:$X$22,MATCH(B9,'Incremental Rev Req'!$S$9:$S$22,0),MATCH(Summary!$D$3,'Incremental Rev Req'!$S$9:$X$9,0))</f>
        <v>514473.18652918475</v>
      </c>
      <c r="D9" s="5">
        <f>INDEX('Incremental Rev Req'!$S$71:$X$84,MATCH(B9,'Incremental Rev Req'!$S$71:$S$84,0),MATCH(Summary!$D$3,'Incremental Rev Req'!$S$71:$X$71,0))</f>
        <v>514473.18652918475</v>
      </c>
      <c r="F9" s="115" t="s">
        <v>378</v>
      </c>
      <c r="G9" s="10" t="s">
        <v>142</v>
      </c>
      <c r="H9" s="10" t="s">
        <v>147</v>
      </c>
      <c r="I9" s="10" t="s">
        <v>381</v>
      </c>
      <c r="J9" s="10" t="s">
        <v>382</v>
      </c>
      <c r="K9" s="10" t="s">
        <v>228</v>
      </c>
      <c r="L9" s="10" t="s">
        <v>383</v>
      </c>
      <c r="M9" s="10" t="s">
        <v>384</v>
      </c>
      <c r="N9" s="10" t="s">
        <v>287</v>
      </c>
      <c r="O9" s="10" t="s">
        <v>385</v>
      </c>
      <c r="P9" s="10" t="s">
        <v>386</v>
      </c>
      <c r="Q9" s="94" t="s">
        <v>296</v>
      </c>
      <c r="R9" s="94" t="s">
        <v>387</v>
      </c>
      <c r="S9" s="10" t="s">
        <v>71</v>
      </c>
      <c r="T9" s="94" t="s">
        <v>390</v>
      </c>
      <c r="U9" s="33"/>
      <c r="W9" s="145" t="s">
        <v>391</v>
      </c>
      <c r="X9" s="302">
        <f>VLOOKUP(Summary!$D$3,$F$58:$Q$63,$Q$35,TRUE)</f>
        <v>0</v>
      </c>
      <c r="Y9" s="214">
        <f>X9</f>
        <v>0</v>
      </c>
    </row>
    <row r="10" spans="2:25" ht="15.75" x14ac:dyDescent="0.25">
      <c r="B10" s="67" t="s">
        <v>283</v>
      </c>
      <c r="C10" s="5">
        <f>INDEX('Incremental Rev Req'!$S$9:$X$22,MATCH(B10,'Incremental Rev Req'!$S$9:$S$22,0),MATCH(Summary!$D$3,'Incremental Rev Req'!$S$9:$X$9,0))</f>
        <v>1500981.9850000001</v>
      </c>
      <c r="D10" s="5">
        <f>INDEX('Incremental Rev Req'!$S$71:$X$84,MATCH(B10,'Incremental Rev Req'!$S$71:$S$84,0),MATCH(Summary!$D$3,'Incremental Rev Req'!$S$71:$X$71,0))</f>
        <v>1500981.9850000001</v>
      </c>
      <c r="F10" s="9" t="s">
        <v>475</v>
      </c>
      <c r="G10" s="72">
        <f>G6*G11</f>
        <v>467847.3374709012</v>
      </c>
      <c r="H10" s="72">
        <f>H6*H11</f>
        <v>737873.41518932569</v>
      </c>
      <c r="I10" s="72">
        <f>I6*I11</f>
        <v>155.35414017638439</v>
      </c>
      <c r="J10" s="72">
        <f>J6*J11</f>
        <v>41691.410002157216</v>
      </c>
      <c r="K10" s="72">
        <f t="shared" ref="K10:Q10" si="0">K6*K11</f>
        <v>9060.7439013922831</v>
      </c>
      <c r="L10" s="72">
        <f t="shared" si="0"/>
        <v>37590.390398161871</v>
      </c>
      <c r="M10" s="72">
        <f t="shared" si="0"/>
        <v>109063.49947474351</v>
      </c>
      <c r="N10" s="72">
        <f t="shared" si="0"/>
        <v>-2864.2612232536967</v>
      </c>
      <c r="O10" s="72">
        <f t="shared" si="0"/>
        <v>-33354.023985809472</v>
      </c>
      <c r="P10" s="72">
        <f t="shared" si="0"/>
        <v>34546.496919199366</v>
      </c>
      <c r="Q10" s="72">
        <f t="shared" si="0"/>
        <v>5845.4309515196355</v>
      </c>
      <c r="R10" s="72">
        <f>R6*R11</f>
        <v>29885.590875645044</v>
      </c>
      <c r="S10" s="72">
        <f>SUM(G10:R10)</f>
        <v>1437341.3841141593</v>
      </c>
      <c r="T10" s="72">
        <f>X14</f>
        <v>78538.888466307588</v>
      </c>
      <c r="W10" s="145" t="s">
        <v>476</v>
      </c>
      <c r="X10" s="214">
        <f>'SAR and RAR'!X10</f>
        <v>0.32500000000000001</v>
      </c>
      <c r="Y10" s="214">
        <f>X10</f>
        <v>0.32500000000000001</v>
      </c>
    </row>
    <row r="11" spans="2:25" ht="15.75" x14ac:dyDescent="0.25">
      <c r="B11" s="67" t="s">
        <v>287</v>
      </c>
      <c r="C11" s="5">
        <f>INDEX('Incremental Rev Req'!$S$9:$X$22,MATCH(B11,'Incremental Rev Req'!$S$9:$S$22,0),MATCH(Summary!$D$3,'Incremental Rev Req'!$S$9:$X$9,0))</f>
        <v>-39455.016679999957</v>
      </c>
      <c r="D11" s="5">
        <f>INDEX('Incremental Rev Req'!$S$71:$X$84,MATCH(B11,'Incremental Rev Req'!$S$71:$S$84,0),MATCH(Summary!$D$3,'Incremental Rev Req'!$S$71:$X$71,0))</f>
        <v>-39455.016679999957</v>
      </c>
      <c r="F11" s="9" t="s">
        <v>393</v>
      </c>
      <c r="G11" s="73">
        <f>C4</f>
        <v>5656575.1844340097</v>
      </c>
      <c r="H11" s="73">
        <f>C5</f>
        <v>10656273.281867869</v>
      </c>
      <c r="I11" s="73">
        <f>C6</f>
        <v>2137.996733802267</v>
      </c>
      <c r="J11" s="73">
        <f>C7</f>
        <v>589425.03217759123</v>
      </c>
      <c r="K11" s="73">
        <f>C8</f>
        <v>131844.61631190931</v>
      </c>
      <c r="L11" s="73">
        <f>C9</f>
        <v>514473.18652918475</v>
      </c>
      <c r="M11" s="73">
        <f>C10</f>
        <v>1500981.9850000001</v>
      </c>
      <c r="N11" s="73">
        <f>C11</f>
        <v>-39455.016679999957</v>
      </c>
      <c r="O11" s="73">
        <f>C12</f>
        <v>-443279</v>
      </c>
      <c r="P11" s="73">
        <f>C14</f>
        <v>426374.14794351778</v>
      </c>
      <c r="Q11" s="73">
        <f>C15</f>
        <v>80445.31203240779</v>
      </c>
      <c r="R11" s="73">
        <f>C16</f>
        <v>358476.33799999999</v>
      </c>
      <c r="S11" s="72">
        <f>SUM(G11:R11)</f>
        <v>19434273.064350292</v>
      </c>
      <c r="T11" s="72">
        <v>0</v>
      </c>
      <c r="W11" s="145" t="s">
        <v>394</v>
      </c>
      <c r="X11" s="73">
        <f>'SAR and RAR'!X11</f>
        <v>963629.04761817271</v>
      </c>
      <c r="Y11" s="73">
        <f>'SAR and RAR'!Y11</f>
        <v>963835.36798876303</v>
      </c>
    </row>
    <row r="12" spans="2:25" ht="15.75" x14ac:dyDescent="0.25">
      <c r="B12" s="67" t="s">
        <v>173</v>
      </c>
      <c r="C12" s="5">
        <f>INDEX('Incremental Rev Req'!$S$9:$X$22,MATCH(B12,'Incremental Rev Req'!$S$9:$S$22,0),MATCH(Summary!$D$3,'Incremental Rev Req'!$S$9:$X$9,0))</f>
        <v>-443279</v>
      </c>
      <c r="D12" s="5">
        <f>INDEX('Incremental Rev Req'!$S$71:$X$84,MATCH(B12,'Incremental Rev Req'!$S$71:$S$84,0),MATCH(Summary!$D$3,'Incremental Rev Req'!$S$71:$X$71,0))</f>
        <v>-443279</v>
      </c>
      <c r="F12" s="115" t="s">
        <v>389</v>
      </c>
      <c r="W12" s="145" t="s">
        <v>477</v>
      </c>
      <c r="X12" s="73">
        <f>VLOOKUP(Summary!$D$3,'SAR and AR (GS1)'!$F$58:$O$63,10,TRUE)</f>
        <v>5845430.9507900001</v>
      </c>
      <c r="Y12" s="73">
        <f>X12</f>
        <v>5845430.9507900001</v>
      </c>
    </row>
    <row r="13" spans="2:25" ht="15.75" customHeight="1" x14ac:dyDescent="0.25">
      <c r="B13" s="43" t="s">
        <v>156</v>
      </c>
      <c r="C13" s="5">
        <f>INDEX('Incremental Rev Req'!$S$9:$X$22,MATCH(B13,'Incremental Rev Req'!$S$9:$S$22,0),MATCH(Summary!$D$3,'Incremental Rev Req'!$S$9:$X$9,0))</f>
        <v>6677.0315948793686</v>
      </c>
      <c r="D13" s="5">
        <f>INDEX('Incremental Rev Req'!$S$71:$X$84,MATCH(B13,'Incremental Rev Req'!$S$71:$S$84,0),MATCH(Summary!$D$3,'Incremental Rev Req'!$S$71:$X$71,0))</f>
        <v>6677.0315948793686</v>
      </c>
      <c r="F13" s="9" t="s">
        <v>475</v>
      </c>
      <c r="G13" s="72">
        <f>G6*G14</f>
        <v>467847.3374709012</v>
      </c>
      <c r="H13" s="72">
        <f>H6*H14</f>
        <v>738166.79821146326</v>
      </c>
      <c r="I13" s="72">
        <f>I6*I14</f>
        <v>155.35414017638439</v>
      </c>
      <c r="J13" s="72">
        <f>J6*J14</f>
        <v>41691.410002157216</v>
      </c>
      <c r="K13" s="72">
        <f t="shared" ref="K13:Q13" si="1">K6*K14</f>
        <v>9060.7439013922831</v>
      </c>
      <c r="L13" s="72">
        <f t="shared" si="1"/>
        <v>37590.390398161871</v>
      </c>
      <c r="M13" s="72">
        <f t="shared" si="1"/>
        <v>109063.49947474351</v>
      </c>
      <c r="N13" s="72">
        <f t="shared" si="1"/>
        <v>-2864.2612232536967</v>
      </c>
      <c r="O13" s="72">
        <f t="shared" si="1"/>
        <v>-33354.023985809472</v>
      </c>
      <c r="P13" s="72">
        <f t="shared" si="1"/>
        <v>34546.496919199366</v>
      </c>
      <c r="Q13" s="72">
        <f t="shared" si="1"/>
        <v>5845.4309515196355</v>
      </c>
      <c r="R13" s="72">
        <f>R6*R14</f>
        <v>29885.590875645044</v>
      </c>
      <c r="S13" s="72">
        <f>SUM(G13:R13)</f>
        <v>1437634.7671362967</v>
      </c>
      <c r="T13" s="72">
        <f>Y14</f>
        <v>78555.704244759036</v>
      </c>
      <c r="W13" s="145" t="s">
        <v>396</v>
      </c>
      <c r="X13" s="73">
        <f>VLOOKUP(Summary!$D$3,'SAR and AR (GS1)'!$F$64:$O$69,2,TRUE)</f>
        <v>71720228.921294004</v>
      </c>
      <c r="Y13" s="73">
        <f>X13</f>
        <v>71720228.921294004</v>
      </c>
    </row>
    <row r="14" spans="2:25" ht="15.75" customHeight="1" x14ac:dyDescent="0.25">
      <c r="B14" s="67" t="s">
        <v>277</v>
      </c>
      <c r="C14" s="5">
        <f>INDEX('Incremental Rev Req'!$S$9:$X$22,MATCH(B14,'Incremental Rev Req'!$S$9:$S$22,0),MATCH(Summary!$D$3,'Incremental Rev Req'!$S$9:$X$9,0))</f>
        <v>426374.14794351778</v>
      </c>
      <c r="D14" s="5">
        <f>INDEX('Incremental Rev Req'!$S$71:$X$84,MATCH(B14,'Incremental Rev Req'!$S$71:$S$84,0),MATCH(Summary!$D$3,'Incremental Rev Req'!$S$71:$X$71,0))</f>
        <v>426374.14794351778</v>
      </c>
      <c r="F14" s="9" t="s">
        <v>393</v>
      </c>
      <c r="G14" s="73">
        <f>D4</f>
        <v>5656575.1844340097</v>
      </c>
      <c r="H14" s="73">
        <f>D5</f>
        <v>10660510.281867869</v>
      </c>
      <c r="I14" s="73">
        <f>D6</f>
        <v>2137.996733802267</v>
      </c>
      <c r="J14" s="73">
        <f>D7</f>
        <v>589425.03217759123</v>
      </c>
      <c r="K14" s="73">
        <f>D8</f>
        <v>131844.61631190931</v>
      </c>
      <c r="L14" s="73">
        <f>D9</f>
        <v>514473.18652918475</v>
      </c>
      <c r="M14" s="73">
        <f>D10</f>
        <v>1500981.9850000001</v>
      </c>
      <c r="N14" s="73">
        <f>D11</f>
        <v>-39455.016679999957</v>
      </c>
      <c r="O14" s="73">
        <f>D12</f>
        <v>-443279</v>
      </c>
      <c r="P14" s="73">
        <f>D14</f>
        <v>426374.14794351778</v>
      </c>
      <c r="Q14" s="73">
        <f>D15</f>
        <v>80445.31203240779</v>
      </c>
      <c r="R14" s="73">
        <f>D16</f>
        <v>358476.33799999999</v>
      </c>
      <c r="S14" s="73">
        <f>SUM(G14:R14)</f>
        <v>19438510.064350292</v>
      </c>
      <c r="T14" s="72">
        <v>0</v>
      </c>
      <c r="W14" s="145" t="s">
        <v>478</v>
      </c>
      <c r="X14" s="73">
        <f>X11*X12/X13</f>
        <v>78538.888466307588</v>
      </c>
      <c r="Y14" s="73">
        <f>Y11*Y12/Y13</f>
        <v>78555.704244759036</v>
      </c>
    </row>
    <row r="15" spans="2:25" x14ac:dyDescent="0.25">
      <c r="B15" s="67" t="s">
        <v>296</v>
      </c>
      <c r="C15" s="5">
        <f>INDEX('Incremental Rev Req'!$S$9:$X$22,MATCH(B15,'Incremental Rev Req'!$S$9:$S$22,0),MATCH(Summary!$D$3,'Incremental Rev Req'!$S$9:$X$9,0))</f>
        <v>80445.31203240779</v>
      </c>
      <c r="D15" s="5">
        <f>INDEX('Incremental Rev Req'!$S$71:$X$84,MATCH(B15,'Incremental Rev Req'!$S$71:$S$84,0),MATCH(Summary!$D$3,'Incremental Rev Req'!$S$71:$X$71,0))</f>
        <v>80445.31203240779</v>
      </c>
      <c r="F15" s="303"/>
      <c r="G15" s="6"/>
      <c r="H15" s="6"/>
      <c r="I15" s="6"/>
      <c r="J15" s="37"/>
      <c r="W15" s="43" t="s">
        <v>398</v>
      </c>
      <c r="X15" s="170">
        <f>'SAR and RAR'!X15</f>
        <v>0.75523257159718327</v>
      </c>
      <c r="Y15" s="170">
        <f>'SAR and RAR'!Y15</f>
        <v>0.75523257159718327</v>
      </c>
    </row>
    <row r="16" spans="2:25" ht="15.75" x14ac:dyDescent="0.25">
      <c r="B16" s="67" t="s">
        <v>387</v>
      </c>
      <c r="C16" s="65">
        <f>INDEX('Incremental Rev Req'!$S$9:$X$22,MATCH(B16,'Incremental Rev Req'!$S$9:$S$22,0),MATCH(Summary!$D$3,'Incremental Rev Req'!$S$9:$X$9,0))</f>
        <v>358476.33799999999</v>
      </c>
      <c r="D16" s="65">
        <f>INDEX('Incremental Rev Req'!$S$71:$X$84,MATCH(B16,'Incremental Rev Req'!$S$71:$S$84,0),MATCH(Summary!$D$3,'Incremental Rev Req'!$S$71:$X$71,0))</f>
        <v>358476.33799999999</v>
      </c>
      <c r="S16" s="143" t="s">
        <v>378</v>
      </c>
      <c r="T16" s="116" t="s">
        <v>389</v>
      </c>
      <c r="U16" s="115"/>
      <c r="W16" s="43" t="s">
        <v>399</v>
      </c>
      <c r="X16" s="170">
        <f>'SAR and RAR'!X16</f>
        <v>0.6235254349928121</v>
      </c>
      <c r="Y16" s="170">
        <f>'SAR and RAR'!Y16</f>
        <v>0.6235254349928121</v>
      </c>
    </row>
    <row r="17" spans="2:27" ht="15.75" x14ac:dyDescent="0.25">
      <c r="B17" s="67" t="s">
        <v>71</v>
      </c>
      <c r="C17" s="66">
        <f>SUM(C4:C16)</f>
        <v>19440950.095945172</v>
      </c>
      <c r="D17" s="66">
        <f>SUM(D4:D16)</f>
        <v>19445187.095945172</v>
      </c>
      <c r="F17" s="37"/>
      <c r="G17" s="514" t="s">
        <v>400</v>
      </c>
      <c r="H17" s="514"/>
      <c r="I17" s="514"/>
      <c r="J17" s="514"/>
      <c r="K17" s="514"/>
      <c r="L17" s="514"/>
      <c r="M17" s="514"/>
      <c r="N17" s="514"/>
      <c r="O17" s="514"/>
      <c r="P17" s="514"/>
      <c r="Q17" s="186"/>
      <c r="R17" s="186"/>
      <c r="S17" s="515" t="s">
        <v>401</v>
      </c>
      <c r="T17" s="514"/>
      <c r="U17" s="9"/>
      <c r="W17" s="43" t="s">
        <v>402</v>
      </c>
      <c r="X17" s="103">
        <f>SUM(-X11*X15)+SUM(X11*X16)</f>
        <v>-126916.82261058677</v>
      </c>
      <c r="Y17" s="103">
        <f>SUM(-Y11*Y15)+SUM(Y11*Y16)</f>
        <v>-126943.99647582043</v>
      </c>
      <c r="Z17" s="116"/>
    </row>
    <row r="18" spans="2:27" ht="15.75" x14ac:dyDescent="0.25">
      <c r="B18" s="11"/>
      <c r="C18" s="5"/>
      <c r="D18" s="291"/>
      <c r="E18" s="37"/>
      <c r="G18" s="94" t="s">
        <v>142</v>
      </c>
      <c r="H18" s="10" t="s">
        <v>147</v>
      </c>
      <c r="I18" s="10" t="s">
        <v>381</v>
      </c>
      <c r="J18" s="10" t="s">
        <v>382</v>
      </c>
      <c r="K18" s="10" t="s">
        <v>228</v>
      </c>
      <c r="L18" s="10" t="s">
        <v>383</v>
      </c>
      <c r="M18" s="10" t="s">
        <v>384</v>
      </c>
      <c r="N18" s="10" t="s">
        <v>287</v>
      </c>
      <c r="O18" s="10" t="s">
        <v>385</v>
      </c>
      <c r="P18" s="10" t="s">
        <v>386</v>
      </c>
      <c r="Q18" s="94" t="s">
        <v>296</v>
      </c>
      <c r="R18" s="94" t="s">
        <v>387</v>
      </c>
      <c r="S18" s="106" t="s">
        <v>71</v>
      </c>
      <c r="T18" s="144" t="s">
        <v>71</v>
      </c>
      <c r="U18" s="33"/>
      <c r="X18" s="145"/>
      <c r="Y18" s="134"/>
      <c r="Z18" s="134"/>
    </row>
    <row r="19" spans="2:27" ht="15.75" x14ac:dyDescent="0.25">
      <c r="B19" s="11"/>
      <c r="C19" s="5"/>
      <c r="F19" s="9" t="s">
        <v>475</v>
      </c>
      <c r="G19" s="159">
        <f>VLOOKUP(Summary!$D$3,'SAR and AR (GS1)'!$F$44:$R$49,'SAR and AR (GS1)'!G$35,TRUE)</f>
        <v>0.93332787929053829</v>
      </c>
      <c r="H19" s="159">
        <f>VLOOKUP(Summary!$D$3,'SAR and AR (GS1)'!$F$44:$R$49,'SAR and AR (GS1)'!H$35,TRUE)</f>
        <v>0.65936340757050238</v>
      </c>
      <c r="I19" s="159">
        <f>VLOOKUP(Summary!$D$3,'SAR and AR (GS1)'!$F$44:$R$49,'SAR and AR (GS1)'!I$35,TRUE)</f>
        <v>0.65714070766497867</v>
      </c>
      <c r="J19" s="159">
        <f>VLOOKUP(Summary!$D$3,'SAR and AR (GS1)'!$F$44:$R$49,'SAR and AR (GS1)'!J$35,TRUE)</f>
        <v>0.65714070766497867</v>
      </c>
      <c r="K19" s="159">
        <f>VLOOKUP(Summary!$D$3,'SAR and AR (GS1)'!$F$44:$R$49,'SAR and AR (GS1)'!K$35,TRUE)</f>
        <v>0.65714070766497867</v>
      </c>
      <c r="L19" s="159">
        <f>VLOOKUP(Summary!$D$3,'SAR and AR (GS1)'!$F$44:$R$49,'SAR and AR (GS1)'!L$35,TRUE)</f>
        <v>0.65714070766497867</v>
      </c>
      <c r="M19" s="159">
        <f>VLOOKUP(Summary!$D$3,'SAR and AR (GS1)'!$F$44:$R$49,'SAR and AR (GS1)'!M$35,TRUE)</f>
        <v>0.65714070766497878</v>
      </c>
      <c r="N19" s="159">
        <f>VLOOKUP(Summary!$D$3,'SAR and AR (GS1)'!$F$44:$R$49,'SAR and AR (GS1)'!N$35,TRUE)</f>
        <v>0.65714070766497867</v>
      </c>
      <c r="O19" s="159">
        <f>VLOOKUP(Summary!$D$3,'SAR and AR (GS1)'!$F$44:$R$49,'SAR and AR (GS1)'!O$35,TRUE)</f>
        <v>0.68047085176321509</v>
      </c>
      <c r="P19" s="159">
        <f>VLOOKUP(Summary!$D$3,'SAR and AR (GS1)'!$F$44:$R$49,'SAR and AR (GS1)'!P$35,TRUE)</f>
        <v>0.65714070766497878</v>
      </c>
      <c r="Q19" s="159">
        <f>VLOOKUP(Summary!$D$3,'SAR and AR (GS1)'!$F$44:$R$49,'SAR and AR (GS1)'!Q$35,TRUE)</f>
        <v>0.65714070766497878</v>
      </c>
      <c r="R19" s="159">
        <f>VLOOKUP(Summary!$D$3,'SAR and AR (GS1)'!$F$44:$R$49,'SAR and AR (GS1)'!R$35,TRUE)</f>
        <v>0.65714070766497867</v>
      </c>
      <c r="S19" s="275">
        <f>SUMPRODUCT(G10:R10,G19:R19)+T10*H19</f>
        <v>1126396.5533119042</v>
      </c>
      <c r="T19" s="276">
        <f>SUMPRODUCT(G13:R13,G19:R19)+T13*H19</f>
        <v>1126601.087050085</v>
      </c>
      <c r="U19" s="276"/>
      <c r="X19" s="145"/>
      <c r="Y19" s="134"/>
      <c r="Z19" s="134"/>
      <c r="AA19" s="103"/>
    </row>
    <row r="20" spans="2:27" ht="15.75" x14ac:dyDescent="0.25">
      <c r="B20" s="11"/>
      <c r="C20" s="11"/>
      <c r="F20" s="9" t="s">
        <v>393</v>
      </c>
      <c r="G20" s="159">
        <f>VLOOKUP(Summary!$D$3,'SAR and AR (GS1)'!$F$50:$R$55,'SAR and AR (GS1)'!G$35,TRUE)</f>
        <v>0.92577705930122733</v>
      </c>
      <c r="H20" s="159">
        <f>VLOOKUP(Summary!$D$3,'SAR and AR (GS1)'!$F$50:$R$55,'SAR and AR (GS1)'!H$35,TRUE)</f>
        <v>0.6582513662307431</v>
      </c>
      <c r="I20" s="159">
        <f>VLOOKUP(Summary!$D$3,'SAR and AR (GS1)'!$F$50:$R$55,'SAR and AR (GS1)'!I$35,TRUE)</f>
        <v>0.63884781761044163</v>
      </c>
      <c r="J20" s="159">
        <f>VLOOKUP(Summary!$D$3,'SAR and AR (GS1)'!$F$50:$R$55,'SAR and AR (GS1)'!J$35,TRUE)</f>
        <v>0.64896038306051473</v>
      </c>
      <c r="K20" s="159">
        <f>VLOOKUP(Summary!$D$3,'SAR and AR (GS1)'!$F$50:$R$55,'SAR and AR (GS1)'!K$35,TRUE)</f>
        <v>0.65202373338515018</v>
      </c>
      <c r="L20" s="159">
        <f>VLOOKUP(Summary!$D$3,'SAR and AR (GS1)'!$F$50:$R$55,'SAR and AR (GS1)'!L$35,TRUE)</f>
        <v>0.64852684011010642</v>
      </c>
      <c r="M20" s="159">
        <f>VLOOKUP(Summary!$D$3,'SAR and AR (GS1)'!$F$50:$R$55,'SAR and AR (GS1)'!M$35,TRUE)</f>
        <v>0.6706488897125521</v>
      </c>
      <c r="N20" s="159">
        <f>VLOOKUP(Summary!$D$3,'SAR and AR (GS1)'!$F$50:$R$55,'SAR and AR (GS1)'!N$35,TRUE)</f>
        <v>0.63598061936817685</v>
      </c>
      <c r="O20" s="159">
        <f>VLOOKUP(Summary!$D$3,'SAR and AR (GS1)'!$F$50:$R$55,'SAR and AR (GS1)'!O$35,TRUE)</f>
        <v>0.68066315360358887</v>
      </c>
      <c r="P20" s="159">
        <f>VLOOKUP(Summary!$D$3,'SAR and AR (GS1)'!$F$50:$R$55,'SAR and AR (GS1)'!P$35,TRUE)</f>
        <v>0.62517281715196638</v>
      </c>
      <c r="Q20" s="159">
        <f>VLOOKUP(Summary!$D$3,'SAR and AR (GS1)'!$F$50:$R$55,'SAR and AR (GS1)'!Q$35,TRUE)</f>
        <v>0.63884781761044174</v>
      </c>
      <c r="R20" s="159">
        <f>VLOOKUP(Summary!$D$3,'SAR and AR (GS1)'!$F$50:$R$55,'SAR and AR (GS1)'!R$35,TRUE)</f>
        <v>0.63537665490889106</v>
      </c>
      <c r="S20" s="275">
        <f>SUMPRODUCT(G11:R11,G20:R20)+X17</f>
        <v>14153344.931688327</v>
      </c>
      <c r="T20" s="276">
        <f>SUMPRODUCT(G14:R14,G20:R20)+Y17</f>
        <v>14156106.768861815</v>
      </c>
      <c r="U20" s="276"/>
      <c r="X20" s="145"/>
      <c r="Y20" s="73"/>
      <c r="Z20" s="73"/>
      <c r="AA20" s="103"/>
    </row>
    <row r="21" spans="2:27" ht="15.75" x14ac:dyDescent="0.25">
      <c r="B21" s="11"/>
      <c r="C21" s="11"/>
      <c r="G21" s="103"/>
      <c r="H21" s="103"/>
      <c r="I21" s="103"/>
      <c r="J21" s="103"/>
      <c r="L21" s="103"/>
      <c r="M21" s="103"/>
      <c r="N21" s="103"/>
      <c r="O21" s="103"/>
      <c r="P21" s="103"/>
      <c r="Q21" s="103"/>
      <c r="R21" s="103"/>
      <c r="T21" s="9"/>
      <c r="X21" s="145"/>
      <c r="Y21" s="138"/>
      <c r="Z21" s="73"/>
      <c r="AA21" s="9"/>
    </row>
    <row r="22" spans="2:27" ht="15.75" x14ac:dyDescent="0.25">
      <c r="B22" s="11"/>
      <c r="C22" s="11"/>
      <c r="F22" s="2"/>
      <c r="G22" s="188"/>
      <c r="H22" s="188"/>
      <c r="I22" s="188"/>
      <c r="J22" s="188"/>
      <c r="K22" s="188"/>
      <c r="L22" s="188"/>
      <c r="M22" s="188"/>
      <c r="N22" s="188"/>
      <c r="O22" s="188"/>
      <c r="P22" s="188"/>
      <c r="Q22" s="188"/>
      <c r="R22" s="188" t="s">
        <v>479</v>
      </c>
      <c r="S22" s="276">
        <f>O10*O19</f>
        <v>-22696.441111354477</v>
      </c>
      <c r="T22" s="276">
        <f>O13*O19</f>
        <v>-22696.441111354477</v>
      </c>
      <c r="X22" s="145"/>
      <c r="Y22" s="138"/>
      <c r="Z22" s="73"/>
    </row>
    <row r="23" spans="2:27" ht="15.75" x14ac:dyDescent="0.25">
      <c r="B23" s="11"/>
      <c r="C23" s="11"/>
      <c r="E23" s="9"/>
      <c r="F23" s="9"/>
      <c r="G23" s="11"/>
      <c r="H23" s="11"/>
      <c r="I23" s="11"/>
      <c r="J23" s="11"/>
      <c r="K23" s="11"/>
      <c r="L23" s="11"/>
      <c r="M23" s="11"/>
      <c r="N23" s="11"/>
      <c r="O23" s="11"/>
      <c r="P23" s="11"/>
      <c r="Q23" s="11"/>
      <c r="R23" s="11" t="s">
        <v>480</v>
      </c>
      <c r="S23" s="276">
        <f>O11*O20</f>
        <v>-301723.6820662453</v>
      </c>
      <c r="T23" s="276">
        <f>O14*O20</f>
        <v>-301723.6820662453</v>
      </c>
      <c r="U23" s="9"/>
      <c r="W23" s="145"/>
      <c r="X23" s="73"/>
      <c r="Y23" s="73"/>
      <c r="Z23" s="103"/>
    </row>
    <row r="24" spans="2:27" ht="15.75" x14ac:dyDescent="0.25">
      <c r="B24" s="11"/>
      <c r="C24" s="11"/>
      <c r="E24" s="33"/>
      <c r="F24" s="33"/>
      <c r="G24" s="11"/>
      <c r="H24" s="11"/>
      <c r="I24" s="11"/>
      <c r="J24" s="11"/>
      <c r="K24" s="11"/>
      <c r="L24" s="11"/>
      <c r="M24" s="11"/>
      <c r="N24" s="11"/>
      <c r="O24" s="11"/>
      <c r="P24" s="11"/>
      <c r="Q24" s="11"/>
      <c r="R24" s="32"/>
      <c r="S24" s="32"/>
      <c r="T24" s="90"/>
      <c r="U24" s="90"/>
      <c r="W24" s="9"/>
      <c r="X24" s="9"/>
    </row>
    <row r="25" spans="2:27" ht="15.75" x14ac:dyDescent="0.25">
      <c r="B25" s="11"/>
      <c r="C25" s="11"/>
      <c r="E25" s="33"/>
      <c r="F25" s="33"/>
      <c r="G25" s="33"/>
      <c r="H25" s="33"/>
      <c r="I25" s="33"/>
      <c r="J25" s="33"/>
      <c r="K25" s="33"/>
      <c r="L25" s="33"/>
      <c r="M25" s="33"/>
      <c r="N25" s="33"/>
      <c r="O25" s="33"/>
      <c r="P25" s="33"/>
      <c r="Q25" s="33"/>
      <c r="R25" s="113"/>
      <c r="S25" s="91"/>
      <c r="T25" s="91"/>
      <c r="U25" s="91"/>
      <c r="W25" s="9"/>
      <c r="X25" s="11"/>
    </row>
    <row r="26" spans="2:27" ht="15.75" x14ac:dyDescent="0.25">
      <c r="B26" s="11"/>
      <c r="C26" s="11"/>
      <c r="E26" s="9"/>
      <c r="F26" s="507" t="s">
        <v>405</v>
      </c>
      <c r="G26" s="508"/>
      <c r="H26" s="508"/>
      <c r="I26" s="508"/>
      <c r="J26" s="508"/>
      <c r="K26" s="509"/>
      <c r="M26" s="9"/>
      <c r="N26" s="510" t="s">
        <v>406</v>
      </c>
      <c r="O26" s="510"/>
      <c r="P26" s="510"/>
      <c r="Q26" s="510"/>
      <c r="R26" s="510"/>
      <c r="S26" s="510"/>
      <c r="T26" s="9"/>
      <c r="U26" s="92"/>
      <c r="V26" s="117" t="s">
        <v>407</v>
      </c>
      <c r="Y26" s="9"/>
      <c r="Z26" s="9"/>
    </row>
    <row r="27" spans="2:27" ht="47.25" x14ac:dyDescent="0.25">
      <c r="B27" s="11"/>
      <c r="C27" s="11"/>
      <c r="E27" s="9"/>
      <c r="F27" s="10" t="str">
        <f>Summary!N4&amp;" Sales"</f>
        <v>2026 Sales</v>
      </c>
      <c r="G27" s="10" t="str">
        <f>MONTH(Summary!$N$3)&amp;"/"&amp;DAY(Summary!$N$3)&amp;"/"&amp;YEAR(Summary!$N$3)&amp;" Avg Rates"</f>
        <v>6/1/2026 Avg Rates</v>
      </c>
      <c r="H27" s="10" t="s">
        <v>408</v>
      </c>
      <c r="I27" s="10" t="s">
        <v>409</v>
      </c>
      <c r="J27" s="10" t="s">
        <v>410</v>
      </c>
      <c r="K27" s="10" t="s">
        <v>411</v>
      </c>
      <c r="M27" s="9"/>
      <c r="N27" s="10" t="str">
        <f>Summary!N4&amp;" Sales"</f>
        <v>2026 Sales</v>
      </c>
      <c r="O27" s="10" t="str">
        <f>G27</f>
        <v>6/1/2026 Avg Rates</v>
      </c>
      <c r="P27" s="10" t="s">
        <v>408</v>
      </c>
      <c r="Q27" s="10" t="s">
        <v>409</v>
      </c>
      <c r="R27" s="10" t="s">
        <v>410</v>
      </c>
      <c r="S27" s="10" t="s">
        <v>411</v>
      </c>
      <c r="U27" s="92"/>
      <c r="V27" s="281"/>
      <c r="W27" s="282" t="s">
        <v>412</v>
      </c>
      <c r="X27" s="282" t="s">
        <v>413</v>
      </c>
      <c r="Y27" s="281"/>
      <c r="Z27" s="282" t="s">
        <v>414</v>
      </c>
      <c r="AA27" s="282" t="s">
        <v>415</v>
      </c>
    </row>
    <row r="28" spans="2:27" ht="15.75" x14ac:dyDescent="0.25">
      <c r="B28" s="11"/>
      <c r="C28" s="11"/>
      <c r="E28" s="13" t="s">
        <v>475</v>
      </c>
      <c r="F28" s="72">
        <f>VLOOKUP(Summary!$D$3,'SAR and AR (GS1)'!$J$58:$K$63,2,TRUE)</f>
        <v>3841270.6316</v>
      </c>
      <c r="G28" s="146">
        <f>IF(Summary!$J$3="Y",W31,X31)</f>
        <v>29.876347407336496</v>
      </c>
      <c r="H28" s="137">
        <f>IF(Summary!$J$3="Y",S19/$F$28*100,SUM(S19-S22)/$F$28*100)</f>
        <v>29.323540602572113</v>
      </c>
      <c r="I28" s="137">
        <f>IF(Summary!$J$3="Y",T19/$F$28*100,SUM(T19-T22)/$F$28*100)</f>
        <v>29.328865240115171</v>
      </c>
      <c r="J28" s="147">
        <f>H28/G28-1</f>
        <v>-1.8503158944678577E-2</v>
      </c>
      <c r="K28" s="147">
        <f>I28/G28-1</f>
        <v>-1.8324936437406847E-2</v>
      </c>
      <c r="M28" s="13" t="s">
        <v>475</v>
      </c>
      <c r="N28" s="72">
        <f>VLOOKUP(Summary!$D$3,'SAR and AR (GS1)'!$N$58:$O$63,2,TRUE)</f>
        <v>5845430.9507900001</v>
      </c>
      <c r="O28" s="146">
        <f>IF(Summary!$J$3="Y",Z31,AA31)</f>
        <v>26.511841227663655</v>
      </c>
      <c r="P28" s="137">
        <f>IF(Summary!$J$3="Y",SUM(S10:T10)/N28*100,SUM(S10:T10,-O10)/N28*100)</f>
        <v>25.932737643160397</v>
      </c>
      <c r="Q28" s="137">
        <f>IF(Summary!$J$3="Y",SUM(S13:T13)/N28*100,SUM(S13:T13,-O13)/N28*100)</f>
        <v>25.938044331464479</v>
      </c>
      <c r="R28" s="147">
        <f>P28/O28-1</f>
        <v>-2.1843205061857218E-2</v>
      </c>
      <c r="S28" s="147">
        <f>Q28/O28-1</f>
        <v>-2.1643042113591582E-2</v>
      </c>
      <c r="U28" s="92"/>
      <c r="V28" s="283" t="s">
        <v>481</v>
      </c>
      <c r="W28" s="284">
        <v>29.944566051443232</v>
      </c>
      <c r="X28" s="284">
        <v>30.53542357629469</v>
      </c>
      <c r="Y28" s="280" t="s">
        <v>482</v>
      </c>
      <c r="Z28" s="284">
        <v>26.579949054382084</v>
      </c>
      <c r="AA28" s="284">
        <v>27.150548854511616</v>
      </c>
    </row>
    <row r="29" spans="2:27" ht="15.75" x14ac:dyDescent="0.25">
      <c r="B29" s="11"/>
      <c r="C29" s="11"/>
      <c r="D29" s="9"/>
      <c r="E29" s="13" t="s">
        <v>417</v>
      </c>
      <c r="F29" s="72">
        <f>VLOOKUP(Summary!$D$3,'SAR and AR (GS1)'!$J$64:$K$69,2,TRUE)</f>
        <v>51392312.0224078</v>
      </c>
      <c r="G29" s="146">
        <f>'SAR and RAR'!G29</f>
        <v>28.240685784565855</v>
      </c>
      <c r="H29" s="137">
        <f>IF(Summary!$J$3="Y",S20/$F$29*100,SUM(S20-S23)/$F$29*100)</f>
        <v>27.539809700558443</v>
      </c>
      <c r="I29" s="137">
        <f>IF(Summary!$J$3="Y",T20/$F$29*100,SUM(T20-T23)/$F$29*100)</f>
        <v>27.545183728433049</v>
      </c>
      <c r="J29" s="147">
        <f>H29/G29-1</f>
        <v>-2.4817955532455804E-2</v>
      </c>
      <c r="K29" s="147">
        <f>I29/G29-1</f>
        <v>-2.462766171609454E-2</v>
      </c>
      <c r="M29" s="13" t="s">
        <v>393</v>
      </c>
      <c r="N29" s="72">
        <f>VLOOKUP(Summary!$D$3,'SAR and AR (GS1)'!$N$64:$O$69,2,TRUE)</f>
        <v>80445312.022437811</v>
      </c>
      <c r="O29" s="146">
        <f>'SAR and RAR'!O29</f>
        <v>24.611669415409594</v>
      </c>
      <c r="P29" s="137">
        <f>IF(Summary!$J$3="Y",SUM(S11:T11)/N29*100,SUM(S11:T11,-O11)/N29*100)</f>
        <v>24.158366194079381</v>
      </c>
      <c r="Q29" s="137">
        <f>IF(Summary!$J$3="Y",SUM(S14:T14)/N29*100,SUM(S14:T14,-O14)/N29*100)</f>
        <v>24.163633126226799</v>
      </c>
      <c r="R29" s="147">
        <f>P29/O29-1</f>
        <v>-1.8418223228953146E-2</v>
      </c>
      <c r="S29" s="147">
        <f>Q29/O29-1</f>
        <v>-1.8204221811230603E-2</v>
      </c>
      <c r="U29" s="93"/>
      <c r="V29" s="414" t="s">
        <v>418</v>
      </c>
      <c r="W29" s="304"/>
      <c r="X29" s="304"/>
      <c r="Y29" s="304"/>
      <c r="Z29" s="304"/>
      <c r="AA29" s="305"/>
    </row>
    <row r="30" spans="2:27" ht="47.25" x14ac:dyDescent="0.25">
      <c r="B30" s="11"/>
      <c r="C30" s="11"/>
      <c r="E30" s="38" t="str">
        <f>M29</f>
        <v>Total System</v>
      </c>
      <c r="F30" s="188">
        <f>N29</f>
        <v>80445312.022437811</v>
      </c>
      <c r="P30" s="9"/>
      <c r="Q30" s="9"/>
      <c r="R30" s="113"/>
      <c r="S30" s="91"/>
      <c r="T30" s="113"/>
      <c r="U30" s="92"/>
      <c r="V30" s="281"/>
      <c r="W30" s="417" t="s">
        <v>523</v>
      </c>
      <c r="X30" s="417" t="s">
        <v>524</v>
      </c>
      <c r="Y30" s="284"/>
      <c r="Z30" s="417" t="s">
        <v>525</v>
      </c>
      <c r="AA30" s="417" t="s">
        <v>526</v>
      </c>
    </row>
    <row r="31" spans="2:27" ht="15.75" x14ac:dyDescent="0.25">
      <c r="F31" s="138"/>
      <c r="G31" s="146"/>
      <c r="H31" s="146"/>
      <c r="I31" s="146"/>
      <c r="J31" s="146"/>
      <c r="K31" s="146"/>
      <c r="L31" s="146"/>
      <c r="M31" s="146"/>
      <c r="N31" s="146"/>
      <c r="O31" s="146"/>
      <c r="P31" s="146"/>
      <c r="Q31" s="146"/>
      <c r="R31" s="146"/>
      <c r="S31" s="162"/>
      <c r="T31" s="147"/>
      <c r="U31" s="93"/>
      <c r="V31" s="283" t="s">
        <v>481</v>
      </c>
      <c r="W31" s="284">
        <v>29.876347407336496</v>
      </c>
      <c r="X31" s="284">
        <v>30.467204932187947</v>
      </c>
      <c r="Y31" s="280" t="s">
        <v>482</v>
      </c>
      <c r="Z31" s="284">
        <v>26.511841227663655</v>
      </c>
      <c r="AA31" s="284">
        <v>27.082441027793188</v>
      </c>
    </row>
    <row r="32" spans="2:27" ht="15.75" x14ac:dyDescent="0.25">
      <c r="E32" s="9"/>
      <c r="F32" s="138"/>
      <c r="G32" s="146"/>
      <c r="H32" s="146"/>
      <c r="I32" s="146"/>
      <c r="J32" s="146"/>
      <c r="K32" s="146"/>
      <c r="L32" s="146"/>
      <c r="M32" s="146"/>
      <c r="N32" s="146"/>
      <c r="O32" s="146"/>
      <c r="P32" s="146"/>
      <c r="Q32" s="146"/>
      <c r="R32" s="146"/>
      <c r="S32" s="162"/>
      <c r="T32" s="147"/>
      <c r="U32" s="93"/>
      <c r="V32" s="93"/>
      <c r="W32" s="92"/>
    </row>
    <row r="33" spans="2:24" ht="15.75" x14ac:dyDescent="0.25">
      <c r="B33" s="11"/>
      <c r="C33" s="11"/>
      <c r="D33" s="9"/>
      <c r="E33" s="33"/>
      <c r="F33" s="10"/>
      <c r="G33" s="306"/>
      <c r="H33" s="306"/>
      <c r="I33" s="306"/>
      <c r="J33" s="306"/>
      <c r="K33" s="306"/>
      <c r="L33" s="306"/>
      <c r="M33" s="306"/>
      <c r="N33" s="306"/>
      <c r="O33" s="306"/>
      <c r="P33" s="306"/>
      <c r="Q33" s="306"/>
      <c r="R33" s="306"/>
      <c r="S33" s="91"/>
      <c r="T33" s="113"/>
      <c r="U33" s="92"/>
      <c r="V33" s="93"/>
      <c r="W33" s="92"/>
    </row>
    <row r="34" spans="2:24" ht="15.75" x14ac:dyDescent="0.25">
      <c r="B34" s="11"/>
      <c r="C34" s="11"/>
      <c r="D34" s="9"/>
      <c r="E34" s="9"/>
      <c r="F34" s="14"/>
      <c r="G34" s="16"/>
      <c r="H34" s="307"/>
      <c r="I34" s="33"/>
      <c r="J34" s="33"/>
      <c r="K34" s="33"/>
      <c r="L34" s="9"/>
      <c r="M34" s="9"/>
      <c r="N34" s="9"/>
      <c r="O34" s="9"/>
      <c r="P34" s="9"/>
      <c r="Q34" s="9"/>
      <c r="R34" s="113"/>
      <c r="S34" s="91"/>
      <c r="T34" s="91"/>
      <c r="U34" s="90"/>
      <c r="V34" s="93"/>
      <c r="W34" s="92"/>
    </row>
    <row r="35" spans="2:24" ht="15.75" x14ac:dyDescent="0.25">
      <c r="B35" s="11"/>
      <c r="C35" s="11"/>
      <c r="D35" s="2"/>
      <c r="F35" s="14"/>
      <c r="G35" s="16">
        <v>2</v>
      </c>
      <c r="H35" s="16">
        <f>G35+1</f>
        <v>3</v>
      </c>
      <c r="I35" s="16">
        <f t="shared" ref="I35:P35" si="2">H35+1</f>
        <v>4</v>
      </c>
      <c r="J35" s="16">
        <f t="shared" si="2"/>
        <v>5</v>
      </c>
      <c r="K35" s="16">
        <f t="shared" si="2"/>
        <v>6</v>
      </c>
      <c r="L35" s="16">
        <f t="shared" si="2"/>
        <v>7</v>
      </c>
      <c r="M35" s="16">
        <f t="shared" si="2"/>
        <v>8</v>
      </c>
      <c r="N35" s="16">
        <f t="shared" si="2"/>
        <v>9</v>
      </c>
      <c r="O35" s="16">
        <f t="shared" si="2"/>
        <v>10</v>
      </c>
      <c r="P35" s="16">
        <f t="shared" si="2"/>
        <v>11</v>
      </c>
      <c r="Q35" s="16">
        <v>12</v>
      </c>
      <c r="R35" s="16">
        <v>13</v>
      </c>
      <c r="S35" s="91"/>
      <c r="T35" s="113"/>
      <c r="U35" s="92"/>
      <c r="V35" s="93"/>
      <c r="W35" s="93"/>
    </row>
    <row r="36" spans="2:24" ht="15.75" x14ac:dyDescent="0.25">
      <c r="B36" s="11"/>
      <c r="C36" s="11"/>
      <c r="F36" s="133" t="s">
        <v>483</v>
      </c>
      <c r="G36" s="10" t="s">
        <v>142</v>
      </c>
      <c r="H36" s="10" t="s">
        <v>147</v>
      </c>
      <c r="I36" s="10" t="s">
        <v>381</v>
      </c>
      <c r="J36" s="10" t="s">
        <v>382</v>
      </c>
      <c r="K36" s="10" t="s">
        <v>228</v>
      </c>
      <c r="L36" s="10" t="s">
        <v>383</v>
      </c>
      <c r="M36" s="10" t="s">
        <v>384</v>
      </c>
      <c r="N36" s="10" t="s">
        <v>287</v>
      </c>
      <c r="O36" s="10" t="s">
        <v>385</v>
      </c>
      <c r="P36" s="10" t="s">
        <v>386</v>
      </c>
      <c r="Q36" s="10" t="s">
        <v>296</v>
      </c>
      <c r="R36" s="10" t="s">
        <v>387</v>
      </c>
      <c r="S36" s="91"/>
      <c r="T36" s="91"/>
      <c r="U36" s="91"/>
      <c r="V36" s="93"/>
      <c r="W36" s="92"/>
    </row>
    <row r="37" spans="2:24" ht="15.75" x14ac:dyDescent="0.25">
      <c r="B37" s="11"/>
      <c r="C37" s="11"/>
      <c r="D37" s="103"/>
      <c r="F37" s="9">
        <v>2026</v>
      </c>
      <c r="G37" s="150">
        <v>8.2708586417863272E-2</v>
      </c>
      <c r="H37" s="150">
        <v>6.924310175536233E-2</v>
      </c>
      <c r="I37" s="150">
        <v>7.2663413241094474E-2</v>
      </c>
      <c r="J37" s="150">
        <v>7.073233698292572E-2</v>
      </c>
      <c r="K37" s="150">
        <v>6.8722896352149648E-2</v>
      </c>
      <c r="L37" s="150">
        <v>7.3065791147950268E-2</v>
      </c>
      <c r="M37" s="150">
        <v>7.2661431359380038E-2</v>
      </c>
      <c r="N37" s="150">
        <v>7.2595615571127411E-2</v>
      </c>
      <c r="O37" s="150">
        <v>7.5243862185687738E-2</v>
      </c>
      <c r="P37" s="150">
        <v>8.1023901392294956E-2</v>
      </c>
      <c r="Q37" s="150">
        <v>7.266341324109446E-2</v>
      </c>
      <c r="R37" s="150">
        <v>8.3368378070312263E-2</v>
      </c>
      <c r="S37" s="91"/>
      <c r="T37" s="113"/>
      <c r="U37" s="93"/>
      <c r="V37" s="92"/>
      <c r="W37" s="92"/>
    </row>
    <row r="38" spans="2:24" ht="15.75" x14ac:dyDescent="0.25">
      <c r="B38" s="11"/>
      <c r="C38" s="11"/>
      <c r="E38" s="9"/>
      <c r="F38" s="9">
        <v>2027</v>
      </c>
      <c r="G38" s="150">
        <v>8.1600428168912539E-2</v>
      </c>
      <c r="H38" s="150">
        <v>6.8368093229087906E-2</v>
      </c>
      <c r="I38" s="150">
        <v>7.1471058202819779E-2</v>
      </c>
      <c r="J38" s="150">
        <v>7.0405916191030218E-2</v>
      </c>
      <c r="K38" s="150">
        <v>6.8357905235044439E-2</v>
      </c>
      <c r="L38" s="150">
        <v>6.1818876323708916E-2</v>
      </c>
      <c r="M38" s="150">
        <v>7.1435244269795625E-2</v>
      </c>
      <c r="N38" s="150">
        <v>7.152868224497054E-2</v>
      </c>
      <c r="O38" s="150">
        <v>9.9266631607110398E-2</v>
      </c>
      <c r="P38" s="150">
        <v>7.9669143788457658E-2</v>
      </c>
      <c r="Q38" s="150">
        <v>7.1471057968106988E-2</v>
      </c>
      <c r="R38" s="150">
        <v>8.1957971488459166E-2</v>
      </c>
      <c r="S38" s="91"/>
      <c r="T38" s="113"/>
      <c r="U38" s="93"/>
      <c r="V38" s="93"/>
      <c r="W38" s="93"/>
    </row>
    <row r="39" spans="2:24" ht="15.75" x14ac:dyDescent="0.25">
      <c r="B39" s="11"/>
      <c r="C39" s="11"/>
      <c r="E39" s="9"/>
      <c r="F39" s="9">
        <v>2028</v>
      </c>
      <c r="G39" s="150">
        <v>8.4213372484478521E-2</v>
      </c>
      <c r="H39" s="150">
        <v>7.1689596066563818E-2</v>
      </c>
      <c r="I39" s="150">
        <v>7.5217352437816409E-2</v>
      </c>
      <c r="J39" s="150">
        <v>7.3897558899437193E-2</v>
      </c>
      <c r="K39" s="150">
        <v>7.1763993646875426E-2</v>
      </c>
      <c r="L39" s="150">
        <v>7.5482274047318346E-2</v>
      </c>
      <c r="M39" s="150">
        <v>7.5009101085360283E-2</v>
      </c>
      <c r="N39" s="150">
        <v>7.5254844720891528E-2</v>
      </c>
      <c r="O39" s="150">
        <v>8.3075627389458964E-2</v>
      </c>
      <c r="P39" s="150">
        <v>8.3919132278701486E-2</v>
      </c>
      <c r="Q39" s="150">
        <v>7.5217352193179488E-2</v>
      </c>
      <c r="R39" s="150">
        <v>8.6227609451798956E-2</v>
      </c>
      <c r="S39" s="91"/>
      <c r="T39" s="113"/>
      <c r="U39" s="93"/>
      <c r="V39" s="93"/>
      <c r="W39" s="92"/>
    </row>
    <row r="40" spans="2:24" ht="15.75" x14ac:dyDescent="0.25">
      <c r="B40" s="11"/>
      <c r="C40" s="11"/>
      <c r="E40" s="9"/>
      <c r="F40" s="9">
        <v>2029</v>
      </c>
      <c r="G40" s="150">
        <f>G39</f>
        <v>8.4213372484478521E-2</v>
      </c>
      <c r="H40" s="150">
        <f t="shared" ref="H40:R40" si="3">H39</f>
        <v>7.1689596066563818E-2</v>
      </c>
      <c r="I40" s="150">
        <f t="shared" si="3"/>
        <v>7.5217352437816409E-2</v>
      </c>
      <c r="J40" s="150">
        <f t="shared" si="3"/>
        <v>7.3897558899437193E-2</v>
      </c>
      <c r="K40" s="150">
        <f t="shared" si="3"/>
        <v>7.1763993646875426E-2</v>
      </c>
      <c r="L40" s="150">
        <f t="shared" si="3"/>
        <v>7.5482274047318346E-2</v>
      </c>
      <c r="M40" s="150">
        <f t="shared" si="3"/>
        <v>7.5009101085360283E-2</v>
      </c>
      <c r="N40" s="150">
        <f t="shared" si="3"/>
        <v>7.5254844720891528E-2</v>
      </c>
      <c r="O40" s="150">
        <f t="shared" si="3"/>
        <v>8.3075627389458964E-2</v>
      </c>
      <c r="P40" s="150">
        <f t="shared" si="3"/>
        <v>8.3919132278701486E-2</v>
      </c>
      <c r="Q40" s="150">
        <f t="shared" si="3"/>
        <v>7.5217352193179488E-2</v>
      </c>
      <c r="R40" s="150">
        <f t="shared" si="3"/>
        <v>8.6227609451798956E-2</v>
      </c>
      <c r="S40" s="91"/>
      <c r="T40" s="113"/>
      <c r="U40" s="93"/>
      <c r="V40" s="93"/>
      <c r="W40" s="92"/>
    </row>
    <row r="41" spans="2:24" ht="15.75" x14ac:dyDescent="0.25">
      <c r="B41" s="11"/>
      <c r="C41" s="11"/>
      <c r="E41" s="9"/>
      <c r="F41" s="9"/>
      <c r="G41" s="242"/>
      <c r="H41" s="242"/>
      <c r="I41" s="242"/>
      <c r="J41" s="242"/>
      <c r="K41" s="242"/>
      <c r="L41" s="242"/>
      <c r="M41" s="242"/>
      <c r="N41" s="242"/>
      <c r="O41" s="242"/>
      <c r="P41" s="242"/>
      <c r="Q41" s="242"/>
      <c r="R41" s="242"/>
      <c r="S41" s="91"/>
      <c r="T41" s="113"/>
      <c r="U41" s="93"/>
      <c r="V41" s="93"/>
      <c r="W41" s="92"/>
    </row>
    <row r="42" spans="2:24" ht="15.75" x14ac:dyDescent="0.25">
      <c r="B42" s="11"/>
      <c r="C42" s="11"/>
      <c r="D42" s="9"/>
      <c r="F42" s="9"/>
      <c r="G42" s="242"/>
      <c r="H42" s="242"/>
      <c r="I42" s="242"/>
      <c r="J42" s="242"/>
      <c r="K42" s="242"/>
      <c r="L42" s="242"/>
      <c r="M42" s="242"/>
      <c r="N42" s="242"/>
      <c r="O42" s="242"/>
      <c r="P42" s="242"/>
      <c r="Q42" s="242"/>
      <c r="R42" s="242"/>
      <c r="S42" s="91"/>
      <c r="T42" s="113"/>
      <c r="U42" s="93"/>
      <c r="V42" s="92"/>
      <c r="W42" s="92"/>
    </row>
    <row r="43" spans="2:24" ht="15.75" x14ac:dyDescent="0.25">
      <c r="B43" s="11"/>
      <c r="C43" s="11"/>
      <c r="D43" s="9"/>
      <c r="F43" s="133" t="s">
        <v>400</v>
      </c>
      <c r="G43" s="148"/>
      <c r="H43" s="148"/>
      <c r="I43" s="148"/>
      <c r="J43" s="148"/>
      <c r="K43" s="148"/>
      <c r="L43" s="148"/>
      <c r="M43" s="148"/>
      <c r="N43" s="148"/>
      <c r="O43" s="148"/>
      <c r="P43" s="148"/>
      <c r="Q43" s="148"/>
      <c r="R43" s="148"/>
      <c r="S43" s="91"/>
      <c r="T43" s="113"/>
      <c r="U43" s="93"/>
      <c r="V43" s="90"/>
      <c r="W43" s="90"/>
    </row>
    <row r="44" spans="2:24" ht="15.75" x14ac:dyDescent="0.25">
      <c r="B44" s="11"/>
      <c r="C44" s="11"/>
      <c r="E44" s="13" t="s">
        <v>475</v>
      </c>
      <c r="F44" s="9">
        <f>F37</f>
        <v>2026</v>
      </c>
      <c r="G44" s="151">
        <v>0.93332787929053829</v>
      </c>
      <c r="H44" s="151">
        <v>0.65936340757050238</v>
      </c>
      <c r="I44" s="151">
        <v>0.65714070766497867</v>
      </c>
      <c r="J44" s="151">
        <v>0.65714070766497867</v>
      </c>
      <c r="K44" s="151">
        <v>0.65714070766497867</v>
      </c>
      <c r="L44" s="151">
        <v>0.65714070766497867</v>
      </c>
      <c r="M44" s="151">
        <v>0.65714070766497878</v>
      </c>
      <c r="N44" s="151">
        <v>0.65714070766497867</v>
      </c>
      <c r="O44" s="151">
        <v>0.68047085176321509</v>
      </c>
      <c r="P44" s="151">
        <v>0.65714070766497878</v>
      </c>
      <c r="Q44" s="151">
        <v>0.65714070766497878</v>
      </c>
      <c r="R44" s="151">
        <v>0.65714070766497867</v>
      </c>
      <c r="S44" s="243"/>
      <c r="T44" s="243"/>
      <c r="U44" s="170">
        <f>G44</f>
        <v>0.93332787929053829</v>
      </c>
      <c r="V44" s="189"/>
      <c r="W44" s="243"/>
      <c r="X44" s="170"/>
    </row>
    <row r="45" spans="2:24" ht="15.75" x14ac:dyDescent="0.25">
      <c r="B45" s="11"/>
      <c r="C45" s="11"/>
      <c r="E45" s="13" t="s">
        <v>475</v>
      </c>
      <c r="F45" s="9">
        <f t="shared" ref="F45:F47" si="4">F38</f>
        <v>2027</v>
      </c>
      <c r="G45" s="151">
        <v>0.97709589788353135</v>
      </c>
      <c r="H45" s="151">
        <v>0.65156017569665381</v>
      </c>
      <c r="I45" s="151">
        <v>0.64858780381943992</v>
      </c>
      <c r="J45" s="151">
        <v>0.64858780676525718</v>
      </c>
      <c r="K45" s="151">
        <v>0.64858780692762508</v>
      </c>
      <c r="L45" s="151">
        <v>0.64858780674608318</v>
      </c>
      <c r="M45" s="151">
        <v>0.64858780682171446</v>
      </c>
      <c r="N45" s="151">
        <v>0.64858780716989783</v>
      </c>
      <c r="O45" s="151">
        <v>0.6813528589612462</v>
      </c>
      <c r="P45" s="151">
        <v>0.64858780686413586</v>
      </c>
      <c r="Q45" s="151">
        <v>0.64858780644887937</v>
      </c>
      <c r="R45" s="151">
        <v>0.64858780685936568</v>
      </c>
      <c r="S45" s="243"/>
      <c r="T45" s="243">
        <f>K59/K58-1</f>
        <v>-2.5944808394587238E-2</v>
      </c>
      <c r="U45" s="170">
        <f t="shared" ref="U45:U54" si="5">G45</f>
        <v>0.97709589788353135</v>
      </c>
      <c r="V45" s="189"/>
      <c r="W45" s="243"/>
      <c r="X45" s="170"/>
    </row>
    <row r="46" spans="2:24" ht="15.75" x14ac:dyDescent="0.25">
      <c r="B46" s="11"/>
      <c r="C46" s="11"/>
      <c r="E46" s="13" t="s">
        <v>475</v>
      </c>
      <c r="F46" s="9">
        <f t="shared" si="4"/>
        <v>2028</v>
      </c>
      <c r="G46" s="151">
        <v>0.97709589788353135</v>
      </c>
      <c r="H46" s="151">
        <v>0.65156017569665381</v>
      </c>
      <c r="I46" s="151">
        <v>0.64858780381943992</v>
      </c>
      <c r="J46" s="151">
        <v>0.64858780676525718</v>
      </c>
      <c r="K46" s="151">
        <v>0.64858780692762508</v>
      </c>
      <c r="L46" s="151">
        <v>0.64858780674608318</v>
      </c>
      <c r="M46" s="151">
        <v>0.64858780682171446</v>
      </c>
      <c r="N46" s="151">
        <v>0.64858780716989795</v>
      </c>
      <c r="O46" s="151">
        <v>0.6813528589612462</v>
      </c>
      <c r="P46" s="151">
        <v>0.64858780686413586</v>
      </c>
      <c r="Q46" s="151">
        <v>0.64858780644887926</v>
      </c>
      <c r="R46" s="151">
        <v>0.64858780685936568</v>
      </c>
      <c r="S46" s="243"/>
      <c r="T46" s="243">
        <f>K60/K59-1</f>
        <v>6.8570731522031414E-2</v>
      </c>
      <c r="U46" s="170">
        <f t="shared" si="5"/>
        <v>0.97709589788353135</v>
      </c>
      <c r="V46" s="189"/>
      <c r="W46" s="243"/>
      <c r="X46" s="170"/>
    </row>
    <row r="47" spans="2:24" ht="15.75" x14ac:dyDescent="0.25">
      <c r="B47" s="11"/>
      <c r="C47" s="11"/>
      <c r="E47" s="13" t="s">
        <v>475</v>
      </c>
      <c r="F47" s="9">
        <f t="shared" si="4"/>
        <v>2029</v>
      </c>
      <c r="G47" s="151">
        <f>G46</f>
        <v>0.97709589788353135</v>
      </c>
      <c r="H47" s="151">
        <f t="shared" ref="H47" si="6">H46</f>
        <v>0.65156017569665381</v>
      </c>
      <c r="I47" s="151">
        <f t="shared" ref="I47" si="7">I46</f>
        <v>0.64858780381943992</v>
      </c>
      <c r="J47" s="151">
        <f t="shared" ref="J47" si="8">J46</f>
        <v>0.64858780676525718</v>
      </c>
      <c r="K47" s="151">
        <f t="shared" ref="K47" si="9">K46</f>
        <v>0.64858780692762508</v>
      </c>
      <c r="L47" s="151">
        <f t="shared" ref="L47" si="10">L46</f>
        <v>0.64858780674608318</v>
      </c>
      <c r="M47" s="151">
        <f t="shared" ref="M47" si="11">M46</f>
        <v>0.64858780682171446</v>
      </c>
      <c r="N47" s="151">
        <f t="shared" ref="N47" si="12">N46</f>
        <v>0.64858780716989795</v>
      </c>
      <c r="O47" s="151">
        <f t="shared" ref="O47" si="13">O46</f>
        <v>0.6813528589612462</v>
      </c>
      <c r="P47" s="151">
        <f t="shared" ref="P47" si="14">P46</f>
        <v>0.64858780686413586</v>
      </c>
      <c r="Q47" s="151">
        <f t="shared" ref="Q47" si="15">Q46</f>
        <v>0.64858780644887926</v>
      </c>
      <c r="R47" s="151">
        <f t="shared" ref="R47" si="16">R46</f>
        <v>0.64858780685936568</v>
      </c>
      <c r="S47" s="243"/>
      <c r="T47" s="243">
        <f>K61/K60-1</f>
        <v>0</v>
      </c>
      <c r="U47" s="170">
        <f t="shared" si="5"/>
        <v>0.97709589788353135</v>
      </c>
      <c r="V47" s="189"/>
      <c r="W47" s="243"/>
      <c r="X47" s="170"/>
    </row>
    <row r="48" spans="2:24" ht="15.75" x14ac:dyDescent="0.25">
      <c r="B48" s="11"/>
      <c r="C48" s="11"/>
      <c r="E48" s="13"/>
      <c r="F48" s="9"/>
      <c r="G48" s="189"/>
      <c r="H48" s="189"/>
      <c r="I48" s="189"/>
      <c r="J48" s="189"/>
      <c r="K48" s="189"/>
      <c r="L48" s="189"/>
      <c r="M48" s="189"/>
      <c r="N48" s="189"/>
      <c r="O48" s="189"/>
      <c r="P48" s="189"/>
      <c r="Q48" s="189"/>
      <c r="R48" s="189"/>
      <c r="S48" s="243"/>
      <c r="T48" s="243">
        <f>K61/K61-1</f>
        <v>0</v>
      </c>
      <c r="U48" s="170">
        <f t="shared" si="5"/>
        <v>0</v>
      </c>
      <c r="V48" s="189"/>
      <c r="W48" s="243"/>
      <c r="X48" s="170"/>
    </row>
    <row r="49" spans="2:25" ht="15.75" x14ac:dyDescent="0.25">
      <c r="B49" s="11"/>
      <c r="C49" s="11"/>
      <c r="E49" s="13"/>
      <c r="F49" s="415"/>
      <c r="G49" s="189"/>
      <c r="H49" s="189"/>
      <c r="I49" s="189"/>
      <c r="J49" s="189"/>
      <c r="K49" s="189"/>
      <c r="L49" s="189"/>
      <c r="M49" s="189"/>
      <c r="N49" s="189"/>
      <c r="O49" s="189"/>
      <c r="P49" s="189"/>
      <c r="Q49" s="189"/>
      <c r="R49" s="189"/>
      <c r="S49" s="243"/>
      <c r="T49" s="243"/>
      <c r="U49" s="170"/>
      <c r="V49" s="189"/>
      <c r="W49" s="243"/>
      <c r="X49" s="170"/>
    </row>
    <row r="50" spans="2:25" ht="15.75" x14ac:dyDescent="0.25">
      <c r="B50" s="11"/>
      <c r="C50" s="11"/>
      <c r="E50" s="13" t="s">
        <v>393</v>
      </c>
      <c r="F50" s="9">
        <f>F37</f>
        <v>2026</v>
      </c>
      <c r="G50" s="151">
        <v>0.92577705930122733</v>
      </c>
      <c r="H50" s="151">
        <v>0.6582513662307431</v>
      </c>
      <c r="I50" s="151">
        <v>0.63884781761044163</v>
      </c>
      <c r="J50" s="151">
        <v>0.64896038306051473</v>
      </c>
      <c r="K50" s="151">
        <v>0.65202373338515018</v>
      </c>
      <c r="L50" s="151">
        <v>0.64852684011010642</v>
      </c>
      <c r="M50" s="151">
        <v>0.6706488897125521</v>
      </c>
      <c r="N50" s="151">
        <v>0.63598061936817685</v>
      </c>
      <c r="O50" s="151">
        <v>0.68066315360358887</v>
      </c>
      <c r="P50" s="151">
        <v>0.62517281715196638</v>
      </c>
      <c r="Q50" s="151">
        <v>0.63884781761044174</v>
      </c>
      <c r="R50" s="151">
        <v>0.63537665490889106</v>
      </c>
      <c r="S50" s="244"/>
      <c r="T50" s="243"/>
      <c r="U50" s="170">
        <f t="shared" si="5"/>
        <v>0.92577705930122733</v>
      </c>
      <c r="V50" s="189"/>
      <c r="W50" s="245"/>
      <c r="X50" s="170"/>
      <c r="Y50" s="172"/>
    </row>
    <row r="51" spans="2:25" ht="15.75" x14ac:dyDescent="0.25">
      <c r="B51" s="11"/>
      <c r="C51" s="11"/>
      <c r="D51" s="9"/>
      <c r="E51" s="13" t="s">
        <v>393</v>
      </c>
      <c r="F51" s="9">
        <f t="shared" ref="F51:F53" si="17">F38</f>
        <v>2027</v>
      </c>
      <c r="G51" s="151">
        <v>0.97318373941657321</v>
      </c>
      <c r="H51" s="151">
        <v>0.65290027437052556</v>
      </c>
      <c r="I51" s="151">
        <v>0.63319820077512556</v>
      </c>
      <c r="J51" s="151">
        <v>0.64497653264713228</v>
      </c>
      <c r="K51" s="151">
        <v>0.64659701342611164</v>
      </c>
      <c r="L51" s="151">
        <v>0.64357687499864979</v>
      </c>
      <c r="M51" s="151">
        <v>0.66638398737601534</v>
      </c>
      <c r="N51" s="151">
        <v>0.63589747311297717</v>
      </c>
      <c r="O51" s="151">
        <v>0.68735823297454723</v>
      </c>
      <c r="P51" s="151">
        <v>0.61852856591178962</v>
      </c>
      <c r="Q51" s="151">
        <v>0.63319820125311532</v>
      </c>
      <c r="R51" s="151">
        <v>0.62939368804486495</v>
      </c>
      <c r="S51" s="244"/>
      <c r="T51" s="243">
        <f>K65/K64-1</f>
        <v>-1.5018135897508889E-2</v>
      </c>
      <c r="U51" s="170">
        <f t="shared" si="5"/>
        <v>0.97318373941657321</v>
      </c>
      <c r="V51" s="189"/>
      <c r="W51" s="245"/>
      <c r="X51" s="170"/>
    </row>
    <row r="52" spans="2:25" ht="15.75" x14ac:dyDescent="0.25">
      <c r="B52" s="11"/>
      <c r="C52" s="11"/>
      <c r="D52" s="9"/>
      <c r="E52" s="13" t="s">
        <v>393</v>
      </c>
      <c r="F52" s="9">
        <f t="shared" si="17"/>
        <v>2028</v>
      </c>
      <c r="G52" s="151">
        <v>0.97234879413624797</v>
      </c>
      <c r="H52" s="151">
        <v>0.64458553973125843</v>
      </c>
      <c r="I52" s="151">
        <v>0.54756644529948317</v>
      </c>
      <c r="J52" s="151">
        <v>0.65571272310226847</v>
      </c>
      <c r="K52" s="151">
        <v>0.68955256274931764</v>
      </c>
      <c r="L52" s="151">
        <v>0.66181534148231114</v>
      </c>
      <c r="M52" s="151">
        <v>0.65832176878458704</v>
      </c>
      <c r="N52" s="151">
        <v>0.66203182534609639</v>
      </c>
      <c r="O52" s="151">
        <v>0.68737800740370969</v>
      </c>
      <c r="P52" s="151">
        <v>0.61553722069447003</v>
      </c>
      <c r="Q52" s="151">
        <v>0.61985711974478108</v>
      </c>
      <c r="R52" s="151">
        <v>0.58099290246924951</v>
      </c>
      <c r="S52" s="244"/>
      <c r="T52" s="243">
        <f t="shared" ref="T52:T53" si="18">K66/K65-1</f>
        <v>6.8570731522031192E-2</v>
      </c>
      <c r="U52" s="170">
        <f t="shared" si="5"/>
        <v>0.97234879413624797</v>
      </c>
      <c r="V52" s="189"/>
      <c r="W52" s="245"/>
      <c r="X52" s="170"/>
    </row>
    <row r="53" spans="2:25" ht="15.75" x14ac:dyDescent="0.25">
      <c r="B53" s="11"/>
      <c r="C53" s="11"/>
      <c r="D53" s="9"/>
      <c r="E53" s="13" t="s">
        <v>393</v>
      </c>
      <c r="F53" s="9">
        <f t="shared" si="17"/>
        <v>2029</v>
      </c>
      <c r="G53" s="151">
        <f>G52</f>
        <v>0.97234879413624797</v>
      </c>
      <c r="H53" s="151">
        <f t="shared" ref="H53" si="19">H52</f>
        <v>0.64458553973125843</v>
      </c>
      <c r="I53" s="151">
        <f t="shared" ref="I53" si="20">I52</f>
        <v>0.54756644529948317</v>
      </c>
      <c r="J53" s="151">
        <f t="shared" ref="J53" si="21">J52</f>
        <v>0.65571272310226847</v>
      </c>
      <c r="K53" s="151">
        <f t="shared" ref="K53" si="22">K52</f>
        <v>0.68955256274931764</v>
      </c>
      <c r="L53" s="151">
        <f t="shared" ref="L53" si="23">L52</f>
        <v>0.66181534148231114</v>
      </c>
      <c r="M53" s="151">
        <f t="shared" ref="M53" si="24">M52</f>
        <v>0.65832176878458704</v>
      </c>
      <c r="N53" s="151">
        <f t="shared" ref="N53" si="25">N52</f>
        <v>0.66203182534609639</v>
      </c>
      <c r="O53" s="151">
        <f t="shared" ref="O53" si="26">O52</f>
        <v>0.68737800740370969</v>
      </c>
      <c r="P53" s="151">
        <f t="shared" ref="P53" si="27">P52</f>
        <v>0.61553722069447003</v>
      </c>
      <c r="Q53" s="151">
        <f t="shared" ref="Q53" si="28">Q52</f>
        <v>0.61985711974478108</v>
      </c>
      <c r="R53" s="151">
        <f t="shared" ref="R53" si="29">R52</f>
        <v>0.58099290246924951</v>
      </c>
      <c r="S53" s="244"/>
      <c r="T53" s="243">
        <f t="shared" si="18"/>
        <v>0</v>
      </c>
      <c r="U53" s="170">
        <f t="shared" si="5"/>
        <v>0.97234879413624797</v>
      </c>
      <c r="V53" s="189"/>
      <c r="W53" s="245"/>
      <c r="X53" s="170"/>
    </row>
    <row r="54" spans="2:25" ht="15.75" x14ac:dyDescent="0.25">
      <c r="B54" s="11"/>
      <c r="C54" s="11"/>
      <c r="D54" s="9"/>
      <c r="E54" s="13"/>
      <c r="F54" s="9"/>
      <c r="G54" s="189"/>
      <c r="H54" s="189"/>
      <c r="I54" s="189"/>
      <c r="J54" s="189"/>
      <c r="K54" s="189"/>
      <c r="L54" s="189"/>
      <c r="M54" s="189"/>
      <c r="N54" s="189"/>
      <c r="O54" s="189"/>
      <c r="P54" s="189"/>
      <c r="Q54" s="189"/>
      <c r="R54" s="189"/>
      <c r="S54" s="244"/>
      <c r="T54" s="243">
        <f>K67/K67-1</f>
        <v>0</v>
      </c>
      <c r="U54" s="170">
        <f t="shared" si="5"/>
        <v>0</v>
      </c>
      <c r="V54" s="189"/>
      <c r="W54" s="245"/>
      <c r="X54" s="170"/>
    </row>
    <row r="55" spans="2:25" ht="15.75" x14ac:dyDescent="0.25">
      <c r="B55" s="11"/>
      <c r="C55" s="11"/>
      <c r="D55" s="9"/>
      <c r="E55" s="13"/>
      <c r="F55" s="415"/>
      <c r="G55" s="189"/>
      <c r="H55" s="189"/>
      <c r="I55" s="189"/>
      <c r="J55" s="189"/>
      <c r="K55" s="189"/>
      <c r="L55" s="189"/>
      <c r="M55" s="189"/>
      <c r="N55" s="189"/>
      <c r="O55" s="189"/>
      <c r="P55" s="189"/>
      <c r="Q55" s="189"/>
      <c r="R55" s="189"/>
      <c r="S55" s="244"/>
      <c r="T55" s="243"/>
      <c r="U55" s="170"/>
      <c r="V55" s="189"/>
      <c r="W55" s="245"/>
      <c r="X55" s="170"/>
    </row>
    <row r="56" spans="2:25" ht="15.75" x14ac:dyDescent="0.25">
      <c r="B56" s="11"/>
      <c r="C56" s="11"/>
      <c r="R56" s="113"/>
    </row>
    <row r="57" spans="2:25" ht="15.75" x14ac:dyDescent="0.25">
      <c r="B57" s="9"/>
      <c r="C57" s="9"/>
      <c r="E57" s="9"/>
      <c r="F57" s="133" t="s">
        <v>420</v>
      </c>
      <c r="G57" s="33"/>
      <c r="H57" s="33"/>
      <c r="I57" s="9"/>
      <c r="J57" s="133" t="s">
        <v>421</v>
      </c>
      <c r="K57" s="33"/>
      <c r="L57" s="33" t="s">
        <v>422</v>
      </c>
      <c r="M57" s="9"/>
      <c r="N57" s="133" t="s">
        <v>420</v>
      </c>
      <c r="O57" s="72"/>
      <c r="P57" s="9"/>
      <c r="Q57" s="9"/>
    </row>
    <row r="58" spans="2:25" ht="15.75" x14ac:dyDescent="0.25">
      <c r="B58" s="9"/>
      <c r="C58" s="9"/>
      <c r="E58" s="13" t="s">
        <v>475</v>
      </c>
      <c r="F58" s="9">
        <f>'SAR and RAR'!F58</f>
        <v>2026</v>
      </c>
      <c r="G58" s="381"/>
      <c r="I58" s="13" t="s">
        <v>475</v>
      </c>
      <c r="J58" s="9">
        <f>'SAR and RAR'!J58</f>
        <v>2026</v>
      </c>
      <c r="K58" s="386">
        <v>3841270.6316</v>
      </c>
      <c r="L58" s="246">
        <f t="shared" ref="L58:L67" si="30">K58/O58</f>
        <v>0.65714070766345445</v>
      </c>
      <c r="M58" s="13" t="s">
        <v>475</v>
      </c>
      <c r="N58" s="9">
        <f>'SAR and RAR'!N58</f>
        <v>2026</v>
      </c>
      <c r="O58" s="386">
        <v>5845430.9507900001</v>
      </c>
      <c r="P58" s="163">
        <f>O58/O64</f>
        <v>7.2663413241030039E-2</v>
      </c>
      <c r="Q58" s="163"/>
      <c r="R58" s="247"/>
      <c r="S58" s="91"/>
      <c r="T58" s="113"/>
      <c r="U58" s="93"/>
      <c r="V58" s="93"/>
      <c r="W58" s="92"/>
    </row>
    <row r="59" spans="2:25" ht="15.75" x14ac:dyDescent="0.25">
      <c r="B59" s="9"/>
      <c r="C59" s="9"/>
      <c r="E59" s="13" t="s">
        <v>475</v>
      </c>
      <c r="F59" s="9">
        <f>'SAR and RAR'!F59</f>
        <v>2027</v>
      </c>
      <c r="G59" s="381"/>
      <c r="I59" s="13" t="s">
        <v>475</v>
      </c>
      <c r="J59" s="9">
        <f>'SAR and RAR'!J59</f>
        <v>2027</v>
      </c>
      <c r="K59" s="386">
        <v>3741609.6010713829</v>
      </c>
      <c r="L59" s="246">
        <f t="shared" si="30"/>
        <v>0.64858780681230666</v>
      </c>
      <c r="M59" s="13" t="s">
        <v>475</v>
      </c>
      <c r="N59" s="9">
        <f>'SAR and RAR'!N59</f>
        <v>2027</v>
      </c>
      <c r="O59" s="386">
        <v>5768855.9078233782</v>
      </c>
      <c r="P59" s="163">
        <f t="shared" ref="P59:P61" si="31">O59/O65</f>
        <v>7.2161071575146132E-2</v>
      </c>
      <c r="Q59" s="163"/>
      <c r="R59" s="113"/>
      <c r="S59" s="91"/>
      <c r="T59" s="91"/>
      <c r="U59" s="90"/>
      <c r="V59" s="90"/>
      <c r="W59" s="90"/>
    </row>
    <row r="60" spans="2:25" ht="15.75" x14ac:dyDescent="0.25">
      <c r="B60" s="9"/>
      <c r="C60" s="9"/>
      <c r="E60" s="13" t="s">
        <v>475</v>
      </c>
      <c r="F60" s="9">
        <f>'SAR and RAR'!F60</f>
        <v>2028</v>
      </c>
      <c r="G60" s="381"/>
      <c r="H60" s="395"/>
      <c r="I60" s="13" t="s">
        <v>475</v>
      </c>
      <c r="J60" s="9">
        <f>'SAR and RAR'!J60</f>
        <v>2028</v>
      </c>
      <c r="K60" s="381">
        <f>($K$59/$O$59)*O60</f>
        <v>3998174.508486704</v>
      </c>
      <c r="L60" s="246">
        <f t="shared" si="30"/>
        <v>0.64858780681230666</v>
      </c>
      <c r="M60" s="13" t="s">
        <v>475</v>
      </c>
      <c r="N60" s="9">
        <f>'SAR and RAR'!N60</f>
        <v>2028</v>
      </c>
      <c r="O60" s="381">
        <f>($O$59/$O$65)*O66</f>
        <v>6164430.5774680199</v>
      </c>
      <c r="P60" s="163">
        <f t="shared" si="31"/>
        <v>7.2161071575146132E-2</v>
      </c>
      <c r="R60" s="113"/>
      <c r="S60" s="91"/>
      <c r="T60" s="113"/>
      <c r="U60" s="92"/>
      <c r="V60" s="93"/>
      <c r="W60" s="92"/>
    </row>
    <row r="61" spans="2:25" ht="15.75" x14ac:dyDescent="0.25">
      <c r="B61" s="9"/>
      <c r="C61" s="9"/>
      <c r="E61" s="13" t="s">
        <v>475</v>
      </c>
      <c r="F61" s="9">
        <f>'SAR and RAR'!F61</f>
        <v>2029</v>
      </c>
      <c r="G61" s="381"/>
      <c r="I61" s="13" t="s">
        <v>475</v>
      </c>
      <c r="J61" s="9">
        <f>'SAR and RAR'!J61</f>
        <v>2029</v>
      </c>
      <c r="K61" s="381">
        <f>($K$59/$O$59)*O61</f>
        <v>3998174.5084867044</v>
      </c>
      <c r="L61" s="246">
        <f t="shared" si="30"/>
        <v>0.64858780681230666</v>
      </c>
      <c r="M61" s="13" t="s">
        <v>475</v>
      </c>
      <c r="N61" s="9">
        <f>'SAR and RAR'!N61</f>
        <v>2029</v>
      </c>
      <c r="O61" s="381">
        <f>($O$59/$O$65)*O67</f>
        <v>6164430.5774680208</v>
      </c>
      <c r="P61" s="163">
        <f t="shared" si="31"/>
        <v>7.2161071575146132E-2</v>
      </c>
      <c r="Q61" s="163"/>
      <c r="R61" s="113"/>
      <c r="S61" s="91"/>
      <c r="T61" s="113"/>
      <c r="U61" s="92"/>
      <c r="V61" s="93"/>
      <c r="W61" s="92"/>
    </row>
    <row r="62" spans="2:25" ht="15.75" x14ac:dyDescent="0.25">
      <c r="B62" s="9"/>
      <c r="C62" s="9"/>
      <c r="E62" s="13"/>
      <c r="F62" s="9"/>
      <c r="G62" s="381"/>
      <c r="I62" s="13"/>
      <c r="J62" s="9"/>
      <c r="K62" s="381"/>
      <c r="L62" s="246"/>
      <c r="M62" s="13"/>
      <c r="N62" s="9"/>
      <c r="O62" s="381"/>
      <c r="P62" s="163"/>
      <c r="R62" s="113"/>
      <c r="S62" s="91"/>
      <c r="T62" s="113"/>
      <c r="U62" s="92"/>
      <c r="V62" s="93"/>
      <c r="W62" s="92"/>
    </row>
    <row r="63" spans="2:25" ht="15.75" x14ac:dyDescent="0.25">
      <c r="B63" s="9"/>
      <c r="C63" s="9"/>
      <c r="E63" s="13" t="s">
        <v>475</v>
      </c>
      <c r="F63" s="374"/>
      <c r="G63" s="382"/>
      <c r="H63" s="54"/>
      <c r="I63" s="373" t="s">
        <v>475</v>
      </c>
      <c r="J63" s="374"/>
      <c r="K63" s="382"/>
      <c r="L63" s="375"/>
      <c r="M63" s="373" t="s">
        <v>475</v>
      </c>
      <c r="N63" s="374"/>
      <c r="O63" s="382"/>
      <c r="P63" s="163"/>
      <c r="Q63" s="163"/>
      <c r="R63" s="113"/>
      <c r="S63" s="91"/>
      <c r="T63" s="113"/>
      <c r="U63" s="92"/>
      <c r="V63" s="93"/>
      <c r="W63" s="92"/>
    </row>
    <row r="64" spans="2:25" ht="15.75" x14ac:dyDescent="0.25">
      <c r="B64" s="11"/>
      <c r="C64" s="11"/>
      <c r="D64" s="9"/>
      <c r="E64" s="13" t="s">
        <v>425</v>
      </c>
      <c r="F64" s="9">
        <f>'SAR and RAR'!F64</f>
        <v>2026</v>
      </c>
      <c r="G64" s="381">
        <f>'SAR and RAR'!G64</f>
        <v>71720228.921294004</v>
      </c>
      <c r="I64" s="13" t="s">
        <v>393</v>
      </c>
      <c r="J64" s="9">
        <f>'SAR and RAR'!J64</f>
        <v>2026</v>
      </c>
      <c r="K64" s="381">
        <f>'SAR and RAR'!K64</f>
        <v>51392312.0224078</v>
      </c>
      <c r="L64" s="246">
        <f t="shared" si="30"/>
        <v>0.63884781760897957</v>
      </c>
      <c r="M64" s="13" t="s">
        <v>393</v>
      </c>
      <c r="N64" s="9">
        <f>'SAR and RAR'!N64</f>
        <v>2026</v>
      </c>
      <c r="O64" s="381">
        <f>'SAR and RAR'!O64</f>
        <v>80445312.022437811</v>
      </c>
      <c r="P64" s="9"/>
      <c r="Q64" s="9"/>
      <c r="S64" s="506"/>
      <c r="T64" s="506"/>
      <c r="U64" s="91"/>
      <c r="V64" s="90"/>
      <c r="W64" s="90"/>
    </row>
    <row r="65" spans="2:23" ht="15.75" x14ac:dyDescent="0.25">
      <c r="B65" s="11"/>
      <c r="C65" s="11"/>
      <c r="D65" s="9"/>
      <c r="E65" s="13" t="s">
        <v>425</v>
      </c>
      <c r="F65" s="9">
        <f>'SAR and RAR'!F65</f>
        <v>2027</v>
      </c>
      <c r="G65" s="381">
        <f>'SAR and RAR'!G65</f>
        <v>71165570.999230713</v>
      </c>
      <c r="I65" s="13" t="s">
        <v>393</v>
      </c>
      <c r="J65" s="9">
        <f>'SAR and RAR'!J65</f>
        <v>2027</v>
      </c>
      <c r="K65" s="381">
        <f>'SAR and RAR'!K65</f>
        <v>50620495.2963681</v>
      </c>
      <c r="L65" s="246">
        <f t="shared" si="30"/>
        <v>0.63319820127537196</v>
      </c>
      <c r="M65" s="13" t="s">
        <v>393</v>
      </c>
      <c r="N65" s="9">
        <f>'SAR and RAR'!N65</f>
        <v>2027</v>
      </c>
      <c r="O65" s="381">
        <f>'SAR and RAR'!O65</f>
        <v>79944155.233558089</v>
      </c>
      <c r="P65" s="9"/>
      <c r="Q65" s="9"/>
      <c r="R65" s="113"/>
      <c r="S65" s="91"/>
      <c r="T65" s="113"/>
      <c r="U65" s="93"/>
      <c r="V65" s="92"/>
      <c r="W65" s="92"/>
    </row>
    <row r="66" spans="2:23" ht="15.75" x14ac:dyDescent="0.25">
      <c r="B66" s="9"/>
      <c r="C66" s="9"/>
      <c r="D66" s="9"/>
      <c r="E66" s="13" t="s">
        <v>425</v>
      </c>
      <c r="F66" s="9">
        <f>'SAR and RAR'!F66</f>
        <v>2028</v>
      </c>
      <c r="G66" s="381">
        <f>'SAR and RAR'!G66</f>
        <v>76045446.261831015</v>
      </c>
      <c r="I66" s="13" t="s">
        <v>393</v>
      </c>
      <c r="J66" s="9">
        <f>'SAR and RAR'!J66</f>
        <v>2028</v>
      </c>
      <c r="K66" s="381">
        <f>'SAR and RAR'!K66</f>
        <v>54091579.688847601</v>
      </c>
      <c r="L66" s="246">
        <f t="shared" si="30"/>
        <v>0.63319820127537196</v>
      </c>
      <c r="M66" s="13" t="s">
        <v>393</v>
      </c>
      <c r="N66" s="9">
        <f>'SAR and RAR'!N66</f>
        <v>2028</v>
      </c>
      <c r="O66" s="381">
        <f>'SAR and RAR'!O66</f>
        <v>85425984.438833997</v>
      </c>
      <c r="P66" s="9"/>
      <c r="Q66" s="9"/>
      <c r="R66" s="113"/>
      <c r="S66" s="91"/>
      <c r="T66" s="113"/>
      <c r="U66" s="93"/>
      <c r="V66" s="91"/>
      <c r="W66" s="91"/>
    </row>
    <row r="67" spans="2:23" ht="15.75" x14ac:dyDescent="0.25">
      <c r="B67" s="9"/>
      <c r="C67" s="9"/>
      <c r="D67" s="9"/>
      <c r="E67" s="13" t="s">
        <v>425</v>
      </c>
      <c r="F67" s="9">
        <f>'SAR and RAR'!F67</f>
        <v>2029</v>
      </c>
      <c r="G67" s="381">
        <f>'SAR and RAR'!G67</f>
        <v>76045446.26183103</v>
      </c>
      <c r="H67" s="33"/>
      <c r="I67" s="13" t="s">
        <v>393</v>
      </c>
      <c r="J67" s="9">
        <f>'SAR and RAR'!J67</f>
        <v>2029</v>
      </c>
      <c r="K67" s="381">
        <f>'SAR and RAR'!K67</f>
        <v>54091579.688847609</v>
      </c>
      <c r="L67" s="246">
        <f t="shared" si="30"/>
        <v>0.63319820127537196</v>
      </c>
      <c r="M67" s="13" t="s">
        <v>393</v>
      </c>
      <c r="N67" s="9">
        <f>'SAR and RAR'!N67</f>
        <v>2029</v>
      </c>
      <c r="O67" s="381">
        <f>'SAR and RAR'!O67</f>
        <v>85425984.438834012</v>
      </c>
      <c r="P67" s="9"/>
      <c r="Q67" s="9"/>
      <c r="R67" s="412"/>
      <c r="S67" s="91"/>
      <c r="T67" s="113"/>
      <c r="U67" s="92"/>
      <c r="V67" s="91"/>
      <c r="W67" s="91"/>
    </row>
    <row r="68" spans="2:23" ht="15.75" x14ac:dyDescent="0.25">
      <c r="B68" s="9"/>
      <c r="C68" s="9"/>
      <c r="D68" s="9"/>
      <c r="E68" s="13"/>
      <c r="F68" s="9"/>
      <c r="G68" s="381"/>
      <c r="H68" s="33"/>
      <c r="I68" s="13"/>
      <c r="J68" s="9"/>
      <c r="K68" s="381"/>
      <c r="L68" s="246"/>
      <c r="M68" s="13"/>
      <c r="N68" s="9"/>
      <c r="O68" s="381"/>
      <c r="P68" s="9"/>
      <c r="Q68" s="9"/>
      <c r="R68" s="113"/>
      <c r="S68" s="91"/>
      <c r="T68" s="113"/>
      <c r="U68" s="92"/>
      <c r="V68" s="91"/>
      <c r="W68" s="91"/>
    </row>
    <row r="69" spans="2:23" ht="15.75" x14ac:dyDescent="0.25">
      <c r="B69" s="9"/>
      <c r="C69" s="9"/>
      <c r="D69" s="9"/>
      <c r="E69" s="13" t="s">
        <v>425</v>
      </c>
      <c r="F69" s="9"/>
      <c r="G69" s="138"/>
      <c r="H69" s="33"/>
      <c r="I69" s="13" t="s">
        <v>393</v>
      </c>
      <c r="J69" s="9"/>
      <c r="K69" s="138"/>
      <c r="L69" s="246"/>
      <c r="M69" s="13" t="s">
        <v>393</v>
      </c>
      <c r="N69" s="9"/>
      <c r="O69" s="138"/>
      <c r="P69" s="9"/>
      <c r="Q69" s="9"/>
      <c r="R69" s="113"/>
      <c r="S69" s="91"/>
      <c r="T69" s="113"/>
      <c r="U69" s="92"/>
      <c r="V69" s="91"/>
      <c r="W69" s="91"/>
    </row>
    <row r="70" spans="2:23" ht="15.75" x14ac:dyDescent="0.25">
      <c r="B70" s="9"/>
      <c r="C70" s="9"/>
      <c r="D70" s="9"/>
      <c r="R70" s="113"/>
      <c r="S70" s="91"/>
      <c r="T70" s="113"/>
      <c r="U70" s="93"/>
      <c r="V70" s="93"/>
      <c r="W70" s="92"/>
    </row>
    <row r="71" spans="2:23" ht="15.75" x14ac:dyDescent="0.25">
      <c r="B71" s="9"/>
      <c r="C71" s="9"/>
      <c r="D71" s="9"/>
      <c r="J71" s="133">
        <f>Summary!D3</f>
        <v>2026</v>
      </c>
      <c r="K71" s="72">
        <f>VLOOKUP(Summary!D3,'SAR and AR (GS1)'!J58:K63,2,TRUE)</f>
        <v>3841270.6316</v>
      </c>
      <c r="N71" s="133">
        <f>Summary!D3</f>
        <v>2026</v>
      </c>
      <c r="O71" s="72">
        <f>VLOOKUP(Summary!D3,'SAR and AR (GS1)'!N58:O63,2,TRUE)</f>
        <v>5845430.9507900001</v>
      </c>
      <c r="R71" s="113"/>
      <c r="S71" s="91"/>
      <c r="T71" s="113"/>
      <c r="U71" s="93"/>
      <c r="V71" s="93"/>
      <c r="W71" s="92"/>
    </row>
    <row r="72" spans="2:23" ht="15.75" x14ac:dyDescent="0.25">
      <c r="B72" s="9"/>
      <c r="C72" s="9"/>
      <c r="D72" s="9"/>
      <c r="G72" s="243"/>
      <c r="H72" s="243"/>
      <c r="I72" s="243"/>
      <c r="J72" s="133" t="s">
        <v>484</v>
      </c>
      <c r="K72" s="19"/>
      <c r="L72" s="243"/>
      <c r="M72" s="243"/>
      <c r="N72" s="133" t="s">
        <v>485</v>
      </c>
      <c r="O72" s="19"/>
      <c r="P72" s="243"/>
      <c r="Q72" s="243"/>
      <c r="R72" s="243"/>
      <c r="S72" s="113"/>
      <c r="T72" s="93"/>
      <c r="U72" s="90"/>
      <c r="V72" s="90"/>
      <c r="W72" s="90"/>
    </row>
    <row r="73" spans="2:23" ht="15.75" x14ac:dyDescent="0.25">
      <c r="B73" s="9"/>
      <c r="C73" s="9"/>
      <c r="D73" s="9"/>
      <c r="G73" s="243"/>
      <c r="H73" s="243"/>
      <c r="I73" s="243"/>
      <c r="J73" s="9">
        <f>$F$37</f>
        <v>2026</v>
      </c>
      <c r="K73" s="379">
        <f t="shared" ref="K73:K76" si="32">K58/K64</f>
        <v>7.4744071251846969E-2</v>
      </c>
      <c r="L73" s="243"/>
      <c r="M73" s="243"/>
      <c r="N73" s="9">
        <f>$F$37</f>
        <v>2026</v>
      </c>
      <c r="O73" s="379">
        <f t="shared" ref="O73:O76" si="33">O58/O64</f>
        <v>7.2663413241030039E-2</v>
      </c>
      <c r="P73" s="243"/>
      <c r="Q73" s="243"/>
      <c r="R73" s="243"/>
      <c r="U73" s="189"/>
      <c r="V73" s="93"/>
      <c r="W73" s="92"/>
    </row>
    <row r="74" spans="2:23" ht="15.75" x14ac:dyDescent="0.25">
      <c r="B74" s="9"/>
      <c r="C74" s="9"/>
      <c r="D74" s="9"/>
      <c r="E74" s="9"/>
      <c r="F74" s="33"/>
      <c r="G74" s="243"/>
      <c r="H74" s="243"/>
      <c r="I74" s="243"/>
      <c r="J74" s="9">
        <f>$F$38</f>
        <v>2027</v>
      </c>
      <c r="K74" s="379">
        <f t="shared" si="32"/>
        <v>7.3914914881123936E-2</v>
      </c>
      <c r="L74" s="243"/>
      <c r="M74" s="243"/>
      <c r="N74" s="9">
        <f>$F$38</f>
        <v>2027</v>
      </c>
      <c r="O74" s="379">
        <f t="shared" si="33"/>
        <v>7.2161071575146132E-2</v>
      </c>
      <c r="P74" s="243"/>
      <c r="Q74" s="243"/>
      <c r="R74" s="243"/>
      <c r="S74" s="243"/>
      <c r="T74" s="170"/>
      <c r="U74" s="189"/>
      <c r="V74" s="91"/>
      <c r="W74" s="91"/>
    </row>
    <row r="75" spans="2:23" ht="15.75" x14ac:dyDescent="0.25">
      <c r="B75" s="9"/>
      <c r="C75" s="9"/>
      <c r="D75" s="9"/>
      <c r="G75" s="243"/>
      <c r="H75" s="243"/>
      <c r="I75" s="243"/>
      <c r="J75" s="9">
        <f>$F$39</f>
        <v>2028</v>
      </c>
      <c r="K75" s="379">
        <f t="shared" si="32"/>
        <v>7.3914914881123964E-2</v>
      </c>
      <c r="L75" s="243"/>
      <c r="M75" s="243"/>
      <c r="N75" s="9">
        <f>$F$39</f>
        <v>2028</v>
      </c>
      <c r="O75" s="379">
        <f t="shared" si="33"/>
        <v>7.2161071575146132E-2</v>
      </c>
      <c r="P75" s="243"/>
      <c r="Q75" s="243"/>
      <c r="R75" s="243"/>
      <c r="S75" s="243"/>
      <c r="T75" s="170"/>
      <c r="U75" s="189"/>
      <c r="V75" s="93"/>
      <c r="W75" s="92"/>
    </row>
    <row r="76" spans="2:23" ht="15.75" x14ac:dyDescent="0.25">
      <c r="B76" s="9"/>
      <c r="C76" s="9"/>
      <c r="D76" s="9"/>
      <c r="G76" s="243"/>
      <c r="H76" s="243"/>
      <c r="I76" s="243"/>
      <c r="J76" s="9">
        <f>$F$40</f>
        <v>2029</v>
      </c>
      <c r="K76" s="379">
        <f t="shared" si="32"/>
        <v>7.391491488112395E-2</v>
      </c>
      <c r="L76" s="243"/>
      <c r="M76" s="243"/>
      <c r="N76" s="9">
        <f>$F$40</f>
        <v>2029</v>
      </c>
      <c r="O76" s="379">
        <f t="shared" si="33"/>
        <v>7.2161071575146132E-2</v>
      </c>
      <c r="P76" s="243"/>
      <c r="Q76" s="243"/>
      <c r="R76" s="243"/>
      <c r="S76" s="243"/>
      <c r="T76" s="170"/>
      <c r="U76" s="189"/>
      <c r="V76" s="93"/>
      <c r="W76" s="92"/>
    </row>
    <row r="77" spans="2:23" ht="15.75" x14ac:dyDescent="0.25">
      <c r="B77" s="9"/>
      <c r="C77" s="9"/>
      <c r="D77" s="9"/>
      <c r="G77" s="243"/>
      <c r="H77" s="243"/>
      <c r="I77" s="243"/>
      <c r="J77" s="9"/>
      <c r="K77" s="379"/>
      <c r="L77" s="243"/>
      <c r="M77" s="243"/>
      <c r="N77" s="9"/>
      <c r="O77" s="379"/>
      <c r="P77" s="243"/>
      <c r="Q77" s="243"/>
      <c r="R77" s="243"/>
      <c r="S77" s="243"/>
      <c r="T77" s="170"/>
      <c r="U77" s="189"/>
      <c r="V77" s="93"/>
      <c r="W77" s="92"/>
    </row>
    <row r="78" spans="2:23" ht="15.75" x14ac:dyDescent="0.25">
      <c r="B78" s="9"/>
      <c r="C78" s="9"/>
      <c r="D78" s="9"/>
      <c r="G78" s="243"/>
      <c r="H78" s="243"/>
      <c r="I78" s="243"/>
      <c r="J78" s="9"/>
      <c r="K78" s="200"/>
      <c r="L78" s="243"/>
      <c r="M78" s="243"/>
      <c r="N78" s="9"/>
      <c r="O78" s="200"/>
      <c r="P78" s="243"/>
      <c r="Q78" s="243"/>
      <c r="R78" s="243"/>
      <c r="S78" s="243"/>
      <c r="T78" s="170"/>
      <c r="U78" s="189"/>
      <c r="V78" s="93"/>
      <c r="W78" s="93"/>
    </row>
    <row r="79" spans="2:23" ht="15.75" x14ac:dyDescent="0.25">
      <c r="B79" s="9"/>
      <c r="C79" s="9"/>
      <c r="D79" s="9"/>
      <c r="G79" s="243"/>
      <c r="H79" s="243"/>
      <c r="I79" s="243"/>
      <c r="J79" s="243"/>
      <c r="K79" s="243"/>
      <c r="L79" s="243"/>
      <c r="M79" s="243"/>
      <c r="N79" s="243"/>
      <c r="O79" s="243"/>
      <c r="P79" s="243"/>
      <c r="Q79" s="243"/>
      <c r="R79" s="243"/>
      <c r="S79" s="243"/>
      <c r="T79" s="170"/>
      <c r="U79" s="189"/>
      <c r="V79" s="93"/>
      <c r="W79" s="93"/>
    </row>
    <row r="80" spans="2:23" ht="15.75" x14ac:dyDescent="0.25">
      <c r="B80" s="9"/>
      <c r="C80" s="9"/>
      <c r="D80" s="9"/>
      <c r="G80" s="243"/>
      <c r="H80" s="243"/>
      <c r="I80" s="243"/>
      <c r="J80" s="243"/>
      <c r="K80" s="243"/>
      <c r="L80" s="243"/>
      <c r="M80" s="243"/>
      <c r="N80" s="243"/>
      <c r="O80" s="243"/>
      <c r="P80" s="243"/>
      <c r="Q80" s="243"/>
      <c r="R80" s="243"/>
      <c r="S80" s="243"/>
      <c r="T80" s="170"/>
      <c r="U80" s="189"/>
      <c r="V80" s="90"/>
      <c r="W80" s="90"/>
    </row>
    <row r="81" spans="2:23" ht="15.75" x14ac:dyDescent="0.25">
      <c r="B81" s="9"/>
      <c r="C81" s="9"/>
      <c r="D81" s="9"/>
      <c r="G81" s="243"/>
      <c r="H81" s="243"/>
      <c r="I81" s="243"/>
      <c r="J81" s="243"/>
      <c r="K81" s="243"/>
      <c r="L81" s="243"/>
      <c r="M81" s="243"/>
      <c r="N81" s="243"/>
      <c r="O81" s="243"/>
      <c r="P81" s="243"/>
      <c r="Q81" s="243"/>
      <c r="R81" s="243"/>
      <c r="V81" s="93"/>
      <c r="W81" s="92"/>
    </row>
    <row r="82" spans="2:23" ht="15.75" x14ac:dyDescent="0.25">
      <c r="B82" s="9"/>
      <c r="C82" s="9"/>
      <c r="D82" s="9"/>
      <c r="G82" s="243"/>
      <c r="H82" s="243"/>
      <c r="I82" s="243"/>
      <c r="J82" s="243"/>
      <c r="K82" s="243"/>
      <c r="L82" s="243"/>
      <c r="M82" s="243"/>
      <c r="N82" s="243"/>
      <c r="O82" s="243"/>
      <c r="P82" s="243"/>
      <c r="Q82" s="243"/>
      <c r="R82" s="243"/>
      <c r="S82" s="91"/>
      <c r="T82" s="91"/>
      <c r="U82" s="91"/>
      <c r="V82" s="91"/>
      <c r="W82" s="91"/>
    </row>
    <row r="83" spans="2:23" ht="15.75" x14ac:dyDescent="0.25">
      <c r="B83" s="9"/>
      <c r="C83" s="9"/>
      <c r="D83" s="9"/>
      <c r="E83" s="9"/>
      <c r="F83" s="33"/>
      <c r="G83" s="243"/>
      <c r="H83" s="243"/>
      <c r="I83" s="243"/>
      <c r="J83" s="243"/>
      <c r="K83" s="243"/>
      <c r="L83" s="243"/>
      <c r="M83" s="243"/>
      <c r="N83" s="243"/>
      <c r="O83" s="243"/>
      <c r="P83" s="243"/>
      <c r="Q83" s="243"/>
      <c r="R83" s="243"/>
      <c r="S83" s="91"/>
      <c r="T83" s="91"/>
      <c r="U83" s="90"/>
      <c r="V83" s="91"/>
      <c r="W83" s="91"/>
    </row>
    <row r="84" spans="2:23" ht="15.75" x14ac:dyDescent="0.25">
      <c r="B84" s="9"/>
      <c r="C84" s="9"/>
      <c r="D84" s="9"/>
      <c r="E84" s="9"/>
      <c r="F84" s="33"/>
      <c r="G84" s="243"/>
      <c r="H84" s="243"/>
      <c r="I84" s="243"/>
      <c r="J84" s="243"/>
      <c r="K84" s="243"/>
      <c r="L84" s="243"/>
      <c r="M84" s="243"/>
      <c r="N84" s="243"/>
      <c r="O84" s="243"/>
      <c r="P84" s="243"/>
      <c r="Q84" s="243"/>
      <c r="R84" s="243"/>
      <c r="S84" s="113"/>
      <c r="T84" s="91"/>
      <c r="U84" s="92"/>
      <c r="V84" s="92"/>
      <c r="W84" s="92"/>
    </row>
    <row r="85" spans="2:23" ht="15.75" x14ac:dyDescent="0.25">
      <c r="B85" s="9"/>
      <c r="C85" s="9"/>
      <c r="D85" s="9"/>
      <c r="E85" s="9"/>
      <c r="F85" s="33"/>
      <c r="G85" s="243"/>
      <c r="H85" s="243"/>
      <c r="I85" s="243"/>
      <c r="J85" s="243"/>
      <c r="K85" s="243"/>
      <c r="L85" s="243"/>
      <c r="M85" s="243"/>
      <c r="N85" s="243"/>
      <c r="O85" s="243"/>
      <c r="P85" s="243"/>
      <c r="Q85" s="243"/>
      <c r="R85" s="243"/>
      <c r="S85" s="9"/>
      <c r="T85" s="91"/>
      <c r="U85" s="9"/>
      <c r="V85" s="90"/>
      <c r="W85" s="90"/>
    </row>
    <row r="86" spans="2:23" ht="15.75" x14ac:dyDescent="0.25">
      <c r="B86" s="9"/>
      <c r="C86" s="9"/>
      <c r="D86" s="9"/>
      <c r="G86" s="243"/>
      <c r="H86" s="243"/>
      <c r="I86" s="243"/>
      <c r="J86" s="243"/>
      <c r="K86" s="243"/>
      <c r="L86" s="243"/>
      <c r="M86" s="243"/>
      <c r="N86" s="243"/>
      <c r="O86" s="243"/>
      <c r="P86" s="243"/>
      <c r="Q86" s="243"/>
      <c r="R86" s="243"/>
      <c r="T86" s="91"/>
      <c r="V86" s="91"/>
      <c r="W86" s="91"/>
    </row>
    <row r="87" spans="2:23" ht="15.75" x14ac:dyDescent="0.25">
      <c r="B87" s="9"/>
      <c r="C87" s="9"/>
      <c r="D87" s="9"/>
      <c r="G87" s="243"/>
      <c r="H87" s="243"/>
      <c r="I87" s="243"/>
      <c r="J87" s="243"/>
      <c r="K87" s="243"/>
      <c r="L87" s="243"/>
      <c r="M87" s="243"/>
      <c r="N87" s="243"/>
      <c r="O87" s="243"/>
      <c r="P87" s="243"/>
      <c r="Q87" s="243"/>
      <c r="R87" s="243"/>
      <c r="T87" s="91"/>
      <c r="V87" s="91"/>
      <c r="W87" s="91"/>
    </row>
    <row r="88" spans="2:23" ht="15.75" x14ac:dyDescent="0.25">
      <c r="B88" s="9"/>
      <c r="C88" s="9"/>
      <c r="D88" s="9"/>
      <c r="G88" s="243"/>
      <c r="H88" s="243"/>
      <c r="I88" s="243"/>
      <c r="J88" s="243"/>
      <c r="K88" s="243"/>
      <c r="L88" s="243"/>
      <c r="M88" s="243"/>
      <c r="N88" s="243"/>
      <c r="O88" s="243"/>
      <c r="P88" s="243"/>
      <c r="Q88" s="243"/>
      <c r="R88" s="243"/>
      <c r="T88" s="91"/>
      <c r="V88" s="91"/>
      <c r="W88" s="91"/>
    </row>
    <row r="89" spans="2:23" ht="15.75" x14ac:dyDescent="0.25">
      <c r="B89" s="9"/>
      <c r="C89" s="9"/>
      <c r="D89" s="9"/>
      <c r="G89" s="243"/>
      <c r="H89" s="243"/>
      <c r="I89" s="243"/>
      <c r="J89" s="243"/>
      <c r="K89" s="243"/>
      <c r="L89" s="243"/>
      <c r="M89" s="243"/>
      <c r="N89" s="243"/>
      <c r="O89" s="243"/>
      <c r="P89" s="243"/>
      <c r="Q89" s="243"/>
      <c r="R89" s="243"/>
      <c r="T89" s="91"/>
      <c r="V89" s="90"/>
      <c r="W89" s="90"/>
    </row>
    <row r="90" spans="2:23" ht="15.75" x14ac:dyDescent="0.25">
      <c r="B90" s="9"/>
      <c r="C90" s="9"/>
      <c r="D90" s="9"/>
      <c r="G90" s="243"/>
      <c r="H90" s="243"/>
      <c r="I90" s="243"/>
      <c r="J90" s="243"/>
      <c r="K90" s="243"/>
      <c r="L90" s="243"/>
      <c r="M90" s="243"/>
      <c r="N90" s="243"/>
      <c r="O90" s="243"/>
      <c r="P90" s="243"/>
      <c r="Q90" s="243"/>
      <c r="R90" s="243"/>
      <c r="V90" s="91"/>
      <c r="W90" s="91"/>
    </row>
    <row r="91" spans="2:23" ht="15.75" x14ac:dyDescent="0.25">
      <c r="B91" s="9"/>
      <c r="C91" s="9"/>
      <c r="D91" s="9"/>
      <c r="G91" s="243"/>
      <c r="H91" s="243"/>
      <c r="I91" s="243"/>
      <c r="J91" s="243"/>
      <c r="K91" s="243"/>
      <c r="L91" s="243"/>
      <c r="M91" s="243"/>
      <c r="N91" s="243"/>
      <c r="O91" s="243"/>
      <c r="P91" s="243"/>
      <c r="Q91" s="243"/>
      <c r="R91" s="243"/>
      <c r="V91" s="91"/>
      <c r="W91" s="91"/>
    </row>
    <row r="92" spans="2:23" ht="15.75" x14ac:dyDescent="0.25">
      <c r="B92" s="9"/>
      <c r="C92" s="9"/>
      <c r="D92" s="9"/>
      <c r="G92" s="243"/>
      <c r="H92" s="243"/>
      <c r="I92" s="243"/>
      <c r="J92" s="243"/>
      <c r="K92" s="243"/>
      <c r="L92" s="243"/>
      <c r="M92" s="243"/>
      <c r="N92" s="243"/>
      <c r="O92" s="243"/>
      <c r="P92" s="243"/>
      <c r="Q92" s="243"/>
      <c r="R92" s="243"/>
      <c r="V92" s="90"/>
      <c r="W92" s="90"/>
    </row>
    <row r="93" spans="2:23" ht="15.75" x14ac:dyDescent="0.25">
      <c r="B93" s="9"/>
      <c r="C93" s="9"/>
      <c r="D93" s="9"/>
      <c r="G93" s="243"/>
      <c r="H93" s="243"/>
      <c r="I93" s="243"/>
      <c r="J93" s="243"/>
      <c r="K93" s="243"/>
      <c r="L93" s="243"/>
      <c r="M93" s="243"/>
      <c r="N93" s="243"/>
      <c r="O93" s="243"/>
      <c r="P93" s="243"/>
      <c r="Q93" s="243"/>
      <c r="R93" s="243"/>
      <c r="V93" s="92"/>
      <c r="W93" s="92"/>
    </row>
    <row r="94" spans="2:23" ht="15.75" x14ac:dyDescent="0.25">
      <c r="B94" s="9"/>
      <c r="C94" s="9"/>
      <c r="D94" s="9"/>
      <c r="G94" s="243"/>
      <c r="H94" s="243"/>
      <c r="I94" s="243"/>
      <c r="J94" s="243"/>
      <c r="K94" s="243"/>
      <c r="L94" s="243"/>
      <c r="M94" s="243"/>
      <c r="N94" s="243"/>
      <c r="O94" s="243"/>
      <c r="P94" s="243"/>
      <c r="Q94" s="243"/>
      <c r="R94" s="243"/>
      <c r="V94" s="9"/>
      <c r="W94" s="9"/>
    </row>
    <row r="95" spans="2:23" ht="15.75" x14ac:dyDescent="0.25">
      <c r="B95" s="9"/>
      <c r="C95" s="9"/>
      <c r="D95" s="9"/>
      <c r="G95" s="243"/>
      <c r="H95" s="243"/>
      <c r="I95" s="243"/>
      <c r="J95" s="243"/>
      <c r="K95" s="243"/>
      <c r="L95" s="243"/>
      <c r="M95" s="243"/>
      <c r="N95" s="243"/>
      <c r="O95" s="243"/>
      <c r="P95" s="243"/>
      <c r="Q95" s="243"/>
      <c r="R95" s="243"/>
    </row>
    <row r="96" spans="2:23" x14ac:dyDescent="0.25">
      <c r="G96" s="243"/>
      <c r="H96" s="243"/>
      <c r="I96" s="243"/>
      <c r="J96" s="243"/>
      <c r="K96" s="243"/>
      <c r="L96" s="243"/>
      <c r="M96" s="243"/>
      <c r="N96" s="243"/>
      <c r="O96" s="243"/>
      <c r="P96" s="243"/>
      <c r="Q96" s="243"/>
      <c r="R96" s="243"/>
    </row>
  </sheetData>
  <mergeCells count="9">
    <mergeCell ref="F26:K26"/>
    <mergeCell ref="N26:S26"/>
    <mergeCell ref="S64:T64"/>
    <mergeCell ref="B1:V1"/>
    <mergeCell ref="C2:D2"/>
    <mergeCell ref="G4:P4"/>
    <mergeCell ref="G8:P8"/>
    <mergeCell ref="G17:P17"/>
    <mergeCell ref="S17:T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2A4E7-0563-4B2A-8F64-2A898B1984D0}">
  <sheetPr codeName="Sheet6"/>
  <dimension ref="A1:W65"/>
  <sheetViews>
    <sheetView workbookViewId="0">
      <selection activeCell="K31" sqref="K31"/>
    </sheetView>
  </sheetViews>
  <sheetFormatPr defaultColWidth="8.7109375" defaultRowHeight="15" x14ac:dyDescent="0.25"/>
  <cols>
    <col min="1" max="1" width="7.42578125" style="38" customWidth="1"/>
    <col min="2" max="2" width="14.42578125" style="38" customWidth="1"/>
    <col min="3" max="4" width="13" style="38" customWidth="1"/>
    <col min="5" max="5" width="15.5703125" style="38" customWidth="1"/>
    <col min="6" max="6" width="10.28515625" style="38" bestFit="1" customWidth="1"/>
    <col min="7" max="7" width="13.7109375" style="38" customWidth="1"/>
    <col min="8" max="8" width="14" style="38" customWidth="1"/>
    <col min="9" max="9" width="15" style="38" customWidth="1"/>
    <col min="10" max="10" width="14" style="38" customWidth="1"/>
    <col min="11" max="12" width="13" style="38" customWidth="1"/>
    <col min="13" max="13" width="14" style="38" customWidth="1"/>
    <col min="14" max="14" width="40.5703125" style="38" bestFit="1" customWidth="1"/>
    <col min="15" max="15" width="14.85546875" style="38" bestFit="1" customWidth="1"/>
    <col min="16" max="16" width="40.5703125" style="38" bestFit="1" customWidth="1"/>
    <col min="17" max="17" width="14.85546875" style="38" bestFit="1" customWidth="1"/>
    <col min="18" max="18" width="15.85546875" style="38" bestFit="1" customWidth="1"/>
    <col min="19" max="19" width="15" style="38" bestFit="1" customWidth="1"/>
    <col min="20" max="20" width="16" style="38" bestFit="1" customWidth="1"/>
    <col min="21" max="21" width="9.7109375" style="38" bestFit="1" customWidth="1"/>
    <col min="22" max="16384" width="8.7109375" style="38"/>
  </cols>
  <sheetData>
    <row r="1" spans="1:23" ht="69.75" customHeight="1" x14ac:dyDescent="0.25">
      <c r="B1" s="511" t="s">
        <v>376</v>
      </c>
      <c r="C1" s="511"/>
      <c r="D1" s="511"/>
      <c r="E1" s="511"/>
      <c r="F1" s="511"/>
      <c r="G1" s="511"/>
      <c r="H1" s="511"/>
      <c r="I1" s="511"/>
      <c r="J1" s="511"/>
      <c r="K1" s="511"/>
      <c r="L1" s="511"/>
      <c r="M1" s="511"/>
      <c r="N1" s="511"/>
      <c r="O1" s="511"/>
      <c r="P1" s="511"/>
      <c r="Q1" s="511"/>
      <c r="R1" s="511"/>
      <c r="S1" s="511"/>
      <c r="T1" s="511"/>
      <c r="U1" s="511"/>
      <c r="V1" s="511"/>
      <c r="W1" s="117"/>
    </row>
    <row r="2" spans="1:23" x14ac:dyDescent="0.25">
      <c r="A2" s="37"/>
      <c r="B2" s="525"/>
      <c r="C2" s="525"/>
      <c r="D2" s="525"/>
      <c r="F2" s="37"/>
    </row>
    <row r="3" spans="1:23" x14ac:dyDescent="0.25">
      <c r="E3" s="526" t="s">
        <v>486</v>
      </c>
      <c r="F3" s="526"/>
      <c r="G3" s="526"/>
      <c r="H3" s="526"/>
      <c r="I3" s="526"/>
      <c r="J3" s="526"/>
      <c r="K3" s="128"/>
      <c r="M3" s="117"/>
    </row>
    <row r="4" spans="1:23" ht="15.75" customHeight="1" x14ac:dyDescent="0.25">
      <c r="D4" s="9"/>
      <c r="E4" s="28">
        <f>Summary!N4</f>
        <v>2026</v>
      </c>
      <c r="F4" s="29">
        <f>Summary!N3</f>
        <v>46174</v>
      </c>
      <c r="G4" s="28" t="s">
        <v>431</v>
      </c>
      <c r="H4" s="28" t="s">
        <v>431</v>
      </c>
      <c r="I4" s="28" t="s">
        <v>431</v>
      </c>
      <c r="J4" s="28" t="s">
        <v>431</v>
      </c>
      <c r="K4" s="33"/>
    </row>
    <row r="5" spans="1:23" ht="30.75" customHeight="1" x14ac:dyDescent="0.25">
      <c r="D5" s="9"/>
      <c r="E5" s="28" t="s">
        <v>10</v>
      </c>
      <c r="F5" s="28" t="s">
        <v>432</v>
      </c>
      <c r="G5" s="28" t="s">
        <v>433</v>
      </c>
      <c r="H5" s="28" t="s">
        <v>434</v>
      </c>
      <c r="I5" s="28" t="s">
        <v>435</v>
      </c>
      <c r="J5" s="28" t="s">
        <v>436</v>
      </c>
      <c r="K5" s="10"/>
      <c r="L5" s="69"/>
      <c r="M5" s="69"/>
    </row>
    <row r="6" spans="1:23" ht="42" customHeight="1" x14ac:dyDescent="0.25">
      <c r="B6" s="21"/>
      <c r="D6" s="21"/>
      <c r="E6" s="9"/>
      <c r="F6" s="9"/>
      <c r="I6" s="33"/>
      <c r="J6" s="33"/>
      <c r="K6" s="33"/>
    </row>
    <row r="7" spans="1:23" ht="15.75" x14ac:dyDescent="0.25">
      <c r="D7" s="218" t="s">
        <v>487</v>
      </c>
      <c r="E7" s="102">
        <f t="shared" ref="E7:E12" si="0">HLOOKUP(E$4,$F$42:$K$52,$A44,TRUE)</f>
        <v>247.53491121498919</v>
      </c>
      <c r="F7" s="34">
        <v>0.64825999999999995</v>
      </c>
      <c r="G7" s="31">
        <f>F7/$F$12*$G$12</f>
        <v>0.63652688350421316</v>
      </c>
      <c r="H7" s="30">
        <f t="shared" ref="H7:H12" si="1">E7*G7</f>
        <v>157.56262559416916</v>
      </c>
      <c r="I7" s="31">
        <f>F7/$F$12*$I$12</f>
        <v>0.63664633041463714</v>
      </c>
      <c r="J7" s="30">
        <f t="shared" ref="J7:J12" si="2">E7*I7</f>
        <v>157.59219287453587</v>
      </c>
      <c r="K7" s="153"/>
      <c r="N7" s="38" t="s">
        <v>488</v>
      </c>
      <c r="O7" s="219"/>
    </row>
    <row r="8" spans="1:23" ht="15.75" x14ac:dyDescent="0.25">
      <c r="D8" s="25" t="s">
        <v>489</v>
      </c>
      <c r="E8" s="102">
        <f t="shared" si="0"/>
        <v>87.88773548127017</v>
      </c>
      <c r="F8" s="34">
        <v>0.33690999999999999</v>
      </c>
      <c r="G8" s="31">
        <f t="shared" ref="G8:G10" si="3">F8/$F$12*$G$12</f>
        <v>0.3308121314309142</v>
      </c>
      <c r="H8" s="30">
        <f t="shared" si="1"/>
        <v>29.074329101195367</v>
      </c>
      <c r="I8" s="31">
        <f t="shared" ref="I8:I11" si="4">F8/$F$12*$I$12</f>
        <v>0.33087420969980469</v>
      </c>
      <c r="J8" s="30">
        <f t="shared" si="2"/>
        <v>29.079785019670751</v>
      </c>
      <c r="K8" s="153"/>
      <c r="N8" s="38" t="s">
        <v>441</v>
      </c>
      <c r="O8" s="47">
        <f>'SAR and AR (GS1)'!S19/1000-'SAR and AR (GS1)'!S22/1000</f>
        <v>1149.0929944232587</v>
      </c>
    </row>
    <row r="9" spans="1:23" ht="15.75" x14ac:dyDescent="0.25">
      <c r="D9" s="218" t="s">
        <v>490</v>
      </c>
      <c r="E9" s="102">
        <f t="shared" si="0"/>
        <v>1098.8771247106631</v>
      </c>
      <c r="F9" s="34">
        <v>0.25056</v>
      </c>
      <c r="G9" s="31">
        <f t="shared" si="3"/>
        <v>0.24602501454789072</v>
      </c>
      <c r="H9" s="30">
        <f t="shared" si="1"/>
        <v>270.35126059328519</v>
      </c>
      <c r="I9" s="31">
        <f t="shared" si="4"/>
        <v>0.24607118216254509</v>
      </c>
      <c r="J9" s="30">
        <f t="shared" si="2"/>
        <v>270.40199312893134</v>
      </c>
      <c r="K9" s="153"/>
      <c r="N9" s="38" t="s">
        <v>443</v>
      </c>
      <c r="O9" s="47">
        <f>'SAR and AR (GS1)'!T19/1000-'SAR and AR (GS1)'!T22/1000</f>
        <v>1149.2975281614395</v>
      </c>
    </row>
    <row r="10" spans="1:23" ht="15.75" x14ac:dyDescent="0.25">
      <c r="D10" s="25" t="s">
        <v>489</v>
      </c>
      <c r="E10" s="102">
        <f t="shared" si="0"/>
        <v>551.54616942859298</v>
      </c>
      <c r="F10" s="34">
        <v>0.39539000000000002</v>
      </c>
      <c r="G10" s="31">
        <f t="shared" si="3"/>
        <v>0.38823367856836899</v>
      </c>
      <c r="H10" s="30">
        <f t="shared" si="1"/>
        <v>214.12879825755556</v>
      </c>
      <c r="I10" s="31">
        <f t="shared" si="4"/>
        <v>0.38830653222880235</v>
      </c>
      <c r="J10" s="30">
        <f t="shared" si="2"/>
        <v>214.16898041489642</v>
      </c>
      <c r="K10" s="153"/>
    </row>
    <row r="11" spans="1:23" ht="15.75" x14ac:dyDescent="0.25">
      <c r="D11" s="218" t="s">
        <v>490</v>
      </c>
      <c r="E11" s="102">
        <f t="shared" si="0"/>
        <v>931.6695149035238</v>
      </c>
      <c r="F11" s="34">
        <v>0.26504</v>
      </c>
      <c r="G11" s="31">
        <f>F11/$F$12*$G$12</f>
        <v>0.26024293524813602</v>
      </c>
      <c r="H11" s="30">
        <f t="shared" si="1"/>
        <v>242.46040923970006</v>
      </c>
      <c r="I11" s="31">
        <f t="shared" si="4"/>
        <v>0.2602917709145951</v>
      </c>
      <c r="J11" s="30">
        <f t="shared" si="2"/>
        <v>242.50590794137997</v>
      </c>
      <c r="K11" s="153"/>
    </row>
    <row r="12" spans="1:23" ht="15.75" x14ac:dyDescent="0.25">
      <c r="D12" s="25" t="s">
        <v>491</v>
      </c>
      <c r="E12" s="102">
        <f t="shared" si="0"/>
        <v>923.75517588817581</v>
      </c>
      <c r="F12" s="34">
        <v>0.19445000000000001</v>
      </c>
      <c r="G12" s="31">
        <f>(O8-G14*E14*365/12/10^6)/SUM(E12,F11/F12*E11,F10/F12*E10,F9/F12*E9,F8/F12*E8,F7/F12*E7)</f>
        <v>0.19093057183444029</v>
      </c>
      <c r="H12" s="30">
        <f t="shared" si="1"/>
        <v>176.37310396735339</v>
      </c>
      <c r="I12" s="31">
        <f>(O9-I14*E14*365/12/10^6)/SUM(E12,F11/F12*E11,F10/F12*E10,F9/F12*E9,F8/F12*E8,F7/F12*E7)</f>
        <v>0.19096640074835128</v>
      </c>
      <c r="J12" s="30">
        <f t="shared" si="2"/>
        <v>176.40620111202512</v>
      </c>
      <c r="K12" s="153"/>
    </row>
    <row r="13" spans="1:23" ht="15.75" x14ac:dyDescent="0.25">
      <c r="D13" s="25"/>
      <c r="E13" s="102"/>
      <c r="F13" s="23"/>
      <c r="G13" s="9"/>
      <c r="H13" s="26"/>
      <c r="I13" s="9"/>
      <c r="J13" s="26"/>
      <c r="K13" s="24"/>
    </row>
    <row r="14" spans="1:23" ht="15.75" x14ac:dyDescent="0.25">
      <c r="D14" s="25" t="s">
        <v>474</v>
      </c>
      <c r="E14" s="139">
        <f>HLOOKUP(E$4,$F$42:$K$53,$A51,TRUE)</f>
        <v>4154722</v>
      </c>
      <c r="F14" s="35">
        <v>0.46800000000000003</v>
      </c>
      <c r="G14" s="142">
        <f>F14</f>
        <v>0.46800000000000003</v>
      </c>
      <c r="H14" s="68">
        <f>G14*E14*365/12/10^6</f>
        <v>59.142467670000009</v>
      </c>
      <c r="I14" s="142">
        <f>G14</f>
        <v>0.46800000000000003</v>
      </c>
      <c r="J14" s="68">
        <f>I14*E14*365/12/10^6</f>
        <v>59.142467670000009</v>
      </c>
      <c r="K14" s="153"/>
    </row>
    <row r="15" spans="1:23" ht="15.75" x14ac:dyDescent="0.25">
      <c r="D15" s="27"/>
      <c r="E15" s="139"/>
      <c r="F15" s="35"/>
      <c r="G15" s="142"/>
      <c r="H15" s="68"/>
      <c r="I15" s="142"/>
      <c r="J15" s="68"/>
      <c r="K15" s="153"/>
    </row>
    <row r="16" spans="1:23" ht="15.75" x14ac:dyDescent="0.25">
      <c r="K16" s="153"/>
    </row>
    <row r="17" spans="2:21" ht="15.75" x14ac:dyDescent="0.25">
      <c r="H17" s="46"/>
      <c r="J17" s="46"/>
      <c r="K17" s="153"/>
    </row>
    <row r="18" spans="2:21" ht="15.75" x14ac:dyDescent="0.25">
      <c r="K18" s="153"/>
    </row>
    <row r="19" spans="2:21" ht="15.75" x14ac:dyDescent="0.25">
      <c r="B19" s="48"/>
      <c r="K19" s="153"/>
      <c r="N19" s="38" t="s">
        <v>492</v>
      </c>
      <c r="T19" s="155"/>
    </row>
    <row r="20" spans="2:21" x14ac:dyDescent="0.25">
      <c r="B20" s="49" t="s">
        <v>493</v>
      </c>
      <c r="C20" s="49"/>
      <c r="E20" s="51" t="s">
        <v>431</v>
      </c>
      <c r="F20" s="51" t="s">
        <v>431</v>
      </c>
      <c r="H20" s="179"/>
      <c r="I20" s="527"/>
      <c r="J20" s="527"/>
      <c r="K20" s="527"/>
      <c r="L20" s="527"/>
      <c r="M20" s="49"/>
      <c r="N20" s="63" t="s">
        <v>494</v>
      </c>
      <c r="O20" s="220" t="s">
        <v>454</v>
      </c>
      <c r="P20" s="221"/>
      <c r="Q20" s="222"/>
      <c r="R20" s="220" t="s">
        <v>455</v>
      </c>
      <c r="S20" s="221"/>
      <c r="T20" s="222"/>
    </row>
    <row r="21" spans="2:21" x14ac:dyDescent="0.25">
      <c r="B21" s="52" t="s">
        <v>432</v>
      </c>
      <c r="C21" s="71" t="s">
        <v>457</v>
      </c>
      <c r="D21" s="71">
        <f>Summary!N3</f>
        <v>46174</v>
      </c>
      <c r="E21" s="53" t="s">
        <v>378</v>
      </c>
      <c r="F21" s="53" t="s">
        <v>389</v>
      </c>
      <c r="N21" s="39"/>
      <c r="O21" s="223" t="s">
        <v>495</v>
      </c>
      <c r="P21" s="223" t="s">
        <v>496</v>
      </c>
      <c r="Q21" s="216" t="s">
        <v>497</v>
      </c>
      <c r="R21" s="223" t="s">
        <v>496</v>
      </c>
      <c r="S21" s="216" t="s">
        <v>497</v>
      </c>
      <c r="T21" s="223" t="s">
        <v>498</v>
      </c>
      <c r="U21" s="223" t="s">
        <v>499</v>
      </c>
    </row>
    <row r="22" spans="2:21" ht="15.75" x14ac:dyDescent="0.25">
      <c r="B22" s="55" t="s">
        <v>487</v>
      </c>
      <c r="C22" s="34">
        <v>0.64774999999999994</v>
      </c>
      <c r="D22" s="100">
        <f>F7</f>
        <v>0.64825999999999995</v>
      </c>
      <c r="E22" s="56">
        <f>G7</f>
        <v>0.63652688350421316</v>
      </c>
      <c r="F22" s="56">
        <f>I7</f>
        <v>0.63664633041463714</v>
      </c>
      <c r="I22" s="47"/>
      <c r="J22" s="47"/>
      <c r="K22" s="47"/>
      <c r="L22" s="47"/>
      <c r="M22" s="47"/>
      <c r="N22" s="224" t="s">
        <v>82</v>
      </c>
      <c r="O22" s="41">
        <v>463.27078776320599</v>
      </c>
      <c r="P22" s="41">
        <v>187.44613581719747</v>
      </c>
      <c r="Q22" s="41">
        <v>2273.2575645648699</v>
      </c>
      <c r="R22" s="192">
        <v>1288.8993306423179</v>
      </c>
      <c r="S22" s="225">
        <v>2637.8399982907022</v>
      </c>
      <c r="T22" s="225">
        <v>1549.457052679425</v>
      </c>
      <c r="U22" s="226">
        <f>SUM(O22:T22)</f>
        <v>8400.1708697577196</v>
      </c>
    </row>
    <row r="23" spans="2:21" ht="15.75" x14ac:dyDescent="0.25">
      <c r="B23" s="55" t="s">
        <v>489</v>
      </c>
      <c r="C23" s="34">
        <v>0.33639999999999998</v>
      </c>
      <c r="D23" s="100">
        <f t="shared" ref="D23:E27" si="5">F8</f>
        <v>0.33690999999999999</v>
      </c>
      <c r="E23" s="56">
        <f t="shared" si="5"/>
        <v>0.3308121314309142</v>
      </c>
      <c r="F23" s="56">
        <f t="shared" ref="F23:F27" si="6">I8</f>
        <v>0.33087420969980469</v>
      </c>
      <c r="I23" s="47"/>
      <c r="J23" s="47"/>
      <c r="K23" s="47"/>
      <c r="L23" s="47"/>
      <c r="M23" s="47"/>
      <c r="N23" s="224" t="s">
        <v>83</v>
      </c>
      <c r="O23" s="41">
        <v>815.56341446505189</v>
      </c>
      <c r="P23" s="41">
        <v>214.74360772538921</v>
      </c>
      <c r="Q23" s="41">
        <v>3678.292013950585</v>
      </c>
      <c r="R23" s="41">
        <v>1417.8310462236172</v>
      </c>
      <c r="S23" s="227">
        <v>1998.9254996332891</v>
      </c>
      <c r="T23" s="227">
        <v>3531.6128088817536</v>
      </c>
      <c r="U23" s="175">
        <f t="shared" ref="U23:U24" si="7">SUM(O23:T23)</f>
        <v>11656.968390879685</v>
      </c>
    </row>
    <row r="24" spans="2:21" ht="15.75" x14ac:dyDescent="0.25">
      <c r="B24" s="55" t="s">
        <v>490</v>
      </c>
      <c r="C24" s="34">
        <v>0.25139999999999996</v>
      </c>
      <c r="D24" s="100">
        <f t="shared" si="5"/>
        <v>0.25056</v>
      </c>
      <c r="E24" s="56">
        <f t="shared" si="5"/>
        <v>0.24602501454789072</v>
      </c>
      <c r="F24" s="56">
        <f t="shared" si="6"/>
        <v>0.24607118216254509</v>
      </c>
      <c r="I24" s="47"/>
      <c r="J24" s="47"/>
      <c r="K24" s="47"/>
      <c r="L24" s="47"/>
      <c r="M24" s="47"/>
      <c r="N24" s="228" t="s">
        <v>84</v>
      </c>
      <c r="O24" s="45">
        <v>2442.4663784525833</v>
      </c>
      <c r="P24" s="45">
        <v>1069.081042702531</v>
      </c>
      <c r="Q24" s="45">
        <v>9593.6749899077295</v>
      </c>
      <c r="R24" s="45">
        <v>5256.4964266891475</v>
      </c>
      <c r="S24" s="229">
        <v>6812.0649747699763</v>
      </c>
      <c r="T24" s="229">
        <v>8251.5095430137426</v>
      </c>
      <c r="U24" s="96">
        <f t="shared" si="7"/>
        <v>33425.293355535709</v>
      </c>
    </row>
    <row r="25" spans="2:21" ht="15.75" x14ac:dyDescent="0.25">
      <c r="B25" s="43" t="s">
        <v>489</v>
      </c>
      <c r="C25" s="34">
        <v>0.39488000000000001</v>
      </c>
      <c r="D25" s="100">
        <f t="shared" si="5"/>
        <v>0.39539000000000002</v>
      </c>
      <c r="E25" s="230">
        <f t="shared" si="5"/>
        <v>0.38823367856836899</v>
      </c>
      <c r="F25" s="230">
        <f t="shared" si="6"/>
        <v>0.38830653222880235</v>
      </c>
      <c r="I25" s="47"/>
      <c r="J25" s="47"/>
      <c r="K25" s="47"/>
      <c r="L25" s="47"/>
      <c r="M25" s="47"/>
    </row>
    <row r="26" spans="2:21" ht="15.75" x14ac:dyDescent="0.25">
      <c r="B26" s="43" t="s">
        <v>490</v>
      </c>
      <c r="C26" s="34">
        <v>0.26588000000000001</v>
      </c>
      <c r="D26" s="100">
        <f t="shared" si="5"/>
        <v>0.26504</v>
      </c>
      <c r="E26" s="230">
        <f t="shared" si="5"/>
        <v>0.26024293524813602</v>
      </c>
      <c r="F26" s="230">
        <f t="shared" si="6"/>
        <v>0.2602917709145951</v>
      </c>
      <c r="I26" s="47"/>
      <c r="J26" s="47"/>
      <c r="K26" s="47"/>
      <c r="L26" s="47"/>
      <c r="M26" s="47"/>
      <c r="N26"/>
      <c r="O26"/>
    </row>
    <row r="27" spans="2:21" ht="15.75" x14ac:dyDescent="0.25">
      <c r="B27" s="43" t="s">
        <v>500</v>
      </c>
      <c r="C27" s="34">
        <v>0.19592999999999999</v>
      </c>
      <c r="D27" s="100">
        <f t="shared" si="5"/>
        <v>0.19445000000000001</v>
      </c>
      <c r="E27" s="230">
        <f t="shared" si="5"/>
        <v>0.19093057183444029</v>
      </c>
      <c r="F27" s="230">
        <f t="shared" si="6"/>
        <v>0.19096640074835128</v>
      </c>
      <c r="I27" s="47"/>
      <c r="J27" s="47"/>
      <c r="K27" s="47"/>
      <c r="L27" s="47"/>
      <c r="M27" s="47"/>
    </row>
    <row r="28" spans="2:21" x14ac:dyDescent="0.25">
      <c r="B28" s="55"/>
      <c r="C28" s="231"/>
      <c r="D28" s="231"/>
      <c r="E28" s="231"/>
      <c r="F28" s="231"/>
      <c r="I28" s="47"/>
      <c r="J28" s="47"/>
      <c r="K28" s="47"/>
      <c r="L28" s="47"/>
      <c r="M28" s="47"/>
      <c r="N28"/>
      <c r="O28"/>
      <c r="P28"/>
      <c r="Q28"/>
      <c r="R28"/>
    </row>
    <row r="29" spans="2:21" x14ac:dyDescent="0.25">
      <c r="B29" s="55"/>
      <c r="C29" s="231"/>
      <c r="D29" s="231"/>
      <c r="E29" s="231"/>
      <c r="F29" s="231"/>
      <c r="I29" s="47"/>
      <c r="J29" s="47"/>
      <c r="K29" s="47"/>
      <c r="L29" s="47"/>
      <c r="M29" s="47"/>
      <c r="N29"/>
      <c r="O29"/>
      <c r="P29"/>
      <c r="Q29"/>
      <c r="R29"/>
    </row>
    <row r="30" spans="2:21" x14ac:dyDescent="0.25">
      <c r="B30" s="55"/>
      <c r="C30" s="231"/>
      <c r="D30" s="231"/>
      <c r="E30" s="231"/>
      <c r="F30" s="231"/>
      <c r="I30" s="47"/>
      <c r="J30" s="47"/>
      <c r="K30" s="47"/>
      <c r="L30" s="47"/>
      <c r="M30" s="47"/>
      <c r="N30"/>
      <c r="O30"/>
      <c r="P30"/>
      <c r="Q30"/>
      <c r="R30"/>
    </row>
    <row r="31" spans="2:21" x14ac:dyDescent="0.25">
      <c r="B31" s="48"/>
      <c r="C31" s="57"/>
      <c r="D31" s="101"/>
      <c r="E31" s="58"/>
      <c r="F31" s="58"/>
      <c r="N31"/>
      <c r="O31"/>
      <c r="P31"/>
      <c r="Q31"/>
      <c r="R31"/>
    </row>
    <row r="32" spans="2:21" x14ac:dyDescent="0.25">
      <c r="B32" s="48"/>
      <c r="C32" s="43" t="s">
        <v>470</v>
      </c>
      <c r="D32" s="38">
        <v>30.417000000000002</v>
      </c>
      <c r="E32" s="58"/>
      <c r="F32" s="58"/>
      <c r="I32" s="47"/>
      <c r="N32"/>
      <c r="O32"/>
      <c r="P32"/>
      <c r="Q32"/>
      <c r="R32"/>
    </row>
    <row r="33" spans="1:20" x14ac:dyDescent="0.25">
      <c r="B33" s="48"/>
      <c r="C33" s="57"/>
      <c r="D33" s="57"/>
      <c r="E33" s="58"/>
      <c r="F33" s="58"/>
      <c r="I33" s="47"/>
      <c r="N33"/>
      <c r="O33"/>
      <c r="P33"/>
    </row>
    <row r="34" spans="1:20" x14ac:dyDescent="0.25">
      <c r="B34" s="48"/>
      <c r="C34" s="516" t="s">
        <v>501</v>
      </c>
      <c r="D34" s="516"/>
      <c r="E34" s="516"/>
      <c r="F34" s="516"/>
      <c r="G34" s="516"/>
      <c r="H34" s="516"/>
      <c r="I34" s="516"/>
      <c r="J34" s="516"/>
      <c r="N34"/>
      <c r="O34"/>
      <c r="P34"/>
      <c r="Q34"/>
    </row>
    <row r="35" spans="1:20" x14ac:dyDescent="0.25">
      <c r="B35" s="48"/>
      <c r="C35" s="519" t="str">
        <f>C21</f>
        <v>Jan 2026</v>
      </c>
      <c r="D35" s="519"/>
      <c r="E35" s="519">
        <f>D21</f>
        <v>46174</v>
      </c>
      <c r="F35" s="519"/>
      <c r="G35" s="519" t="str">
        <f>E21</f>
        <v>Authorized</v>
      </c>
      <c r="H35" s="519"/>
      <c r="I35" s="524" t="str">
        <f>F21</f>
        <v>w/Pending</v>
      </c>
      <c r="J35" s="519"/>
      <c r="N35"/>
      <c r="O35"/>
    </row>
    <row r="36" spans="1:20" x14ac:dyDescent="0.25">
      <c r="B36" s="48"/>
      <c r="C36" s="57" t="s">
        <v>454</v>
      </c>
      <c r="D36" s="57" t="s">
        <v>455</v>
      </c>
      <c r="E36" s="57" t="s">
        <v>454</v>
      </c>
      <c r="F36" s="57" t="s">
        <v>455</v>
      </c>
      <c r="G36" s="57" t="s">
        <v>454</v>
      </c>
      <c r="H36" s="57" t="s">
        <v>455</v>
      </c>
      <c r="I36" s="57" t="s">
        <v>454</v>
      </c>
      <c r="J36" s="57" t="s">
        <v>455</v>
      </c>
      <c r="N36"/>
      <c r="O36"/>
      <c r="P36"/>
      <c r="Q36"/>
      <c r="R36"/>
      <c r="S36"/>
      <c r="T36"/>
    </row>
    <row r="37" spans="1:20" x14ac:dyDescent="0.25">
      <c r="B37" s="38" t="s">
        <v>82</v>
      </c>
      <c r="C37" s="57">
        <f>SUM(SUM($O$22*$C$22,$P$22*$C$23,$Q$22*$C$24)+SUM($F$14*365/12*4))/4</f>
        <v>247.89437114853254</v>
      </c>
      <c r="D37" s="57">
        <f>SUM(SUM($R$22*$C$25,$S$22*$C$26,$T$22*$C$27)+SUM($F$14*365/12*8))/8</f>
        <v>203.47182334513127</v>
      </c>
      <c r="E37" s="57">
        <f>SUM(SUM($O$22*$D$22,$P$22*$D$23,$Q$22*$D$24)+SUM($F$14*365/12*4))/4</f>
        <v>247.49995346773042</v>
      </c>
      <c r="F37" s="57">
        <f>SUM(SUM($R$22*$D$25,$S$22*$D$26,$T$22*$D$27)+SUM($F$14*365/12*8))/8</f>
        <v>202.99036792289351</v>
      </c>
      <c r="G37" s="57">
        <f>SUM(SUM($O$22*$E$22,$P$22*$E$23,$Q$22*$E$24)+SUM($G$14*365/12*4))/4</f>
        <v>243.27799796620144</v>
      </c>
      <c r="H37" s="57">
        <f>SUM(SUM($R$22*$E$25,$S$22*$E$26,$T$22*$E$27)+SUM($G$14*365/12*8))/8</f>
        <v>199.57400917633441</v>
      </c>
      <c r="I37" s="57">
        <f>SUM(SUM($O$22*$F$22,$P$22*$F$23,$Q$22*$F$24)+SUM($I$14*365/12*4))/4</f>
        <v>243.32097883499159</v>
      </c>
      <c r="J37" s="57">
        <f>SUM(SUM($R$22*$F$25,$S$22*$F$26,$T$22*$F$27)+SUM($G$14*365/12*8))/8</f>
        <v>199.6087888103151</v>
      </c>
      <c r="L37" s="156"/>
      <c r="N37"/>
      <c r="O37"/>
      <c r="P37"/>
      <c r="Q37"/>
      <c r="R37"/>
      <c r="S37"/>
      <c r="T37"/>
    </row>
    <row r="38" spans="1:20" x14ac:dyDescent="0.25">
      <c r="B38" s="38" t="s">
        <v>83</v>
      </c>
      <c r="C38" s="57">
        <f>SUM(SUM($O$23*$C$22,$P$23*$C$23,$Q$23*$C$24)+SUM($F$14*365/12*4))/4</f>
        <v>395.54589091643379</v>
      </c>
      <c r="D38" s="57">
        <f>SUM(SUM($R$23*$C$25,$S$23*$C$26,$T$23*$C$27)+SUM($F$14*365/12*8))/8</f>
        <v>237.14704162743536</v>
      </c>
      <c r="E38" s="57">
        <f>SUM(SUM($O$23*$D$22,$P$23*$D$23,$Q$23*$D$24)+SUM($F$14*365/12*4))/4</f>
        <v>394.90481373883347</v>
      </c>
      <c r="F38" s="57">
        <f>SUM(SUM($R$23*$D$25,$S$23*$D$26,$T$23*$D$27)+SUM($F$14*365/12*8))/8</f>
        <v>236.37419280952753</v>
      </c>
      <c r="G38" s="57">
        <f>SUM(SUM($O$23*$E$22,$P$23*$E$23,$Q$23*$E$24)+SUM($F$14*365/12*4))/4</f>
        <v>388.01491883396943</v>
      </c>
      <c r="H38" s="57">
        <f>SUM(SUM($R$23*$E$25,$S$23*$E$26,$T$23*$E$27)+SUM($F$14*365/12*8))/8</f>
        <v>232.35360689104692</v>
      </c>
      <c r="I38" s="57">
        <f>SUM(SUM($O$23*$F$22,$P$23*$F$23,$Q$23*$F$24)+SUM($I$14*365/12*4))/4</f>
        <v>388.08506018642481</v>
      </c>
      <c r="J38" s="57">
        <f>SUM(SUM($R$23*$F$25,$S$23*$F$26,$T$23*$F$27)+SUM($G$14*365/12*8))/8</f>
        <v>232.39453775253025</v>
      </c>
      <c r="N38"/>
      <c r="O38"/>
      <c r="P38"/>
      <c r="Q38"/>
      <c r="R38"/>
      <c r="S38"/>
      <c r="T38"/>
    </row>
    <row r="39" spans="1:20" x14ac:dyDescent="0.25">
      <c r="B39" s="38" t="s">
        <v>84</v>
      </c>
      <c r="C39" s="57">
        <f>SUM(SUM($O$24*$C$22,$P$24*$C$23,$Q$24*$C$24)+SUM($F$14*365/12*4))/4</f>
        <v>1102.6340879676486</v>
      </c>
      <c r="D39" s="57">
        <f>SUM(SUM($R$24*$C$25,$S$24*$C$26,$T$24*$C$27)+SUM($F$14*365/12*8))/8</f>
        <v>702.18442615319179</v>
      </c>
      <c r="E39" s="57">
        <f>SUM(SUM($O$24*$D$22,$P$24*$D$23,$Q$24*$D$24)+SUM($F$14*365/12*4))/4</f>
        <v>1101.0671385159653</v>
      </c>
      <c r="F39" s="57">
        <f>SUM(SUM($R$24*$D$25,$S$24*$D$26,$T$24*$D$27)+SUM($F$14*365/12*8))/8</f>
        <v>700.27773171258491</v>
      </c>
      <c r="G39" s="57">
        <f>SUM(SUM($O$24*$E$22,$P$24*$E$23,$Q$24*$E$24)+SUM($F$14*365/12*4))/4</f>
        <v>1081.3961298272093</v>
      </c>
      <c r="H39" s="57">
        <f>SUM(SUM($R$24*$E$25,$S$24*$E$26,$T$24*$E$27)+SUM($F$14*365/12*8))/8</f>
        <v>687.86077047439096</v>
      </c>
      <c r="I39" s="57">
        <f>SUM(SUM($O$24*$F$22,$P$24*$F$23,$Q$24*$F$24)+SUM($I$14*365/12*4))/4</f>
        <v>1081.5963870405114</v>
      </c>
      <c r="J39" s="57">
        <f>SUM(SUM($R$24*$F$25,$S$24*$F$26,$T$24*$F$27)+SUM($G$14*365/12*8))/8</f>
        <v>687.98717914486554</v>
      </c>
      <c r="N39"/>
      <c r="O39"/>
      <c r="P39"/>
      <c r="Q39"/>
      <c r="R39"/>
      <c r="S39"/>
      <c r="T39"/>
    </row>
    <row r="40" spans="1:20" x14ac:dyDescent="0.25">
      <c r="B40" s="48"/>
      <c r="N40"/>
      <c r="O40"/>
      <c r="P40"/>
      <c r="Q40"/>
      <c r="R40"/>
      <c r="S40"/>
      <c r="T40"/>
    </row>
    <row r="41" spans="1:20" x14ac:dyDescent="0.25">
      <c r="B41" s="48"/>
      <c r="N41"/>
      <c r="O41"/>
      <c r="P41"/>
    </row>
    <row r="42" spans="1:20" x14ac:dyDescent="0.25">
      <c r="B42" s="48"/>
      <c r="D42" s="58"/>
      <c r="E42" s="58"/>
      <c r="F42" s="99">
        <v>2026</v>
      </c>
      <c r="G42" s="99">
        <f>F42+1</f>
        <v>2027</v>
      </c>
      <c r="H42" s="99">
        <f t="shared" ref="H42:I42" si="8">G42+1</f>
        <v>2028</v>
      </c>
      <c r="I42" s="99">
        <f t="shared" si="8"/>
        <v>2029</v>
      </c>
      <c r="J42" s="99"/>
      <c r="K42" s="99"/>
      <c r="L42" s="99"/>
      <c r="M42" s="99"/>
      <c r="N42"/>
      <c r="O42"/>
      <c r="P42"/>
    </row>
    <row r="43" spans="1:20" ht="15.75" x14ac:dyDescent="0.25">
      <c r="B43" s="135"/>
      <c r="F43" s="99" t="s">
        <v>16</v>
      </c>
      <c r="G43" s="99" t="s">
        <v>16</v>
      </c>
      <c r="H43" s="99" t="s">
        <v>16</v>
      </c>
      <c r="I43" s="99" t="s">
        <v>16</v>
      </c>
      <c r="J43" s="99"/>
      <c r="K43" s="99"/>
      <c r="L43" s="99"/>
      <c r="M43" s="99"/>
      <c r="N43"/>
      <c r="O43"/>
      <c r="P43"/>
    </row>
    <row r="44" spans="1:20" ht="15.75" x14ac:dyDescent="0.25">
      <c r="A44" s="38">
        <v>3</v>
      </c>
      <c r="B44" s="135"/>
      <c r="D44" s="218" t="s">
        <v>487</v>
      </c>
      <c r="E44" s="22"/>
      <c r="F44" s="386">
        <v>247.53491121498919</v>
      </c>
      <c r="G44" s="386">
        <v>240.78213560372544</v>
      </c>
      <c r="H44" s="381">
        <f>G44/G$54*H$54</f>
        <v>257.29274277950992</v>
      </c>
      <c r="I44" s="381">
        <f t="shared" ref="I44" si="9">H44/H$54*I$54</f>
        <v>257.29274277950992</v>
      </c>
      <c r="J44" s="381"/>
      <c r="K44" s="102"/>
      <c r="L44" s="361"/>
      <c r="M44" s="361"/>
      <c r="N44"/>
      <c r="O44"/>
      <c r="P44"/>
      <c r="Q44" s="170"/>
    </row>
    <row r="45" spans="1:20" ht="15.75" x14ac:dyDescent="0.25">
      <c r="A45" s="38">
        <f>A44+1</f>
        <v>4</v>
      </c>
      <c r="B45" s="50"/>
      <c r="D45" s="25" t="s">
        <v>489</v>
      </c>
      <c r="E45" s="25"/>
      <c r="F45" s="386">
        <v>87.88773548127017</v>
      </c>
      <c r="G45" s="386">
        <v>85.490047344974542</v>
      </c>
      <c r="H45" s="381">
        <f t="shared" ref="H45:I49" si="10">G45/G$54*H$54</f>
        <v>91.352162429272553</v>
      </c>
      <c r="I45" s="381">
        <f t="shared" si="10"/>
        <v>91.352162429272568</v>
      </c>
      <c r="J45" s="381"/>
      <c r="K45" s="102"/>
      <c r="L45" s="361"/>
      <c r="M45" s="361"/>
      <c r="N45" s="361"/>
      <c r="O45" s="361"/>
      <c r="P45" s="361"/>
      <c r="Q45" s="170"/>
    </row>
    <row r="46" spans="1:20" s="59" customFormat="1" ht="15.75" x14ac:dyDescent="0.25">
      <c r="A46" s="38">
        <f t="shared" ref="A46:A52" si="11">A45+1</f>
        <v>5</v>
      </c>
      <c r="B46" s="60"/>
      <c r="D46" s="218" t="s">
        <v>490</v>
      </c>
      <c r="E46" s="22"/>
      <c r="F46" s="386">
        <v>1098.8771247106631</v>
      </c>
      <c r="G46" s="386">
        <v>1068.8994479945031</v>
      </c>
      <c r="H46" s="381">
        <f t="shared" si="10"/>
        <v>1142.1946650669818</v>
      </c>
      <c r="I46" s="381">
        <f t="shared" si="10"/>
        <v>1142.194665066982</v>
      </c>
      <c r="J46" s="381"/>
      <c r="K46" s="102"/>
      <c r="L46" s="361"/>
      <c r="M46" s="361"/>
      <c r="N46" s="361"/>
      <c r="O46" s="361"/>
      <c r="P46" s="361"/>
      <c r="Q46" s="170"/>
    </row>
    <row r="47" spans="1:20" ht="15.75" x14ac:dyDescent="0.25">
      <c r="A47" s="38">
        <f t="shared" si="11"/>
        <v>6</v>
      </c>
      <c r="B47" s="48"/>
      <c r="D47" s="25" t="s">
        <v>489</v>
      </c>
      <c r="E47" s="25"/>
      <c r="F47" s="386">
        <v>551.54616942859298</v>
      </c>
      <c r="G47" s="386">
        <v>537.69506544507669</v>
      </c>
      <c r="H47" s="381">
        <f t="shared" si="10"/>
        <v>574.56520941843223</v>
      </c>
      <c r="I47" s="381">
        <f t="shared" si="10"/>
        <v>574.56520941843223</v>
      </c>
      <c r="J47" s="381"/>
      <c r="K47" s="102"/>
      <c r="L47" s="361"/>
      <c r="M47" s="361"/>
      <c r="N47" s="361"/>
      <c r="O47" s="361"/>
      <c r="P47" s="361"/>
      <c r="Q47" s="170"/>
    </row>
    <row r="48" spans="1:20" ht="15.75" x14ac:dyDescent="0.25">
      <c r="A48" s="38">
        <f t="shared" si="11"/>
        <v>7</v>
      </c>
      <c r="B48" s="48"/>
      <c r="D48" s="218" t="s">
        <v>490</v>
      </c>
      <c r="E48" s="22"/>
      <c r="F48" s="386">
        <v>931.6695149035238</v>
      </c>
      <c r="G48" s="386">
        <v>908.210506781204</v>
      </c>
      <c r="H48" s="381">
        <f>G48/G$54*H$54</f>
        <v>970.48716560718617</v>
      </c>
      <c r="I48" s="381">
        <f t="shared" si="10"/>
        <v>970.48716560718628</v>
      </c>
      <c r="J48" s="381"/>
      <c r="K48" s="102"/>
      <c r="L48" s="361"/>
      <c r="M48" s="361"/>
      <c r="N48" s="361"/>
      <c r="O48" s="361"/>
      <c r="P48" s="361"/>
      <c r="Q48" s="170"/>
    </row>
    <row r="49" spans="1:17" ht="15.75" x14ac:dyDescent="0.25">
      <c r="A49" s="38">
        <f t="shared" si="11"/>
        <v>8</v>
      </c>
      <c r="B49" s="48"/>
      <c r="D49" s="25" t="s">
        <v>491</v>
      </c>
      <c r="E49" s="25"/>
      <c r="F49" s="386">
        <v>923.75517588817581</v>
      </c>
      <c r="G49" s="386">
        <v>900.53239790189843</v>
      </c>
      <c r="H49" s="381">
        <f t="shared" si="10"/>
        <v>962.28256318532078</v>
      </c>
      <c r="I49" s="381">
        <f t="shared" si="10"/>
        <v>962.2825631853209</v>
      </c>
      <c r="J49" s="381"/>
      <c r="K49" s="102"/>
      <c r="M49" s="102"/>
      <c r="N49" s="361"/>
      <c r="O49" s="361"/>
      <c r="P49" s="361"/>
      <c r="Q49" s="170"/>
    </row>
    <row r="50" spans="1:17" x14ac:dyDescent="0.25">
      <c r="A50" s="38">
        <f t="shared" si="11"/>
        <v>9</v>
      </c>
      <c r="B50" s="48"/>
      <c r="D50" s="25"/>
      <c r="E50" s="25"/>
      <c r="F50" s="218"/>
      <c r="G50" s="218"/>
      <c r="H50" s="218"/>
      <c r="I50" s="218"/>
      <c r="J50" s="218"/>
      <c r="N50" s="156"/>
    </row>
    <row r="51" spans="1:17" ht="15.75" x14ac:dyDescent="0.25">
      <c r="A51" s="38">
        <f t="shared" si="11"/>
        <v>10</v>
      </c>
      <c r="B51" s="48"/>
      <c r="D51" s="25" t="s">
        <v>474</v>
      </c>
      <c r="E51" s="25"/>
      <c r="F51" s="386">
        <v>4154722</v>
      </c>
      <c r="G51" s="386">
        <v>4164016.5465579117</v>
      </c>
      <c r="H51" s="381">
        <v>4181505.9159729024</v>
      </c>
      <c r="I51" s="381">
        <v>4198987.4741465282</v>
      </c>
      <c r="J51" s="381"/>
      <c r="M51" s="139"/>
      <c r="N51" s="156"/>
    </row>
    <row r="52" spans="1:17" ht="15.75" x14ac:dyDescent="0.25">
      <c r="A52" s="38">
        <f t="shared" si="11"/>
        <v>11</v>
      </c>
      <c r="B52" s="48"/>
      <c r="D52" s="27"/>
      <c r="E52" s="27"/>
      <c r="F52" s="218"/>
      <c r="G52" s="381"/>
      <c r="H52" s="381"/>
      <c r="I52" s="381"/>
      <c r="J52" s="381"/>
      <c r="K52" s="139"/>
      <c r="M52" s="139"/>
      <c r="N52" s="156"/>
    </row>
    <row r="53" spans="1:17" x14ac:dyDescent="0.25">
      <c r="B53" s="48"/>
      <c r="C53" s="57"/>
      <c r="D53" s="57"/>
      <c r="E53" s="57"/>
      <c r="F53" s="57"/>
      <c r="G53" s="62"/>
      <c r="H53" s="62"/>
      <c r="N53" s="156"/>
      <c r="O53" s="156"/>
    </row>
    <row r="54" spans="1:17" ht="15.75" x14ac:dyDescent="0.25">
      <c r="B54" s="48"/>
      <c r="C54" s="57"/>
      <c r="D54" s="22" t="s">
        <v>502</v>
      </c>
      <c r="E54" s="25"/>
      <c r="F54" s="199">
        <f t="shared" ref="F54" si="12">SUM(F44:F49)</f>
        <v>3841.2706316272152</v>
      </c>
      <c r="G54" s="381">
        <f>'SAR and AR (GS1)'!K59/1000</f>
        <v>3741.6096010713827</v>
      </c>
      <c r="H54" s="381">
        <f>'SAR and AR (GS1)'!K60/1000</f>
        <v>3998.1745084867039</v>
      </c>
      <c r="I54" s="381">
        <f>'SAR and AR (GS1)'!K61/1000</f>
        <v>3998.1745084867043</v>
      </c>
      <c r="J54" s="381"/>
      <c r="K54" s="271"/>
      <c r="M54" s="187"/>
    </row>
    <row r="55" spans="1:17" ht="15.75" x14ac:dyDescent="0.25">
      <c r="B55" s="48"/>
      <c r="C55" s="57"/>
      <c r="D55" s="25"/>
      <c r="E55" s="25" t="s">
        <v>474</v>
      </c>
      <c r="F55" s="187">
        <f>F51/SUM(F$51:F$52)</f>
        <v>1</v>
      </c>
      <c r="G55" s="381">
        <f>G51</f>
        <v>4164016.5465579117</v>
      </c>
      <c r="H55" s="381">
        <f t="shared" ref="H55:I55" si="13">H51</f>
        <v>4181505.9159729024</v>
      </c>
      <c r="I55" s="381">
        <f t="shared" si="13"/>
        <v>4198987.4741465282</v>
      </c>
      <c r="J55" s="381"/>
      <c r="K55" s="271"/>
      <c r="M55" s="187"/>
      <c r="N55" s="182"/>
      <c r="O55" s="182"/>
    </row>
    <row r="56" spans="1:17" ht="15.75" x14ac:dyDescent="0.25">
      <c r="B56" s="48"/>
      <c r="C56" s="57"/>
      <c r="D56" s="22"/>
      <c r="E56" s="70"/>
      <c r="F56" s="70"/>
      <c r="G56" s="70"/>
      <c r="H56" s="70"/>
      <c r="I56" s="70"/>
      <c r="J56" s="70"/>
      <c r="K56" s="70"/>
      <c r="L56" s="70"/>
      <c r="M56" s="70"/>
      <c r="N56" s="156"/>
    </row>
    <row r="57" spans="1:17" ht="15.75" x14ac:dyDescent="0.25">
      <c r="B57" s="48"/>
      <c r="C57" s="57"/>
      <c r="D57" s="25"/>
      <c r="E57" s="70"/>
      <c r="F57" s="70"/>
      <c r="G57" s="70"/>
      <c r="H57" s="70"/>
      <c r="I57" s="70"/>
      <c r="J57" s="70"/>
      <c r="K57" s="70"/>
      <c r="L57" s="70"/>
      <c r="M57" s="70"/>
      <c r="N57" s="156"/>
    </row>
    <row r="58" spans="1:17" ht="15.75" x14ac:dyDescent="0.25">
      <c r="B58" s="48"/>
      <c r="C58" s="57"/>
      <c r="D58" s="22"/>
      <c r="E58" s="70"/>
      <c r="F58" s="70"/>
      <c r="G58" s="70"/>
      <c r="H58" s="70"/>
      <c r="I58" s="70"/>
      <c r="J58" s="70"/>
      <c r="K58" s="70"/>
      <c r="L58" s="70"/>
      <c r="M58" s="70"/>
      <c r="N58" s="156"/>
    </row>
    <row r="59" spans="1:17" ht="15.75" x14ac:dyDescent="0.25">
      <c r="B59" s="48"/>
      <c r="C59" s="57"/>
      <c r="D59" s="25"/>
      <c r="E59" s="70"/>
      <c r="F59" s="70"/>
      <c r="G59" s="70"/>
      <c r="H59" s="70"/>
      <c r="I59" s="70"/>
      <c r="J59" s="70"/>
      <c r="K59" s="70"/>
      <c r="L59" s="70"/>
      <c r="M59" s="70"/>
      <c r="N59" s="156"/>
    </row>
    <row r="60" spans="1:17" ht="15.75" x14ac:dyDescent="0.25">
      <c r="B60" s="48"/>
      <c r="C60" s="57"/>
      <c r="D60" s="25"/>
      <c r="E60" s="70"/>
      <c r="F60" s="70"/>
      <c r="G60" s="70"/>
      <c r="H60" s="70"/>
      <c r="I60" s="70"/>
      <c r="J60" s="70"/>
      <c r="K60" s="70"/>
      <c r="L60" s="70"/>
      <c r="M60" s="70"/>
      <c r="N60" s="156"/>
    </row>
    <row r="61" spans="1:17" ht="15.75" x14ac:dyDescent="0.25">
      <c r="B61" s="48"/>
      <c r="C61" s="57"/>
      <c r="D61" s="25"/>
      <c r="E61" s="70"/>
      <c r="F61" s="70"/>
      <c r="G61" s="70"/>
      <c r="H61" s="70"/>
      <c r="I61" s="70"/>
      <c r="J61" s="70"/>
      <c r="K61" s="70"/>
      <c r="L61" s="70"/>
      <c r="M61" s="70"/>
      <c r="N61" s="156"/>
    </row>
    <row r="62" spans="1:17" ht="15.75" x14ac:dyDescent="0.25">
      <c r="D62" s="27"/>
      <c r="E62" s="70"/>
      <c r="F62" s="70"/>
      <c r="G62" s="70"/>
      <c r="H62" s="70"/>
      <c r="I62" s="70"/>
      <c r="J62" s="70"/>
      <c r="K62" s="70"/>
      <c r="L62" s="70"/>
      <c r="M62" s="70"/>
      <c r="N62" s="156"/>
    </row>
    <row r="63" spans="1:17" x14ac:dyDescent="0.25">
      <c r="N63" s="156"/>
    </row>
    <row r="64" spans="1:17" x14ac:dyDescent="0.25">
      <c r="N64" s="156"/>
    </row>
    <row r="65" spans="14:14" x14ac:dyDescent="0.25">
      <c r="N65" s="156"/>
    </row>
  </sheetData>
  <mergeCells count="10">
    <mergeCell ref="K20:L20"/>
    <mergeCell ref="C34:J34"/>
    <mergeCell ref="B1:V1"/>
    <mergeCell ref="C35:D35"/>
    <mergeCell ref="E35:F35"/>
    <mergeCell ref="G35:H35"/>
    <mergeCell ref="I35:J35"/>
    <mergeCell ref="B2:D2"/>
    <mergeCell ref="E3:J3"/>
    <mergeCell ref="I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2260-497D-4BA4-98A0-D2A02D41C09C}">
  <sheetPr codeName="Sheet9">
    <tabColor theme="8" tint="0.59999389629810485"/>
  </sheetPr>
  <dimension ref="B1:R122"/>
  <sheetViews>
    <sheetView tabSelected="1" topLeftCell="A19" zoomScaleNormal="100" workbookViewId="0">
      <selection activeCell="B52" sqref="B52:C52"/>
    </sheetView>
  </sheetViews>
  <sheetFormatPr defaultColWidth="8.7109375" defaultRowHeight="15" x14ac:dyDescent="0.25"/>
  <cols>
    <col min="1" max="1" width="5.5703125" style="38" customWidth="1"/>
    <col min="2" max="2" width="16.5703125" style="38" customWidth="1"/>
    <col min="3" max="3" width="20.7109375" style="38" customWidth="1"/>
    <col min="4" max="4" width="19" style="38" customWidth="1"/>
    <col min="5" max="5" width="18" style="38" customWidth="1"/>
    <col min="6" max="6" width="13.42578125" style="38" customWidth="1"/>
    <col min="7" max="8" width="14.42578125" style="38" bestFit="1" customWidth="1"/>
    <col min="9" max="9" width="13.42578125" style="38" customWidth="1"/>
    <col min="10" max="10" width="14" style="38" customWidth="1"/>
    <col min="11" max="11" width="14.7109375" style="38" customWidth="1"/>
    <col min="12" max="16" width="18.5703125" style="38" customWidth="1"/>
    <col min="17" max="18" width="13.42578125" style="38" customWidth="1"/>
    <col min="19" max="19" width="15.7109375" style="38" customWidth="1"/>
    <col min="20" max="20" width="13.7109375" style="38" customWidth="1"/>
    <col min="21" max="25" width="15.5703125" style="38" customWidth="1"/>
    <col min="26" max="16384" width="8.7109375" style="38"/>
  </cols>
  <sheetData>
    <row r="1" spans="2:18" x14ac:dyDescent="0.25">
      <c r="B1" s="6"/>
    </row>
    <row r="2" spans="2:18" x14ac:dyDescent="0.25">
      <c r="B2" s="202" t="s">
        <v>0</v>
      </c>
      <c r="C2" s="205"/>
      <c r="D2" s="205"/>
      <c r="E2" s="205"/>
      <c r="F2" s="205"/>
      <c r="G2" s="205"/>
      <c r="H2" s="205"/>
      <c r="K2" s="202" t="s">
        <v>1</v>
      </c>
      <c r="L2" s="206"/>
      <c r="M2" s="206"/>
      <c r="N2" s="205"/>
      <c r="O2" s="205"/>
      <c r="P2" s="205"/>
    </row>
    <row r="3" spans="2:18" x14ac:dyDescent="0.25">
      <c r="B3" s="2"/>
      <c r="C3" s="67"/>
      <c r="D3" s="6"/>
      <c r="E3" s="2"/>
      <c r="K3" s="2" t="s">
        <v>6</v>
      </c>
      <c r="L3" s="18"/>
      <c r="M3" s="110">
        <f>Summary!N3</f>
        <v>46174</v>
      </c>
    </row>
    <row r="4" spans="2:18" x14ac:dyDescent="0.25">
      <c r="B4" s="19"/>
      <c r="C4" s="95" t="s">
        <v>7</v>
      </c>
      <c r="D4" s="74" t="s">
        <v>8</v>
      </c>
      <c r="K4" s="2" t="s">
        <v>10</v>
      </c>
      <c r="L4" s="18"/>
      <c r="M4" s="140">
        <v>2026</v>
      </c>
    </row>
    <row r="5" spans="2:18" x14ac:dyDescent="0.25">
      <c r="C5" s="43" t="s">
        <v>9</v>
      </c>
      <c r="D5" s="74">
        <v>500</v>
      </c>
      <c r="K5" s="19" t="s">
        <v>11</v>
      </c>
      <c r="M5" s="20" t="s">
        <v>12</v>
      </c>
      <c r="N5" s="97"/>
      <c r="O5" s="75"/>
    </row>
    <row r="6" spans="2:18" x14ac:dyDescent="0.25">
      <c r="C6" s="43" t="s">
        <v>4</v>
      </c>
      <c r="D6" s="74" t="s">
        <v>5</v>
      </c>
      <c r="F6" s="99"/>
      <c r="K6" s="19" t="s">
        <v>14</v>
      </c>
      <c r="O6" s="96">
        <f>IF($D$4="All",SUMPRODUCT('Res Bill Impact (2)'!P$22:P$30,'Res Bill Impact (2)'!$T$22:$T$30),VLOOKUP(D$4,'Res Bill Impact (2)'!$O$22:$S$30,2,FALSE))</f>
        <v>662.71460214187891</v>
      </c>
      <c r="P6" s="19" t="s">
        <v>15</v>
      </c>
    </row>
    <row r="7" spans="2:18" x14ac:dyDescent="0.25">
      <c r="B7" s="117"/>
      <c r="C7" s="4"/>
      <c r="D7" s="114" t="s">
        <v>503</v>
      </c>
      <c r="E7" s="127"/>
      <c r="K7" s="19" t="s">
        <v>20</v>
      </c>
      <c r="O7" s="42">
        <f>IF($D$4="All",SUMPRODUCT('Res Bill Impact (2)'!Q$22:Q$30,'Res Bill Impact (2)'!$T$22:$T$30),VLOOKUP(D$4,'Res Bill Impact (2)'!$O$22:$S$30,3,FALSE))</f>
        <v>441.26384345027054</v>
      </c>
      <c r="P7" s="19" t="s">
        <v>15</v>
      </c>
    </row>
    <row r="8" spans="2:18" x14ac:dyDescent="0.25">
      <c r="B8" s="104"/>
      <c r="C8" s="67" t="s">
        <v>142</v>
      </c>
      <c r="D8" s="129"/>
      <c r="E8" s="99"/>
      <c r="F8" s="98"/>
      <c r="K8" s="19" t="s">
        <v>23</v>
      </c>
      <c r="O8" s="42">
        <f>IF($D$4="All",SUMPRODUCT('Res Bill Impact (2)'!R$22:R$30,'Res Bill Impact (2)'!$U$22:$U$30),VLOOKUP(D$4,'Res Bill Impact (2)'!$O$22:$S$30,4,FALSE))</f>
        <v>642.80365726071057</v>
      </c>
      <c r="P8" s="19" t="s">
        <v>15</v>
      </c>
    </row>
    <row r="9" spans="2:18" x14ac:dyDescent="0.25">
      <c r="B9" s="104"/>
      <c r="C9" s="67" t="s">
        <v>147</v>
      </c>
      <c r="D9" s="129"/>
      <c r="E9" s="99"/>
      <c r="F9" s="98"/>
      <c r="K9" s="19" t="s">
        <v>27</v>
      </c>
      <c r="O9" s="42">
        <f>IF($D$4="All",SUMPRODUCT('Res Bill Impact (2)'!S$22:S$30,'Res Bill Impact (2)'!$U$22:$U$30),VLOOKUP(D$4,'Res Bill Impact (2)'!$O$22:$S$30,5,FALSE))</f>
        <v>423.5758643207634</v>
      </c>
      <c r="P9" s="19" t="s">
        <v>15</v>
      </c>
    </row>
    <row r="10" spans="2:18" x14ac:dyDescent="0.25">
      <c r="B10" s="104"/>
      <c r="C10" s="67" t="s">
        <v>158</v>
      </c>
      <c r="D10" s="129"/>
      <c r="E10" s="99"/>
      <c r="F10" s="98"/>
      <c r="K10" s="19" t="s">
        <v>29</v>
      </c>
      <c r="O10" s="96">
        <f>IF($D$4="All",SUMPRODUCT('Res Bill Impact (2)'!I$22:I$30,'Res Bill Impact (2)'!$T$22:$T$30),VLOOKUP($D$4,'Res Bill Impact (2)'!$H$22:$L$30,2,FALSE))</f>
        <v>514.04729999999995</v>
      </c>
      <c r="P10" s="19" t="s">
        <v>15</v>
      </c>
      <c r="Q10" s="43"/>
      <c r="R10" s="166"/>
    </row>
    <row r="11" spans="2:18" x14ac:dyDescent="0.25">
      <c r="B11" s="104"/>
      <c r="C11" s="67" t="s">
        <v>157</v>
      </c>
      <c r="D11" s="129"/>
      <c r="E11" s="109"/>
      <c r="F11" s="98"/>
      <c r="K11" s="19" t="s">
        <v>33</v>
      </c>
      <c r="O11" s="42">
        <f>IF($D$4="All",SUMPRODUCT('Res Bill Impact (2)'!J$22:J$30,'Res Bill Impact (2)'!$T$22:$T$30),VLOOKUP($D$4,'Res Bill Impact (2)'!$H$22:$L$30,3,FALSE))</f>
        <v>365.00400000000002</v>
      </c>
      <c r="P11" s="19" t="s">
        <v>15</v>
      </c>
      <c r="Q11" s="43"/>
      <c r="R11" s="166"/>
    </row>
    <row r="12" spans="2:18" x14ac:dyDescent="0.25">
      <c r="B12" s="104"/>
      <c r="C12" s="67" t="s">
        <v>228</v>
      </c>
      <c r="D12" s="161"/>
      <c r="K12" s="19" t="s">
        <v>35</v>
      </c>
      <c r="O12" s="42">
        <f>IF($D$4="All",SUMPRODUCT('Res Bill Impact (2)'!K$22:K$30,'Res Bill Impact (2)'!$T$22:$T$30),VLOOKUP($D$4,'Res Bill Impact (2)'!$H$22:$L$30,4,FALSE))</f>
        <v>380.21250000000003</v>
      </c>
      <c r="P12" s="19" t="s">
        <v>15</v>
      </c>
      <c r="Q12" s="43"/>
      <c r="R12" s="166"/>
    </row>
    <row r="13" spans="2:18" x14ac:dyDescent="0.25">
      <c r="B13" s="104"/>
      <c r="C13" s="67" t="s">
        <v>145</v>
      </c>
      <c r="D13" s="129"/>
      <c r="E13" s="98"/>
      <c r="G13" s="127"/>
      <c r="K13" s="19" t="s">
        <v>39</v>
      </c>
      <c r="O13" s="42">
        <f>IF($D$4="All",SUMPRODUCT('Res Bill Impact (2)'!L$22:L$30,'Res Bill Impact (2)'!$T$22:$T$30),VLOOKUP($D$4,'Res Bill Impact (2)'!$H$22:$L$30,5,FALSE))</f>
        <v>422.79630000000003</v>
      </c>
      <c r="P13" s="19" t="s">
        <v>15</v>
      </c>
    </row>
    <row r="14" spans="2:18" x14ac:dyDescent="0.25">
      <c r="B14" s="104"/>
      <c r="C14" s="67" t="s">
        <v>283</v>
      </c>
      <c r="D14" s="129"/>
      <c r="E14" s="207"/>
      <c r="G14" s="208"/>
      <c r="K14" s="19" t="s">
        <v>41</v>
      </c>
      <c r="O14" s="43"/>
      <c r="Q14" s="39">
        <v>2025</v>
      </c>
    </row>
    <row r="15" spans="2:18" x14ac:dyDescent="0.25">
      <c r="B15" s="104"/>
      <c r="C15" s="67" t="s">
        <v>287</v>
      </c>
      <c r="D15" s="129"/>
      <c r="E15" s="207"/>
      <c r="G15" s="209"/>
      <c r="K15" s="19" t="s">
        <v>44</v>
      </c>
      <c r="M15" s="39">
        <v>4</v>
      </c>
      <c r="N15" s="19" t="s">
        <v>45</v>
      </c>
      <c r="O15" s="19"/>
      <c r="Q15" s="19"/>
    </row>
    <row r="16" spans="2:18" x14ac:dyDescent="0.25">
      <c r="C16" s="67" t="s">
        <v>173</v>
      </c>
      <c r="D16" s="129"/>
      <c r="E16" s="207"/>
      <c r="G16" s="210"/>
      <c r="K16" s="19" t="s">
        <v>47</v>
      </c>
      <c r="M16" s="39">
        <v>8</v>
      </c>
      <c r="N16" s="19" t="s">
        <v>45</v>
      </c>
    </row>
    <row r="17" spans="2:18" x14ac:dyDescent="0.25">
      <c r="B17" s="67"/>
      <c r="C17" s="67" t="s">
        <v>277</v>
      </c>
      <c r="D17" s="129"/>
      <c r="E17" s="207"/>
      <c r="G17" s="210"/>
      <c r="K17" s="38" t="s">
        <v>49</v>
      </c>
      <c r="L17" s="19"/>
      <c r="M17" s="250">
        <f>Summary!N19</f>
        <v>-36</v>
      </c>
      <c r="N17" s="19"/>
    </row>
    <row r="18" spans="2:18" x14ac:dyDescent="0.25">
      <c r="B18" s="67"/>
      <c r="C18" s="67" t="s">
        <v>296</v>
      </c>
      <c r="D18" s="129"/>
      <c r="E18" s="207"/>
      <c r="G18" s="211"/>
      <c r="K18" s="19"/>
      <c r="N18" s="19"/>
    </row>
    <row r="19" spans="2:18" x14ac:dyDescent="0.25">
      <c r="B19" s="67"/>
      <c r="C19" s="67" t="s">
        <v>387</v>
      </c>
      <c r="D19" s="130"/>
      <c r="F19" s="98"/>
      <c r="K19" s="19"/>
      <c r="N19" s="19"/>
    </row>
    <row r="20" spans="2:18" x14ac:dyDescent="0.25">
      <c r="B20" s="67"/>
      <c r="C20" s="67" t="s">
        <v>71</v>
      </c>
      <c r="D20" s="66">
        <f>SUM(D8:D19)</f>
        <v>0</v>
      </c>
      <c r="F20" s="98"/>
      <c r="K20" s="19"/>
      <c r="N20" s="19"/>
    </row>
    <row r="21" spans="2:18" x14ac:dyDescent="0.25">
      <c r="B21" s="202" t="s">
        <v>52</v>
      </c>
      <c r="C21" s="205"/>
      <c r="D21" s="205"/>
      <c r="E21" s="205"/>
      <c r="F21" s="205"/>
      <c r="G21" s="205"/>
      <c r="H21" s="205"/>
    </row>
    <row r="22" spans="2:18" ht="15.75" thickBot="1" x14ac:dyDescent="0.3">
      <c r="D22" s="119" t="s">
        <v>53</v>
      </c>
      <c r="E22" s="119" t="s">
        <v>54</v>
      </c>
      <c r="F22" s="119" t="s">
        <v>55</v>
      </c>
      <c r="G22" s="119" t="s">
        <v>504</v>
      </c>
      <c r="H22" s="119" t="s">
        <v>505</v>
      </c>
      <c r="L22" s="119" t="s">
        <v>53</v>
      </c>
      <c r="M22" s="119" t="s">
        <v>54</v>
      </c>
      <c r="N22" s="119" t="s">
        <v>55</v>
      </c>
      <c r="O22" s="119" t="s">
        <v>504</v>
      </c>
      <c r="P22" s="119" t="s">
        <v>505</v>
      </c>
      <c r="Q22" s="119"/>
      <c r="R22" s="119"/>
    </row>
    <row r="23" spans="2:18" x14ac:dyDescent="0.25">
      <c r="B23" s="497" t="s">
        <v>60</v>
      </c>
      <c r="C23" s="498"/>
      <c r="D23" s="498"/>
      <c r="E23" s="498"/>
      <c r="F23" s="498"/>
      <c r="G23" s="498"/>
      <c r="H23" s="499"/>
      <c r="J23" s="497" t="s">
        <v>61</v>
      </c>
      <c r="K23" s="498"/>
      <c r="L23" s="498"/>
      <c r="M23" s="498"/>
      <c r="N23" s="498"/>
      <c r="O23" s="498"/>
      <c r="P23" s="499"/>
    </row>
    <row r="24" spans="2:18" ht="30" x14ac:dyDescent="0.25">
      <c r="B24" s="500" t="s">
        <v>62</v>
      </c>
      <c r="C24" s="501"/>
      <c r="D24" s="212">
        <f>Summary!D32</f>
        <v>46023</v>
      </c>
      <c r="E24" s="111">
        <f>M3</f>
        <v>46174</v>
      </c>
      <c r="F24" s="8" t="s">
        <v>431</v>
      </c>
      <c r="G24" s="8" t="s">
        <v>506</v>
      </c>
      <c r="H24" s="121" t="s">
        <v>507</v>
      </c>
      <c r="J24" s="502" t="s">
        <v>62</v>
      </c>
      <c r="K24" s="503"/>
      <c r="L24" s="111">
        <f>$D$24</f>
        <v>46023</v>
      </c>
      <c r="M24" s="111">
        <f>$E$24</f>
        <v>46174</v>
      </c>
      <c r="N24" s="8" t="s">
        <v>431</v>
      </c>
      <c r="O24" s="8" t="str">
        <f>$G$24</f>
        <v>% Change over 1/1/2026</v>
      </c>
      <c r="P24" s="121" t="s">
        <v>507</v>
      </c>
    </row>
    <row r="25" spans="2:18" x14ac:dyDescent="0.25">
      <c r="B25" s="493" t="s">
        <v>64</v>
      </c>
      <c r="C25" s="494"/>
      <c r="D25" s="387">
        <f>IF(D6="Y",'SAR and RAR'!W28,'SAR and RAR'!X28)</f>
        <v>34.450798387306023</v>
      </c>
      <c r="E25" s="76">
        <f>'SAR and RAR (2)'!F24</f>
        <v>34.420671791313382</v>
      </c>
      <c r="F25" s="76">
        <f>'SAR and RAR (2)'!G24</f>
        <v>34.420671791313382</v>
      </c>
      <c r="G25" s="77">
        <f t="shared" ref="G25:H27" si="0">$F25/D25-1</f>
        <v>-8.7448179441151908E-4</v>
      </c>
      <c r="H25" s="122">
        <f t="shared" si="0"/>
        <v>0</v>
      </c>
      <c r="I25" s="136"/>
      <c r="J25" s="493" t="s">
        <v>65</v>
      </c>
      <c r="K25" s="494"/>
      <c r="L25" s="76">
        <f>IF(D6="Y",'SAR and RAR'!Z28,'SAR and RAR'!AA28)</f>
        <v>32.056103113720468</v>
      </c>
      <c r="M25" s="76">
        <f>'SAR and RAR (2)'!N24</f>
        <v>32.047477717664698</v>
      </c>
      <c r="N25" s="76">
        <f>'SAR and RAR (2)'!O24</f>
        <v>32.047477717664698</v>
      </c>
      <c r="O25" s="77">
        <f t="shared" ref="O25:P27" si="1">$N25/L25-1</f>
        <v>-2.6907188391456227E-4</v>
      </c>
      <c r="P25" s="122">
        <f t="shared" si="1"/>
        <v>0</v>
      </c>
      <c r="Q25" s="136"/>
    </row>
    <row r="26" spans="2:18" x14ac:dyDescent="0.25">
      <c r="B26" s="232"/>
      <c r="C26" s="233" t="s">
        <v>66</v>
      </c>
      <c r="D26" s="387">
        <f>IF(D6="Y",'SAR and AR (GS1)'!W28,'SAR and AR (GS1)'!X28)</f>
        <v>30.53542357629469</v>
      </c>
      <c r="E26" s="234">
        <f>'SAR and AR (GS1) (2)'!G24</f>
        <v>30.467204932187947</v>
      </c>
      <c r="F26" s="234">
        <f>'SAR and AR (GS1) (2)'!H24</f>
        <v>30.467204932187947</v>
      </c>
      <c r="G26" s="77">
        <f t="shared" si="0"/>
        <v>-2.2340821287870627E-3</v>
      </c>
      <c r="H26" s="122">
        <f t="shared" si="0"/>
        <v>0</v>
      </c>
      <c r="I26" s="136"/>
      <c r="J26" s="232"/>
      <c r="K26" s="233" t="s">
        <v>508</v>
      </c>
      <c r="L26" s="234">
        <f>IF(D6="Y",'SAR and AR (GS1)'!Z28,'SAR and AR (GS1)'!AA28)</f>
        <v>27.150548854511616</v>
      </c>
      <c r="M26" s="234">
        <f>'SAR and AR (GS1) (2)'!O24</f>
        <v>27.082441027793188</v>
      </c>
      <c r="N26" s="234">
        <f>'SAR and AR (GS1) (2)'!P24</f>
        <v>27.082441027793188</v>
      </c>
      <c r="O26" s="77">
        <f t="shared" si="1"/>
        <v>-2.5085248583146535E-3</v>
      </c>
      <c r="P26" s="122">
        <f t="shared" si="1"/>
        <v>0</v>
      </c>
      <c r="Q26" s="136"/>
    </row>
    <row r="27" spans="2:18" ht="15.75" thickBot="1" x14ac:dyDescent="0.3">
      <c r="B27" s="489" t="s">
        <v>68</v>
      </c>
      <c r="C27" s="490"/>
      <c r="D27" s="78">
        <f>IF(D6="Y",'SAR and RAR'!W29,'SAR and RAR'!X29)</f>
        <v>28.858148901602505</v>
      </c>
      <c r="E27" s="79">
        <f>'SAR and RAR (2)'!F25</f>
        <v>28.827784535157313</v>
      </c>
      <c r="F27" s="79">
        <f>'SAR and RAR (2)'!G25</f>
        <v>28.827784535157313</v>
      </c>
      <c r="G27" s="80">
        <f t="shared" si="0"/>
        <v>-1.0521938378211804E-3</v>
      </c>
      <c r="H27" s="123">
        <f t="shared" si="0"/>
        <v>0</v>
      </c>
      <c r="I27" s="136"/>
      <c r="J27" s="489" t="s">
        <v>69</v>
      </c>
      <c r="K27" s="490"/>
      <c r="L27" s="79">
        <f>IF(D6="Y",'SAR and RAR'!Z29,'SAR and RAR'!AA29)</f>
        <v>25.194451832968483</v>
      </c>
      <c r="M27" s="79">
        <f>'SAR and RAR (2)'!N25</f>
        <v>25.162700793487694</v>
      </c>
      <c r="N27" s="79">
        <f>'SAR and RAR (2)'!O25</f>
        <v>25.162700793487694</v>
      </c>
      <c r="O27" s="80">
        <f t="shared" si="1"/>
        <v>-1.2602393452053606E-3</v>
      </c>
      <c r="P27" s="123">
        <f t="shared" si="1"/>
        <v>0</v>
      </c>
      <c r="Q27" s="136"/>
    </row>
    <row r="28" spans="2:18" x14ac:dyDescent="0.25">
      <c r="F28" s="177"/>
      <c r="I28" s="136"/>
    </row>
    <row r="29" spans="2:18" ht="15.75" thickBot="1" x14ac:dyDescent="0.3">
      <c r="I29" s="136"/>
    </row>
    <row r="30" spans="2:18" x14ac:dyDescent="0.25">
      <c r="B30" s="528" t="s">
        <v>70</v>
      </c>
      <c r="C30" s="529"/>
      <c r="D30" s="529"/>
      <c r="E30" s="529"/>
      <c r="F30" s="529"/>
      <c r="G30" s="529"/>
      <c r="H30" s="530"/>
      <c r="I30" s="136"/>
      <c r="J30" s="173"/>
    </row>
    <row r="31" spans="2:18" ht="30" x14ac:dyDescent="0.25">
      <c r="B31" s="196"/>
      <c r="C31" s="81"/>
      <c r="D31" s="111">
        <f>$D$24</f>
        <v>46023</v>
      </c>
      <c r="E31" s="111">
        <f>$E$24</f>
        <v>46174</v>
      </c>
      <c r="F31" s="8" t="s">
        <v>431</v>
      </c>
      <c r="G31" s="8" t="str">
        <f>$G$24</f>
        <v>% Change over 1/1/2026</v>
      </c>
      <c r="H31" s="121" t="s">
        <v>507</v>
      </c>
      <c r="I31" s="136"/>
      <c r="J31" s="173"/>
    </row>
    <row r="32" spans="2:18" x14ac:dyDescent="0.25">
      <c r="B32" s="491" t="s">
        <v>16</v>
      </c>
      <c r="C32" s="492"/>
      <c r="D32" s="82">
        <f t="shared" ref="D32:F34" si="2">((D39*4)+(D45*8))/12</f>
        <v>187.26221869889318</v>
      </c>
      <c r="E32" s="82">
        <f>((E39*4)+(E45*8))/12</f>
        <v>187.10380966794779</v>
      </c>
      <c r="F32" s="83">
        <f t="shared" si="2"/>
        <v>187.10380966794779</v>
      </c>
      <c r="G32" s="84">
        <f t="shared" ref="G32:H34" si="3">$F32/D32-1</f>
        <v>-8.4592093400381874E-4</v>
      </c>
      <c r="H32" s="124">
        <f t="shared" si="3"/>
        <v>0</v>
      </c>
      <c r="I32" s="136"/>
      <c r="J32" s="249"/>
      <c r="K32" s="249"/>
      <c r="L32" s="136"/>
    </row>
    <row r="33" spans="2:15" x14ac:dyDescent="0.25">
      <c r="B33" s="491" t="s">
        <v>24</v>
      </c>
      <c r="C33" s="492"/>
      <c r="D33" s="82">
        <f t="shared" si="2"/>
        <v>105.1805198753104</v>
      </c>
      <c r="E33" s="82">
        <f t="shared" si="2"/>
        <v>105.04709118148521</v>
      </c>
      <c r="F33" s="83">
        <f t="shared" si="2"/>
        <v>105.04709118148521</v>
      </c>
      <c r="G33" s="84">
        <f t="shared" si="3"/>
        <v>-1.26856849522472E-3</v>
      </c>
      <c r="H33" s="126">
        <f t="shared" si="3"/>
        <v>0</v>
      </c>
      <c r="I33" s="136"/>
      <c r="J33" s="249"/>
      <c r="K33" s="249"/>
      <c r="L33" s="136"/>
    </row>
    <row r="34" spans="2:15" ht="15.75" thickBot="1" x14ac:dyDescent="0.3">
      <c r="B34" s="489" t="s">
        <v>71</v>
      </c>
      <c r="C34" s="490"/>
      <c r="D34" s="85">
        <f t="shared" si="2"/>
        <v>158.53362411063918</v>
      </c>
      <c r="E34" s="85">
        <f t="shared" si="2"/>
        <v>158.38395819768587</v>
      </c>
      <c r="F34" s="86">
        <f t="shared" si="2"/>
        <v>158.38395819768587</v>
      </c>
      <c r="G34" s="87">
        <f t="shared" si="3"/>
        <v>-9.440641617380896E-4</v>
      </c>
      <c r="H34" s="125">
        <f t="shared" si="3"/>
        <v>0</v>
      </c>
      <c r="I34" s="136"/>
      <c r="J34" s="136"/>
      <c r="K34" s="136"/>
      <c r="L34" s="136"/>
      <c r="N34" s="156"/>
    </row>
    <row r="35" spans="2:15" x14ac:dyDescent="0.25">
      <c r="B35" s="67"/>
      <c r="C35" s="67"/>
      <c r="D35" s="203"/>
      <c r="E35" s="203"/>
      <c r="F35" s="203"/>
      <c r="G35" s="204"/>
      <c r="H35" s="204"/>
      <c r="I35" s="136"/>
      <c r="J35" s="136"/>
      <c r="K35" s="136"/>
      <c r="L35" s="136"/>
    </row>
    <row r="36" spans="2:15" ht="15.75" thickBot="1" x14ac:dyDescent="0.3">
      <c r="B36" s="202" t="s">
        <v>509</v>
      </c>
      <c r="C36" s="205"/>
      <c r="D36" s="205"/>
      <c r="E36" s="205"/>
      <c r="F36" s="205"/>
      <c r="G36" s="205"/>
      <c r="H36" s="205"/>
      <c r="I36" s="136"/>
      <c r="J36" s="136"/>
      <c r="K36" s="136"/>
      <c r="L36" s="136"/>
    </row>
    <row r="37" spans="2:15" x14ac:dyDescent="0.25">
      <c r="B37" s="528" t="s">
        <v>72</v>
      </c>
      <c r="C37" s="529"/>
      <c r="D37" s="529"/>
      <c r="E37" s="529"/>
      <c r="F37" s="529"/>
      <c r="G37" s="529"/>
      <c r="H37" s="530"/>
      <c r="I37" s="136"/>
      <c r="J37" s="136"/>
      <c r="K37" s="136"/>
      <c r="L37" s="136"/>
    </row>
    <row r="38" spans="2:15" ht="30" x14ac:dyDescent="0.25">
      <c r="B38" s="196"/>
      <c r="C38" s="81"/>
      <c r="D38" s="111">
        <f>$D$24</f>
        <v>46023</v>
      </c>
      <c r="E38" s="111">
        <f>$E$24</f>
        <v>46174</v>
      </c>
      <c r="F38" s="8" t="s">
        <v>431</v>
      </c>
      <c r="G38" s="8" t="str">
        <f>$G$24</f>
        <v>% Change over 1/1/2026</v>
      </c>
      <c r="H38" s="121" t="s">
        <v>507</v>
      </c>
      <c r="I38" s="136"/>
      <c r="J38" s="136"/>
      <c r="K38" s="136"/>
      <c r="L38" s="136"/>
    </row>
    <row r="39" spans="2:15" x14ac:dyDescent="0.25">
      <c r="B39" s="491" t="s">
        <v>16</v>
      </c>
      <c r="C39" s="492"/>
      <c r="D39" s="82">
        <f>VLOOKUP($D$4,'Res Bill Impact (2)'!$B$37:$H$46,2,FALSE)</f>
        <v>237.70427141352781</v>
      </c>
      <c r="E39" s="82">
        <f>VLOOKUP($D$4,'Res Bill Impact (2)'!$B$37:$H$46,4,FALSE)</f>
        <v>237.49870412171387</v>
      </c>
      <c r="F39" s="82">
        <f>VLOOKUP($D$4,'Res Bill Impact (2)'!$B$37:$H$46,6,FALSE)</f>
        <v>237.49870412171387</v>
      </c>
      <c r="G39" s="84">
        <f t="shared" ref="G39:H41" si="4">$F39/D39-1</f>
        <v>-8.6480268356770029E-4</v>
      </c>
      <c r="H39" s="126">
        <f t="shared" si="4"/>
        <v>0</v>
      </c>
      <c r="I39" s="136"/>
      <c r="J39" s="249"/>
      <c r="K39" s="249"/>
      <c r="L39" s="249"/>
      <c r="M39" s="219"/>
      <c r="O39" s="136"/>
    </row>
    <row r="40" spans="2:15" x14ac:dyDescent="0.25">
      <c r="B40" s="491" t="s">
        <v>24</v>
      </c>
      <c r="C40" s="492"/>
      <c r="D40" s="82">
        <f>VLOOKUP($D$4,'Res Bill Impact (2)'!$B$52:$H$61,2,FALSE)</f>
        <v>137.67303589995294</v>
      </c>
      <c r="E40" s="82">
        <f>VLOOKUP($D$4,'Res Bill Impact (2)'!$B$52:$H$61,4,FALSE)</f>
        <v>137.50803735063778</v>
      </c>
      <c r="F40" s="82">
        <f>VLOOKUP($D$4,'Res Bill Impact (2)'!$B$52:$H$61,6,FALSE)</f>
        <v>137.50803735063778</v>
      </c>
      <c r="G40" s="84">
        <f t="shared" si="4"/>
        <v>-1.198481229360393E-3</v>
      </c>
      <c r="H40" s="126">
        <f t="shared" si="4"/>
        <v>0</v>
      </c>
      <c r="I40" s="136"/>
      <c r="J40" s="136"/>
      <c r="K40" s="136"/>
      <c r="L40" s="249"/>
      <c r="M40" s="219"/>
    </row>
    <row r="41" spans="2:15" ht="15.75" thickBot="1" x14ac:dyDescent="0.3">
      <c r="B41" s="489" t="s">
        <v>71</v>
      </c>
      <c r="C41" s="490"/>
      <c r="D41" s="85">
        <f>D39*0.65+D40*0.35</f>
        <v>202.69333898377658</v>
      </c>
      <c r="E41" s="85">
        <f>E39*0.65+E40*0.35</f>
        <v>202.50197075183726</v>
      </c>
      <c r="F41" s="85">
        <f>F39*0.65+F40*0.35</f>
        <v>202.50197075183726</v>
      </c>
      <c r="G41" s="87">
        <f t="shared" si="4"/>
        <v>-9.4412689089229396E-4</v>
      </c>
      <c r="H41" s="125">
        <f t="shared" si="4"/>
        <v>0</v>
      </c>
      <c r="I41" s="136"/>
      <c r="J41" s="136"/>
      <c r="K41" s="136"/>
      <c r="L41" s="249"/>
      <c r="M41" s="219"/>
    </row>
    <row r="42" spans="2:15" ht="15.75" thickBot="1" x14ac:dyDescent="0.3">
      <c r="I42" s="136"/>
      <c r="J42" s="136"/>
      <c r="K42" s="136"/>
      <c r="L42" s="249"/>
      <c r="M42" s="219"/>
    </row>
    <row r="43" spans="2:15" x14ac:dyDescent="0.25">
      <c r="B43" s="528" t="s">
        <v>73</v>
      </c>
      <c r="C43" s="529"/>
      <c r="D43" s="529"/>
      <c r="E43" s="529"/>
      <c r="F43" s="529"/>
      <c r="G43" s="529"/>
      <c r="H43" s="530"/>
      <c r="I43" s="136"/>
      <c r="J43" s="136"/>
      <c r="K43" s="136"/>
      <c r="L43" s="249"/>
      <c r="M43" s="219"/>
    </row>
    <row r="44" spans="2:15" ht="30" x14ac:dyDescent="0.25">
      <c r="B44" s="196"/>
      <c r="C44" s="81"/>
      <c r="D44" s="111">
        <f>$D$24</f>
        <v>46023</v>
      </c>
      <c r="E44" s="111">
        <f>$E$24</f>
        <v>46174</v>
      </c>
      <c r="F44" s="8" t="s">
        <v>431</v>
      </c>
      <c r="G44" s="8" t="str">
        <f>$G$24</f>
        <v>% Change over 1/1/2026</v>
      </c>
      <c r="H44" s="121" t="s">
        <v>507</v>
      </c>
      <c r="I44" s="136"/>
      <c r="J44" s="136"/>
      <c r="K44" s="136"/>
      <c r="L44" s="249"/>
      <c r="M44" s="219"/>
    </row>
    <row r="45" spans="2:15" x14ac:dyDescent="0.25">
      <c r="B45" s="491" t="s">
        <v>16</v>
      </c>
      <c r="C45" s="492"/>
      <c r="D45" s="82">
        <f>VLOOKUP($D$4,'Res Bill Impact (2)'!$B$37:$H$46,3,FALSE)</f>
        <v>162.04119234157585</v>
      </c>
      <c r="E45" s="82">
        <f>VLOOKUP($D$4,'Res Bill Impact (2)'!$B$37:$H$46,5,FALSE)</f>
        <v>161.90636244106474</v>
      </c>
      <c r="F45" s="82">
        <f>VLOOKUP($D$4,'Res Bill Impact (2)'!$B$37:$H$46,7,FALSE)</f>
        <v>161.90636244106474</v>
      </c>
      <c r="G45" s="84">
        <f t="shared" ref="G45:H47" si="5">$F45/D45-1</f>
        <v>-8.3207176251143267E-4</v>
      </c>
      <c r="H45" s="126">
        <f t="shared" si="5"/>
        <v>0</v>
      </c>
      <c r="I45" s="136"/>
      <c r="J45" s="249"/>
      <c r="K45" s="249"/>
      <c r="L45" s="249"/>
      <c r="M45" s="219"/>
    </row>
    <row r="46" spans="2:15" x14ac:dyDescent="0.25">
      <c r="B46" s="491" t="s">
        <v>24</v>
      </c>
      <c r="C46" s="492"/>
      <c r="D46" s="82">
        <f>VLOOKUP($D$4,'Res Bill Impact (2)'!$B$52:$H$61,3,FALSE)</f>
        <v>88.934261862989118</v>
      </c>
      <c r="E46" s="82">
        <f>VLOOKUP($D$4,'Res Bill Impact (2)'!$B$52:$H$61,5,FALSE)</f>
        <v>88.816618096908925</v>
      </c>
      <c r="F46" s="82">
        <f>VLOOKUP($D$4,'Res Bill Impact (2)'!$B$52:$H$61,7,FALSE)</f>
        <v>88.816618096908925</v>
      </c>
      <c r="G46" s="84">
        <f t="shared" si="5"/>
        <v>-1.3228171417382084E-3</v>
      </c>
      <c r="H46" s="126">
        <f t="shared" si="5"/>
        <v>0</v>
      </c>
      <c r="I46" s="136"/>
      <c r="J46" s="136"/>
      <c r="K46" s="136"/>
      <c r="L46" s="136"/>
    </row>
    <row r="47" spans="2:15" ht="15.75" thickBot="1" x14ac:dyDescent="0.3">
      <c r="B47" s="489" t="s">
        <v>71</v>
      </c>
      <c r="C47" s="490"/>
      <c r="D47" s="85">
        <f>D45*0.65+D46*0.35</f>
        <v>136.45376667407049</v>
      </c>
      <c r="E47" s="85">
        <f>E45*0.65+E46*0.35</f>
        <v>136.3249519206102</v>
      </c>
      <c r="F47" s="85">
        <f>F45*0.65+F46*0.35</f>
        <v>136.3249519206102</v>
      </c>
      <c r="G47" s="87">
        <f t="shared" si="5"/>
        <v>-9.4401757166562295E-4</v>
      </c>
      <c r="H47" s="125">
        <f t="shared" si="5"/>
        <v>0</v>
      </c>
      <c r="I47" s="136"/>
      <c r="J47" s="136"/>
      <c r="K47" s="136"/>
      <c r="L47" s="136"/>
    </row>
    <row r="48" spans="2:15" x14ac:dyDescent="0.25">
      <c r="J48" s="136"/>
      <c r="K48" s="136"/>
      <c r="L48" s="136"/>
    </row>
    <row r="49" spans="2:12" ht="15.75" thickBot="1" x14ac:dyDescent="0.3">
      <c r="J49" s="136"/>
      <c r="K49" s="136"/>
      <c r="L49" s="136"/>
    </row>
    <row r="50" spans="2:12" x14ac:dyDescent="0.25">
      <c r="B50" s="531" t="s">
        <v>70</v>
      </c>
      <c r="C50" s="532"/>
      <c r="D50" s="532"/>
      <c r="E50" s="532"/>
      <c r="F50" s="532"/>
      <c r="G50" s="532"/>
      <c r="H50" s="533"/>
      <c r="J50" s="136"/>
      <c r="K50" s="136"/>
      <c r="L50" s="136"/>
    </row>
    <row r="51" spans="2:12" ht="30" x14ac:dyDescent="0.25">
      <c r="B51" s="196"/>
      <c r="C51" s="197"/>
      <c r="D51" s="111">
        <f>$D$24</f>
        <v>46023</v>
      </c>
      <c r="E51" s="111">
        <f>$E$24</f>
        <v>46174</v>
      </c>
      <c r="F51" s="111" t="str">
        <f>$F$24</f>
        <v>Proposed</v>
      </c>
      <c r="G51" s="8" t="str">
        <f>$G$24</f>
        <v>% Change over 1/1/2026</v>
      </c>
      <c r="H51" s="121" t="s">
        <v>507</v>
      </c>
      <c r="J51" s="136"/>
      <c r="K51" s="136"/>
      <c r="L51" s="136"/>
    </row>
    <row r="52" spans="2:12" x14ac:dyDescent="0.25">
      <c r="B52" s="493" t="s">
        <v>74</v>
      </c>
      <c r="C52" s="494"/>
      <c r="D52" s="181">
        <f t="shared" ref="D52:F54" si="6">((D59*4)+(D66*8))/12</f>
        <v>146.13011556199999</v>
      </c>
      <c r="E52" s="181">
        <f t="shared" si="6"/>
        <v>146.009856883</v>
      </c>
      <c r="F52" s="181">
        <f t="shared" si="6"/>
        <v>146.009856883</v>
      </c>
      <c r="G52" s="118">
        <f t="shared" ref="G52:H55" si="7">$F52/D52-1</f>
        <v>-8.2295616161998097E-4</v>
      </c>
      <c r="H52" s="124">
        <f t="shared" si="7"/>
        <v>0</v>
      </c>
      <c r="J52" s="136"/>
      <c r="K52" s="136"/>
      <c r="L52" s="136"/>
    </row>
    <row r="53" spans="2:12" x14ac:dyDescent="0.25">
      <c r="B53" s="491" t="s">
        <v>75</v>
      </c>
      <c r="C53" s="492"/>
      <c r="D53" s="82">
        <f t="shared" si="6"/>
        <v>83.156068848000004</v>
      </c>
      <c r="E53" s="82">
        <f t="shared" si="6"/>
        <v>83.043131828</v>
      </c>
      <c r="F53" s="82">
        <f t="shared" si="6"/>
        <v>83.043131828</v>
      </c>
      <c r="G53" s="84">
        <f t="shared" si="7"/>
        <v>-1.358133225446756E-3</v>
      </c>
      <c r="H53" s="126">
        <f t="shared" si="7"/>
        <v>0</v>
      </c>
      <c r="J53" s="136"/>
      <c r="K53" s="136"/>
      <c r="L53" s="136"/>
    </row>
    <row r="54" spans="2:12" x14ac:dyDescent="0.25">
      <c r="B54" s="491" t="s">
        <v>76</v>
      </c>
      <c r="C54" s="492"/>
      <c r="D54" s="82">
        <f t="shared" si="6"/>
        <v>144.25265665400002</v>
      </c>
      <c r="E54" s="82">
        <f t="shared" si="6"/>
        <v>144.13416216100003</v>
      </c>
      <c r="F54" s="82">
        <f t="shared" si="6"/>
        <v>144.13416216100003</v>
      </c>
      <c r="G54" s="84">
        <f t="shared" si="7"/>
        <v>-8.2143716274285516E-4</v>
      </c>
      <c r="H54" s="126">
        <f t="shared" si="7"/>
        <v>0</v>
      </c>
      <c r="J54" s="136"/>
      <c r="K54" s="136"/>
      <c r="L54" s="136"/>
    </row>
    <row r="55" spans="2:12" ht="15.75" thickBot="1" x14ac:dyDescent="0.3">
      <c r="B55" s="489" t="s">
        <v>77</v>
      </c>
      <c r="C55" s="490"/>
      <c r="D55" s="85">
        <f>((D62*4)+(D69*8))/12</f>
        <v>81.936468816000001</v>
      </c>
      <c r="E55" s="85">
        <f>((E62*4)+(E69*8))/12</f>
        <v>81.824748476000011</v>
      </c>
      <c r="F55" s="85">
        <f>((F62*4)+(F69*8))/12</f>
        <v>81.824748476000011</v>
      </c>
      <c r="G55" s="87">
        <f t="shared" si="7"/>
        <v>-1.3634995700251284E-3</v>
      </c>
      <c r="H55" s="125">
        <f t="shared" si="7"/>
        <v>0</v>
      </c>
      <c r="J55" s="136"/>
      <c r="K55" s="136"/>
      <c r="L55" s="136"/>
    </row>
    <row r="56" spans="2:12" ht="15.75" thickBot="1" x14ac:dyDescent="0.3">
      <c r="J56" s="136"/>
      <c r="K56" s="136"/>
      <c r="L56" s="136"/>
    </row>
    <row r="57" spans="2:12" x14ac:dyDescent="0.25">
      <c r="B57" s="531" t="s">
        <v>72</v>
      </c>
      <c r="C57" s="532"/>
      <c r="D57" s="532"/>
      <c r="E57" s="532"/>
      <c r="F57" s="532"/>
      <c r="G57" s="532"/>
      <c r="H57" s="533"/>
      <c r="J57" s="136"/>
      <c r="K57" s="136"/>
      <c r="L57" s="136"/>
    </row>
    <row r="58" spans="2:12" ht="30" x14ac:dyDescent="0.25">
      <c r="B58" s="196"/>
      <c r="C58" s="197"/>
      <c r="D58" s="111">
        <f>$D$24</f>
        <v>46023</v>
      </c>
      <c r="E58" s="111">
        <f>$E$24</f>
        <v>46174</v>
      </c>
      <c r="F58" s="111" t="str">
        <f>$F$24</f>
        <v>Proposed</v>
      </c>
      <c r="G58" s="8" t="str">
        <f>$G$24</f>
        <v>% Change over 1/1/2026</v>
      </c>
      <c r="H58" s="121" t="s">
        <v>507</v>
      </c>
      <c r="J58" s="136"/>
      <c r="K58" s="136"/>
      <c r="L58" s="136"/>
    </row>
    <row r="59" spans="2:12" x14ac:dyDescent="0.25">
      <c r="B59" s="493" t="s">
        <v>74</v>
      </c>
      <c r="C59" s="494"/>
      <c r="D59" s="181">
        <f>VLOOKUP($D$4,'Res Bill Impact (2)'!$J$37:$P$46,2,FALSE)</f>
        <v>176.79527772599999</v>
      </c>
      <c r="E59" s="181">
        <f>VLOOKUP($D$4,'Res Bill Impact (2)'!$J$37:$P$46,4,FALSE)</f>
        <v>176.64620400899997</v>
      </c>
      <c r="F59" s="181">
        <f>VLOOKUP($D$4,'Res Bill Impact (2)'!$J$37:$P$46,6,FALSE)</f>
        <v>176.64620400899997</v>
      </c>
      <c r="G59" s="118">
        <f t="shared" ref="G59:H62" si="8">$F59/D59-1</f>
        <v>-8.431996539582931E-4</v>
      </c>
      <c r="H59" s="124">
        <f t="shared" si="8"/>
        <v>0</v>
      </c>
      <c r="J59" s="136"/>
      <c r="K59" s="136"/>
      <c r="L59" s="136"/>
    </row>
    <row r="60" spans="2:12" x14ac:dyDescent="0.25">
      <c r="B60" s="491" t="s">
        <v>75</v>
      </c>
      <c r="C60" s="492"/>
      <c r="D60" s="82">
        <f>VLOOKUP($D$4,'Res Bill Impact (2)'!$R$37:$X$46,2,FALSE)</f>
        <v>103.07620270399998</v>
      </c>
      <c r="E60" s="82">
        <f>VLOOKUP($D$4,'Res Bill Impact (2)'!$R$37:$X$46,4,FALSE)</f>
        <v>102.94339324399999</v>
      </c>
      <c r="F60" s="82">
        <f>VLOOKUP($D$4,'Res Bill Impact (2)'!$R$37:$X$46,6,FALSE)</f>
        <v>102.94339324399999</v>
      </c>
      <c r="G60" s="84">
        <f t="shared" si="8"/>
        <v>-1.2884589897182996E-3</v>
      </c>
      <c r="H60" s="126">
        <f t="shared" si="8"/>
        <v>0</v>
      </c>
      <c r="J60" s="136"/>
      <c r="K60" s="136"/>
      <c r="L60" s="136"/>
    </row>
    <row r="61" spans="2:12" x14ac:dyDescent="0.25">
      <c r="B61" s="491" t="s">
        <v>76</v>
      </c>
      <c r="C61" s="492"/>
      <c r="D61" s="82">
        <f>VLOOKUP($D$4,'Res Bill Impact (2)'!$J$52:$P$61,2,FALSE)</f>
        <v>135.49118175000001</v>
      </c>
      <c r="E61" s="82">
        <f>VLOOKUP($D$4,'Res Bill Impact (2)'!$J$52:$P$61,4,FALSE)</f>
        <v>135.38092012500002</v>
      </c>
      <c r="F61" s="82">
        <f>VLOOKUP($D$4,'Res Bill Impact (2)'!$J$52:$P$61,6,FALSE)</f>
        <v>135.38092012500002</v>
      </c>
      <c r="G61" s="84">
        <f t="shared" si="8"/>
        <v>-8.1379189092500859E-4</v>
      </c>
      <c r="H61" s="126">
        <f t="shared" si="8"/>
        <v>0</v>
      </c>
      <c r="J61" s="136"/>
      <c r="K61" s="136"/>
      <c r="L61" s="136"/>
    </row>
    <row r="62" spans="2:12" ht="15.75" thickBot="1" x14ac:dyDescent="0.3">
      <c r="B62" s="489" t="s">
        <v>77</v>
      </c>
      <c r="C62" s="490"/>
      <c r="D62" s="85">
        <f>VLOOKUP($D$4,'Res Bill Impact (2)'!$R$52:$X$61,2,FALSE)</f>
        <v>76.245001999999999</v>
      </c>
      <c r="E62" s="85">
        <f>VLOOKUP($D$4,'Res Bill Impact (2)'!$R$52:$X$61,4,FALSE)</f>
        <v>76.138959500000013</v>
      </c>
      <c r="F62" s="85">
        <f>VLOOKUP($D$4,'Res Bill Impact (2)'!$R$52:$X$61,6,FALSE)</f>
        <v>76.138959500000013</v>
      </c>
      <c r="G62" s="87">
        <f t="shared" si="8"/>
        <v>-1.3908124758129636E-3</v>
      </c>
      <c r="H62" s="125">
        <f t="shared" si="8"/>
        <v>0</v>
      </c>
      <c r="J62" s="136"/>
      <c r="K62" s="136"/>
      <c r="L62" s="136"/>
    </row>
    <row r="63" spans="2:12" ht="15.75" thickBot="1" x14ac:dyDescent="0.3">
      <c r="J63" s="136"/>
      <c r="K63" s="136"/>
      <c r="L63" s="136"/>
    </row>
    <row r="64" spans="2:12" x14ac:dyDescent="0.25">
      <c r="B64" s="531" t="s">
        <v>73</v>
      </c>
      <c r="C64" s="532"/>
      <c r="D64" s="532"/>
      <c r="E64" s="532"/>
      <c r="F64" s="532"/>
      <c r="G64" s="532"/>
      <c r="H64" s="533"/>
      <c r="J64" s="136"/>
      <c r="K64" s="136"/>
      <c r="L64" s="136"/>
    </row>
    <row r="65" spans="2:12" ht="30" x14ac:dyDescent="0.25">
      <c r="B65" s="196"/>
      <c r="C65" s="197"/>
      <c r="D65" s="111">
        <f>$D$24</f>
        <v>46023</v>
      </c>
      <c r="E65" s="111">
        <f>$E$24</f>
        <v>46174</v>
      </c>
      <c r="F65" s="111" t="str">
        <f>$F$24</f>
        <v>Proposed</v>
      </c>
      <c r="G65" s="8" t="str">
        <f>$G$24</f>
        <v>% Change over 1/1/2026</v>
      </c>
      <c r="H65" s="121" t="s">
        <v>507</v>
      </c>
      <c r="J65" s="136"/>
      <c r="K65" s="136"/>
      <c r="L65" s="136"/>
    </row>
    <row r="66" spans="2:12" x14ac:dyDescent="0.25">
      <c r="B66" s="493" t="s">
        <v>74</v>
      </c>
      <c r="C66" s="494"/>
      <c r="D66" s="181">
        <f>VLOOKUP($D$4,'Res Bill Impact (2)'!$J$37:$P$46,3,FALSE)</f>
        <v>130.79753448</v>
      </c>
      <c r="E66" s="181">
        <f>VLOOKUP($D$4,'Res Bill Impact (2)'!$J$37:$P$46,5,FALSE)</f>
        <v>130.69168332000001</v>
      </c>
      <c r="F66" s="181">
        <f>VLOOKUP($D$4,'Res Bill Impact (2)'!$J$37:$P$46,7,FALSE)</f>
        <v>130.69168332000001</v>
      </c>
      <c r="G66" s="118">
        <f t="shared" ref="G66:H69" si="9">$F66/D66-1</f>
        <v>-8.0927488748783194E-4</v>
      </c>
      <c r="H66" s="124">
        <f t="shared" si="9"/>
        <v>0</v>
      </c>
      <c r="J66" s="136"/>
      <c r="K66" s="136"/>
      <c r="L66" s="136"/>
    </row>
    <row r="67" spans="2:12" x14ac:dyDescent="0.25">
      <c r="B67" s="491" t="s">
        <v>75</v>
      </c>
      <c r="C67" s="492"/>
      <c r="D67" s="82">
        <f>VLOOKUP($D$4,'Res Bill Impact (2)'!$R$37:$X$46,3,FALSE)</f>
        <v>73.19600192</v>
      </c>
      <c r="E67" s="82">
        <f>VLOOKUP($D$4,'Res Bill Impact (2)'!$R$37:$X$46,5,FALSE)</f>
        <v>73.093001119999997</v>
      </c>
      <c r="F67" s="82">
        <f>VLOOKUP($D$4,'Res Bill Impact (2)'!$R$37:$X$46,7,FALSE)</f>
        <v>73.093001119999997</v>
      </c>
      <c r="G67" s="84">
        <f t="shared" si="9"/>
        <v>-1.4071916129050344E-3</v>
      </c>
      <c r="H67" s="126">
        <f t="shared" si="9"/>
        <v>0</v>
      </c>
      <c r="J67" s="136"/>
      <c r="K67" s="136"/>
      <c r="L67" s="136"/>
    </row>
    <row r="68" spans="2:12" x14ac:dyDescent="0.25">
      <c r="B68" s="491" t="s">
        <v>76</v>
      </c>
      <c r="C68" s="492"/>
      <c r="D68" s="82">
        <f>VLOOKUP($D$4,'Res Bill Impact (2)'!$J$52:$P$61,3,FALSE)</f>
        <v>148.63339410600003</v>
      </c>
      <c r="E68" s="82">
        <f>VLOOKUP($D$4,'Res Bill Impact (2)'!$J$52:$P$61,5,FALSE)</f>
        <v>148.51078317900001</v>
      </c>
      <c r="F68" s="82">
        <f>VLOOKUP($D$4,'Res Bill Impact (2)'!$J$52:$P$61,7,FALSE)</f>
        <v>148.51078317900001</v>
      </c>
      <c r="G68" s="84">
        <f t="shared" si="9"/>
        <v>-8.2492179995952153E-4</v>
      </c>
      <c r="H68" s="126">
        <f t="shared" si="9"/>
        <v>0</v>
      </c>
      <c r="J68" s="136"/>
      <c r="K68" s="136"/>
      <c r="L68" s="136"/>
    </row>
    <row r="69" spans="2:12" ht="15.75" thickBot="1" x14ac:dyDescent="0.3">
      <c r="B69" s="489" t="s">
        <v>77</v>
      </c>
      <c r="C69" s="490"/>
      <c r="D69" s="85">
        <f>VLOOKUP($D$4,'Res Bill Impact (2)'!$R$52:$X$61,3,FALSE)</f>
        <v>84.782202224000002</v>
      </c>
      <c r="E69" s="85">
        <f>VLOOKUP($D$4,'Res Bill Impact (2)'!$R$52:$X$61,5,FALSE)</f>
        <v>84.667642964000009</v>
      </c>
      <c r="F69" s="85">
        <f>VLOOKUP($D$4,'Res Bill Impact (2)'!$R$52:$X$61,7,FALSE)</f>
        <v>84.667642964000009</v>
      </c>
      <c r="G69" s="87">
        <f t="shared" si="9"/>
        <v>-1.3512182627354319E-3</v>
      </c>
      <c r="H69" s="125">
        <f t="shared" si="9"/>
        <v>0</v>
      </c>
      <c r="J69" s="136"/>
      <c r="K69" s="136"/>
      <c r="L69" s="136"/>
    </row>
    <row r="70" spans="2:12" x14ac:dyDescent="0.25">
      <c r="J70" s="136"/>
      <c r="K70" s="136"/>
      <c r="L70" s="136"/>
    </row>
    <row r="71" spans="2:12" ht="15.75" thickBot="1" x14ac:dyDescent="0.3">
      <c r="J71" s="136"/>
      <c r="K71" s="136"/>
      <c r="L71" s="136"/>
    </row>
    <row r="72" spans="2:12" x14ac:dyDescent="0.25">
      <c r="B72" s="531" t="s">
        <v>70</v>
      </c>
      <c r="C72" s="532"/>
      <c r="D72" s="532"/>
      <c r="E72" s="532"/>
      <c r="F72" s="532"/>
      <c r="G72" s="532"/>
      <c r="H72" s="533"/>
      <c r="J72" s="136"/>
      <c r="K72" s="136"/>
      <c r="L72" s="136"/>
    </row>
    <row r="73" spans="2:12" ht="30" x14ac:dyDescent="0.25">
      <c r="B73" s="196"/>
      <c r="C73" s="197"/>
      <c r="D73" s="111">
        <f>$D$24</f>
        <v>46023</v>
      </c>
      <c r="E73" s="111">
        <f>$E$24</f>
        <v>46174</v>
      </c>
      <c r="F73" s="111" t="str">
        <f>$F$24</f>
        <v>Proposed</v>
      </c>
      <c r="G73" s="8" t="str">
        <f>$G$24</f>
        <v>% Change over 1/1/2026</v>
      </c>
      <c r="H73" s="121" t="s">
        <v>507</v>
      </c>
      <c r="J73" s="136"/>
      <c r="K73" s="136"/>
      <c r="L73" s="136"/>
    </row>
    <row r="74" spans="2:12" x14ac:dyDescent="0.25">
      <c r="B74" s="493" t="str">
        <f>D5&amp;"kWh Monthly Usage - Non-CARE"</f>
        <v>500kWh Monthly Usage - Non-CARE</v>
      </c>
      <c r="C74" s="494"/>
      <c r="D74" s="181">
        <f t="shared" ref="D74:F75" si="10">((D79*4)+(D84*8))/12</f>
        <v>181.55693045333331</v>
      </c>
      <c r="E74" s="181">
        <f t="shared" si="10"/>
        <v>181.40383069333333</v>
      </c>
      <c r="F74" s="181">
        <f t="shared" si="10"/>
        <v>181.40383069333333</v>
      </c>
      <c r="G74" s="118">
        <f t="shared" ref="G74:H75" si="11">$F74/D74-1</f>
        <v>-8.4326034603965372E-4</v>
      </c>
      <c r="H74" s="124">
        <f t="shared" si="11"/>
        <v>0</v>
      </c>
      <c r="J74" s="136"/>
      <c r="K74" s="136"/>
      <c r="L74" s="136"/>
    </row>
    <row r="75" spans="2:12" ht="15.75" thickBot="1" x14ac:dyDescent="0.3">
      <c r="B75" s="489" t="str">
        <f>D5&amp;"kWh Monthly Usage - CARE"</f>
        <v>500kWh Monthly Usage - CARE</v>
      </c>
      <c r="C75" s="490"/>
      <c r="D75" s="85">
        <f t="shared" si="10"/>
        <v>106.39961807999998</v>
      </c>
      <c r="E75" s="85">
        <f t="shared" si="10"/>
        <v>106.26511821333334</v>
      </c>
      <c r="F75" s="85">
        <f t="shared" si="10"/>
        <v>106.26511821333334</v>
      </c>
      <c r="G75" s="87">
        <f t="shared" si="11"/>
        <v>-1.2641010286852383E-3</v>
      </c>
      <c r="H75" s="125">
        <f t="shared" si="11"/>
        <v>0</v>
      </c>
      <c r="J75" s="136"/>
      <c r="K75" s="136"/>
      <c r="L75" s="136"/>
    </row>
    <row r="76" spans="2:12" ht="15.75" thickBot="1" x14ac:dyDescent="0.3">
      <c r="J76" s="136"/>
      <c r="K76" s="136"/>
      <c r="L76" s="136"/>
    </row>
    <row r="77" spans="2:12" x14ac:dyDescent="0.25">
      <c r="B77" s="531" t="s">
        <v>72</v>
      </c>
      <c r="C77" s="532"/>
      <c r="D77" s="532"/>
      <c r="E77" s="532"/>
      <c r="F77" s="532"/>
      <c r="G77" s="532"/>
      <c r="H77" s="533"/>
      <c r="J77" s="136"/>
      <c r="K77" s="136"/>
      <c r="L77" s="136"/>
    </row>
    <row r="78" spans="2:12" ht="30" x14ac:dyDescent="0.25">
      <c r="B78" s="196"/>
      <c r="C78" s="197"/>
      <c r="D78" s="111">
        <f>$D$24</f>
        <v>46023</v>
      </c>
      <c r="E78" s="111">
        <f>$E$24</f>
        <v>46174</v>
      </c>
      <c r="F78" s="111" t="str">
        <f>$F$24</f>
        <v>Proposed</v>
      </c>
      <c r="G78" s="8" t="str">
        <f>$G$24</f>
        <v>% Change over 1/1/2026</v>
      </c>
      <c r="H78" s="121" t="s">
        <v>507</v>
      </c>
      <c r="J78" s="136"/>
      <c r="K78" s="136"/>
      <c r="L78" s="136"/>
    </row>
    <row r="79" spans="2:12" x14ac:dyDescent="0.25">
      <c r="B79" s="493" t="str">
        <f>D5&amp;"kWh Monthly Usage - Non-CARE"</f>
        <v>500kWh Monthly Usage - Non-CARE</v>
      </c>
      <c r="C79" s="494"/>
      <c r="D79" s="181">
        <f>VLOOKUP($D$4,'Res Bill Impact (2)'!$J$67:$P$76,2,FALSE)</f>
        <v>172.46</v>
      </c>
      <c r="E79" s="181">
        <f>VLOOKUP($D$4,'Res Bill Impact (2)'!$J$67:$P$76,4,FALSE)</f>
        <v>172.315</v>
      </c>
      <c r="F79" s="181">
        <f>VLOOKUP($D$4,'Res Bill Impact (2)'!$J$67:$P$76,6,FALSE)</f>
        <v>172.315</v>
      </c>
      <c r="G79" s="118">
        <f t="shared" ref="G79:H80" si="12">$F79/D79-1</f>
        <v>-8.4077467238785619E-4</v>
      </c>
      <c r="H79" s="124">
        <f t="shared" si="12"/>
        <v>0</v>
      </c>
      <c r="J79" s="136"/>
      <c r="K79" s="136"/>
      <c r="L79" s="136"/>
    </row>
    <row r="80" spans="2:12" ht="15.75" thickBot="1" x14ac:dyDescent="0.3">
      <c r="B80" s="489" t="str">
        <f>D5&amp;"kWh Monthly Usage - CARE"</f>
        <v>500kWh Monthly Usage - CARE</v>
      </c>
      <c r="C80" s="490"/>
      <c r="D80" s="85">
        <f>VLOOKUP($D$4,'Res Bill Impact (2)'!$R$67:$X$76,2,FALSE)</f>
        <v>100.25999999999999</v>
      </c>
      <c r="E80" s="85">
        <f>VLOOKUP($D$4,'Res Bill Impact (2)'!$R$67:$X$76,4,FALSE)</f>
        <v>100.13</v>
      </c>
      <c r="F80" s="85">
        <f>VLOOKUP($D$4,'Res Bill Impact (2)'!$R$67:$X$76,6,FALSE)</f>
        <v>100.13</v>
      </c>
      <c r="G80" s="87">
        <f t="shared" si="12"/>
        <v>-1.2966287652104169E-3</v>
      </c>
      <c r="H80" s="125">
        <f t="shared" si="12"/>
        <v>0</v>
      </c>
      <c r="J80" s="136"/>
      <c r="K80" s="136"/>
      <c r="L80" s="136"/>
    </row>
    <row r="81" spans="2:12" ht="15.75" thickBot="1" x14ac:dyDescent="0.3">
      <c r="J81" s="136"/>
      <c r="K81" s="136"/>
      <c r="L81" s="136"/>
    </row>
    <row r="82" spans="2:12" x14ac:dyDescent="0.25">
      <c r="B82" s="531" t="s">
        <v>73</v>
      </c>
      <c r="C82" s="532"/>
      <c r="D82" s="532"/>
      <c r="E82" s="532"/>
      <c r="F82" s="532"/>
      <c r="G82" s="532"/>
      <c r="H82" s="533"/>
      <c r="J82" s="136"/>
      <c r="K82" s="136"/>
      <c r="L82" s="136"/>
    </row>
    <row r="83" spans="2:12" ht="30" x14ac:dyDescent="0.25">
      <c r="B83" s="196"/>
      <c r="C83" s="197"/>
      <c r="D83" s="111">
        <f>$D$24</f>
        <v>46023</v>
      </c>
      <c r="E83" s="111">
        <f>$E$24</f>
        <v>46174</v>
      </c>
      <c r="F83" s="111" t="str">
        <f>$F$24</f>
        <v>Proposed</v>
      </c>
      <c r="G83" s="8" t="str">
        <f>$G$24</f>
        <v>% Change over 1/1/2026</v>
      </c>
      <c r="H83" s="121" t="s">
        <v>507</v>
      </c>
      <c r="J83" s="136"/>
      <c r="K83" s="136"/>
      <c r="L83" s="136"/>
    </row>
    <row r="84" spans="2:12" x14ac:dyDescent="0.25">
      <c r="B84" s="493" t="str">
        <f>D5&amp;"kWh Monthly Usage - Non-CARE"</f>
        <v>500kWh Monthly Usage - Non-CARE</v>
      </c>
      <c r="C84" s="494"/>
      <c r="D84" s="181">
        <f>VLOOKUP($D$4,'Res Bill Impact (2)'!$J$67:$P$76,3,FALSE)</f>
        <v>186.10539567999999</v>
      </c>
      <c r="E84" s="181">
        <f>VLOOKUP($D$4,'Res Bill Impact (2)'!$J$67:$P$76,5,FALSE)</f>
        <v>185.94824604000002</v>
      </c>
      <c r="F84" s="181">
        <f>VLOOKUP($D$4,'Res Bill Impact (2)'!$J$67:$P$76,7,FALSE)</f>
        <v>185.94824604000002</v>
      </c>
      <c r="G84" s="118">
        <f t="shared" ref="G84:H85" si="13">$F84/D84-1</f>
        <v>-8.4441205708074563E-4</v>
      </c>
      <c r="H84" s="124">
        <f t="shared" si="13"/>
        <v>0</v>
      </c>
      <c r="J84" s="136"/>
      <c r="K84" s="136"/>
      <c r="L84" s="136"/>
    </row>
    <row r="85" spans="2:12" ht="15.75" thickBot="1" x14ac:dyDescent="0.3">
      <c r="B85" s="489" t="str">
        <f>D5&amp;"kWh Monthly Usage - CARE"</f>
        <v>500kWh Monthly Usage - CARE</v>
      </c>
      <c r="C85" s="490"/>
      <c r="D85" s="85">
        <f>VLOOKUP($D$4,'Res Bill Impact (2)'!$R$67:$X$76,3,FALSE)</f>
        <v>109.46942711999999</v>
      </c>
      <c r="E85" s="85">
        <f>VLOOKUP($D$4,'Res Bill Impact (2)'!$R$67:$X$76,5,FALSE)</f>
        <v>109.33267732</v>
      </c>
      <c r="F85" s="85">
        <f>VLOOKUP($D$4,'Res Bill Impact (2)'!$R$67:$X$76,7,FALSE)</f>
        <v>109.33267732</v>
      </c>
      <c r="G85" s="87">
        <f t="shared" si="13"/>
        <v>-1.249205404629361E-3</v>
      </c>
      <c r="H85" s="125">
        <f t="shared" si="13"/>
        <v>0</v>
      </c>
      <c r="J85" s="136"/>
      <c r="K85" s="136"/>
      <c r="L85" s="136"/>
    </row>
    <row r="87" spans="2:12" ht="15.75" thickBot="1" x14ac:dyDescent="0.3"/>
    <row r="88" spans="2:12" x14ac:dyDescent="0.25">
      <c r="B88" s="528" t="s">
        <v>70</v>
      </c>
      <c r="C88" s="529"/>
      <c r="D88" s="529"/>
      <c r="E88" s="529"/>
      <c r="F88" s="529"/>
      <c r="G88" s="529"/>
      <c r="H88" s="530"/>
    </row>
    <row r="89" spans="2:12" ht="30" x14ac:dyDescent="0.25">
      <c r="B89" s="196"/>
      <c r="C89" s="81"/>
      <c r="D89" s="111">
        <f>$D$24</f>
        <v>46023</v>
      </c>
      <c r="E89" s="111">
        <f>$E$24</f>
        <v>46174</v>
      </c>
      <c r="F89" s="8" t="s">
        <v>431</v>
      </c>
      <c r="G89" s="8" t="str">
        <f>$G$24</f>
        <v>% Change over 1/1/2026</v>
      </c>
      <c r="H89" s="121" t="s">
        <v>507</v>
      </c>
    </row>
    <row r="90" spans="2:12" x14ac:dyDescent="0.25">
      <c r="B90" s="491" t="s">
        <v>78</v>
      </c>
      <c r="C90" s="492"/>
      <c r="D90" s="82">
        <f t="shared" ref="D90:F92" si="14">((D96*4)+(D102*8))/12</f>
        <v>145.95923298240524</v>
      </c>
      <c r="E90" s="82">
        <f t="shared" si="14"/>
        <v>145.83930535371985</v>
      </c>
      <c r="F90" s="83">
        <f t="shared" si="14"/>
        <v>145.83930535371985</v>
      </c>
      <c r="G90" s="84">
        <f t="shared" ref="G90:H92" si="15">$F90/D90-1</f>
        <v>-8.2165154087820991E-4</v>
      </c>
      <c r="H90" s="124">
        <f t="shared" si="15"/>
        <v>0</v>
      </c>
    </row>
    <row r="91" spans="2:12" x14ac:dyDescent="0.25">
      <c r="B91" s="491" t="s">
        <v>79</v>
      </c>
      <c r="C91" s="492"/>
      <c r="D91" s="82">
        <f t="shared" si="14"/>
        <v>84.532369159343105</v>
      </c>
      <c r="E91" s="82">
        <f t="shared" si="14"/>
        <v>84.418695605761826</v>
      </c>
      <c r="F91" s="83">
        <f t="shared" si="14"/>
        <v>84.418695605761826</v>
      </c>
      <c r="G91" s="84">
        <f t="shared" si="15"/>
        <v>-1.3447340316110612E-3</v>
      </c>
      <c r="H91" s="126">
        <f t="shared" si="15"/>
        <v>0</v>
      </c>
    </row>
    <row r="92" spans="2:12" ht="15.75" thickBot="1" x14ac:dyDescent="0.3">
      <c r="B92" s="489" t="s">
        <v>80</v>
      </c>
      <c r="C92" s="490"/>
      <c r="D92" s="85">
        <f t="shared" si="14"/>
        <v>124.45983064433351</v>
      </c>
      <c r="E92" s="85">
        <f t="shared" si="14"/>
        <v>124.34209194193454</v>
      </c>
      <c r="F92" s="86">
        <f t="shared" si="14"/>
        <v>124.34209194193454</v>
      </c>
      <c r="G92" s="87">
        <f t="shared" si="15"/>
        <v>-9.4599761054980913E-4</v>
      </c>
      <c r="H92" s="125">
        <f t="shared" si="15"/>
        <v>0</v>
      </c>
    </row>
    <row r="93" spans="2:12" ht="15.75" thickBot="1" x14ac:dyDescent="0.3"/>
    <row r="94" spans="2:12" x14ac:dyDescent="0.25">
      <c r="B94" s="528" t="s">
        <v>72</v>
      </c>
      <c r="C94" s="529"/>
      <c r="D94" s="529"/>
      <c r="E94" s="529"/>
      <c r="F94" s="529"/>
      <c r="G94" s="529"/>
      <c r="H94" s="530"/>
    </row>
    <row r="95" spans="2:12" ht="30" x14ac:dyDescent="0.25">
      <c r="B95" s="196"/>
      <c r="C95" s="81"/>
      <c r="D95" s="111">
        <f>$D$24</f>
        <v>46023</v>
      </c>
      <c r="E95" s="111">
        <f>$E$24</f>
        <v>46174</v>
      </c>
      <c r="F95" s="8" t="s">
        <v>431</v>
      </c>
      <c r="G95" s="8" t="str">
        <f>$G$24</f>
        <v>% Change over 1/1/2026</v>
      </c>
      <c r="H95" s="121" t="s">
        <v>507</v>
      </c>
    </row>
    <row r="96" spans="2:12" x14ac:dyDescent="0.25">
      <c r="B96" s="491" t="s">
        <v>78</v>
      </c>
      <c r="C96" s="492"/>
      <c r="D96" s="82">
        <f>VLOOKUP($D$4,'Res Bill Impact (2)'!$B$67:$H$76,2,FALSE)</f>
        <v>177.55335977651725</v>
      </c>
      <c r="E96" s="82">
        <f>VLOOKUP($D$4,'Res Bill Impact (2)'!$B$67:$H$76,4,FALSE)</f>
        <v>177.40408514773381</v>
      </c>
      <c r="F96" s="82">
        <f>VLOOKUP($D$4,'Res Bill Impact (2)'!$B$67:$H$76,6,FALSE)</f>
        <v>177.40408514773381</v>
      </c>
      <c r="G96" s="84">
        <f t="shared" ref="G96:H98" si="16">$F96/D96-1</f>
        <v>-8.4073108484872261E-4</v>
      </c>
      <c r="H96" s="126">
        <f t="shared" si="16"/>
        <v>0</v>
      </c>
    </row>
    <row r="97" spans="2:11" x14ac:dyDescent="0.25">
      <c r="B97" s="491" t="s">
        <v>79</v>
      </c>
      <c r="C97" s="492"/>
      <c r="D97" s="82">
        <f>VLOOKUP($D$4,'Res Bill Impact (2)'!$B$82:$H$91,2,FALSE)</f>
        <v>104.65887126928337</v>
      </c>
      <c r="E97" s="82">
        <f>VLOOKUP($D$4,'Res Bill Impact (2)'!$B$82:$H$91,4,FALSE)</f>
        <v>104.52639234458178</v>
      </c>
      <c r="F97" s="82">
        <f>VLOOKUP($D$4,'Res Bill Impact (2)'!$B$82:$H$91,6,FALSE)</f>
        <v>104.52639234458178</v>
      </c>
      <c r="G97" s="84">
        <f t="shared" si="16"/>
        <v>-1.2658164864087773E-3</v>
      </c>
      <c r="H97" s="126">
        <f t="shared" si="16"/>
        <v>0</v>
      </c>
    </row>
    <row r="98" spans="2:11" ht="15.75" thickBot="1" x14ac:dyDescent="0.3">
      <c r="B98" s="489" t="s">
        <v>80</v>
      </c>
      <c r="C98" s="490"/>
      <c r="D98" s="85">
        <f>D96*0.65+D97*0.35</f>
        <v>152.04028879898539</v>
      </c>
      <c r="E98" s="85">
        <f>E96*0.65+E97*0.35</f>
        <v>151.89689266663061</v>
      </c>
      <c r="F98" s="85">
        <f>F96*0.65+F97*0.35</f>
        <v>151.89689266663061</v>
      </c>
      <c r="G98" s="87">
        <f t="shared" si="16"/>
        <v>-9.431456194112231E-4</v>
      </c>
      <c r="H98" s="125">
        <f t="shared" si="16"/>
        <v>0</v>
      </c>
    </row>
    <row r="99" spans="2:11" ht="15.75" thickBot="1" x14ac:dyDescent="0.3"/>
    <row r="100" spans="2:11" x14ac:dyDescent="0.25">
      <c r="B100" s="528" t="s">
        <v>73</v>
      </c>
      <c r="C100" s="529"/>
      <c r="D100" s="529"/>
      <c r="E100" s="529"/>
      <c r="F100" s="529"/>
      <c r="G100" s="529"/>
      <c r="H100" s="530"/>
    </row>
    <row r="101" spans="2:11" ht="30" x14ac:dyDescent="0.25">
      <c r="B101" s="196"/>
      <c r="C101" s="81"/>
      <c r="D101" s="111">
        <f>$D$24</f>
        <v>46023</v>
      </c>
      <c r="E101" s="111">
        <f>$E$24</f>
        <v>46174</v>
      </c>
      <c r="F101" s="8" t="s">
        <v>431</v>
      </c>
      <c r="G101" s="8" t="str">
        <f>$G$24</f>
        <v>% Change over 1/1/2026</v>
      </c>
      <c r="H101" s="121" t="s">
        <v>507</v>
      </c>
    </row>
    <row r="102" spans="2:11" x14ac:dyDescent="0.25">
      <c r="B102" s="491" t="s">
        <v>78</v>
      </c>
      <c r="C102" s="492"/>
      <c r="D102" s="82">
        <f>VLOOKUP($D$4,'Res Bill Impact (2)'!$B$67:$H$76,3,FALSE)</f>
        <v>130.16216958534923</v>
      </c>
      <c r="E102" s="82">
        <f>VLOOKUP($D$4,'Res Bill Impact (2)'!$B$67:$H$76,5,FALSE)</f>
        <v>130.05691545671286</v>
      </c>
      <c r="F102" s="82">
        <f>VLOOKUP($D$4,'Res Bill Impact (2)'!$B$67:$H$76,7,FALSE)</f>
        <v>130.05691545671286</v>
      </c>
      <c r="G102" s="84">
        <f t="shared" ref="G102:H104" si="17">$F102/D102-1</f>
        <v>-8.0863840063272185E-4</v>
      </c>
      <c r="H102" s="126">
        <f t="shared" si="17"/>
        <v>0</v>
      </c>
    </row>
    <row r="103" spans="2:11" x14ac:dyDescent="0.25">
      <c r="B103" s="491" t="s">
        <v>79</v>
      </c>
      <c r="C103" s="492"/>
      <c r="D103" s="82">
        <f>VLOOKUP($D$4,'Res Bill Impact (2)'!$B$82:$H$91,3,FALSE)</f>
        <v>74.469118104372967</v>
      </c>
      <c r="E103" s="82">
        <f>VLOOKUP($D$4,'Res Bill Impact (2)'!$B$82:$H$91,5,FALSE)</f>
        <v>74.364847236351849</v>
      </c>
      <c r="F103" s="82">
        <f>VLOOKUP($D$4,'Res Bill Impact (2)'!$B$82:$H$91,7,FALSE)</f>
        <v>74.364847236351849</v>
      </c>
      <c r="G103" s="84">
        <f t="shared" si="17"/>
        <v>-1.400189376151495E-3</v>
      </c>
      <c r="H103" s="126">
        <f t="shared" si="17"/>
        <v>0</v>
      </c>
    </row>
    <row r="104" spans="2:11" ht="15.75" thickBot="1" x14ac:dyDescent="0.3">
      <c r="B104" s="489" t="s">
        <v>80</v>
      </c>
      <c r="C104" s="490"/>
      <c r="D104" s="85">
        <f>D102*0.65+D103*0.35</f>
        <v>110.66960156700755</v>
      </c>
      <c r="E104" s="85">
        <f>E102*0.65+E103*0.35</f>
        <v>110.56469157958651</v>
      </c>
      <c r="F104" s="85">
        <f>F102*0.65+F103*0.35</f>
        <v>110.56469157958651</v>
      </c>
      <c r="G104" s="87">
        <f t="shared" si="17"/>
        <v>-9.4795667406033512E-4</v>
      </c>
      <c r="H104" s="125">
        <f t="shared" si="17"/>
        <v>0</v>
      </c>
    </row>
    <row r="105" spans="2:11" ht="15.75" thickBot="1" x14ac:dyDescent="0.3"/>
    <row r="106" spans="2:11" x14ac:dyDescent="0.25">
      <c r="B106" s="528" t="s">
        <v>81</v>
      </c>
      <c r="C106" s="529"/>
      <c r="D106" s="529"/>
      <c r="E106" s="529"/>
      <c r="F106" s="529"/>
      <c r="G106" s="529"/>
      <c r="H106" s="530"/>
      <c r="I106" s="238"/>
      <c r="J106" s="127"/>
    </row>
    <row r="107" spans="2:11" ht="30" x14ac:dyDescent="0.25">
      <c r="B107" s="196"/>
      <c r="C107" s="81"/>
      <c r="D107" s="111">
        <f>$D$24</f>
        <v>46023</v>
      </c>
      <c r="E107" s="111">
        <f>$E$24</f>
        <v>46174</v>
      </c>
      <c r="F107" s="8" t="s">
        <v>431</v>
      </c>
      <c r="G107" s="8" t="str">
        <f>$G$24</f>
        <v>% Change over 1/1/2026</v>
      </c>
      <c r="H107" s="121" t="s">
        <v>507</v>
      </c>
      <c r="I107" s="239"/>
      <c r="J107" s="240"/>
    </row>
    <row r="108" spans="2:11" x14ac:dyDescent="0.25">
      <c r="B108" s="491" t="s">
        <v>82</v>
      </c>
      <c r="C108" s="492"/>
      <c r="D108" s="82">
        <f t="shared" ref="D108:F110" si="18">((D114*4)+(D120*8))/12</f>
        <v>218.27933927959836</v>
      </c>
      <c r="E108" s="82">
        <f t="shared" si="18"/>
        <v>217.82689643783917</v>
      </c>
      <c r="F108" s="83">
        <f t="shared" si="18"/>
        <v>217.82689643783917</v>
      </c>
      <c r="G108" s="84">
        <f t="shared" ref="G108:G110" si="19">$F108/D108-1</f>
        <v>-2.0727698885859569E-3</v>
      </c>
      <c r="H108" s="126">
        <f t="shared" ref="H108:H110" si="20">$F108/E108-1</f>
        <v>0</v>
      </c>
      <c r="I108" s="241"/>
      <c r="J108" s="204"/>
      <c r="K108" s="204"/>
    </row>
    <row r="109" spans="2:11" x14ac:dyDescent="0.25">
      <c r="B109" s="491" t="s">
        <v>83</v>
      </c>
      <c r="C109" s="492"/>
      <c r="D109" s="82">
        <f t="shared" si="18"/>
        <v>289.9466580571015</v>
      </c>
      <c r="E109" s="82">
        <f t="shared" si="18"/>
        <v>289.21773311929616</v>
      </c>
      <c r="F109" s="83">
        <f t="shared" si="18"/>
        <v>289.21773311929616</v>
      </c>
      <c r="G109" s="84">
        <f t="shared" si="19"/>
        <v>-2.5139966871485786E-3</v>
      </c>
      <c r="H109" s="126">
        <f t="shared" si="20"/>
        <v>0</v>
      </c>
      <c r="I109" s="241"/>
      <c r="J109" s="204"/>
      <c r="K109" s="204"/>
    </row>
    <row r="110" spans="2:11" ht="15.75" thickBot="1" x14ac:dyDescent="0.3">
      <c r="B110" s="489" t="s">
        <v>84</v>
      </c>
      <c r="C110" s="490"/>
      <c r="D110" s="85">
        <f t="shared" si="18"/>
        <v>835.66764675801062</v>
      </c>
      <c r="E110" s="85">
        <f t="shared" si="18"/>
        <v>833.87420064704509</v>
      </c>
      <c r="F110" s="86">
        <f t="shared" si="18"/>
        <v>833.87420064704509</v>
      </c>
      <c r="G110" s="87">
        <f t="shared" si="19"/>
        <v>-2.1461236628260716E-3</v>
      </c>
      <c r="H110" s="125">
        <f t="shared" si="20"/>
        <v>0</v>
      </c>
      <c r="I110" s="241"/>
      <c r="J110" s="204"/>
      <c r="K110" s="204"/>
    </row>
    <row r="111" spans="2:11" ht="15.75" thickBot="1" x14ac:dyDescent="0.3">
      <c r="H111" s="251"/>
    </row>
    <row r="112" spans="2:11" x14ac:dyDescent="0.25">
      <c r="B112" s="528" t="s">
        <v>85</v>
      </c>
      <c r="C112" s="529"/>
      <c r="D112" s="529"/>
      <c r="E112" s="529"/>
      <c r="F112" s="529"/>
      <c r="G112" s="529"/>
      <c r="H112" s="530"/>
      <c r="I112" s="238"/>
      <c r="J112" s="127"/>
    </row>
    <row r="113" spans="2:10" ht="30" x14ac:dyDescent="0.25">
      <c r="B113" s="196"/>
      <c r="C113" s="81"/>
      <c r="D113" s="111">
        <f>$D$24</f>
        <v>46023</v>
      </c>
      <c r="E113" s="111">
        <f>$E$24</f>
        <v>46174</v>
      </c>
      <c r="F113" s="8" t="s">
        <v>431</v>
      </c>
      <c r="G113" s="8" t="str">
        <f>$G$24</f>
        <v>% Change over 1/1/2026</v>
      </c>
      <c r="H113" s="121" t="s">
        <v>507</v>
      </c>
      <c r="I113" s="239"/>
      <c r="J113" s="240"/>
    </row>
    <row r="114" spans="2:10" x14ac:dyDescent="0.25">
      <c r="B114" s="491" t="s">
        <v>82</v>
      </c>
      <c r="C114" s="492"/>
      <c r="D114" s="82">
        <f>'Bill Impact (GS1) (2)'!C37</f>
        <v>247.89437114853254</v>
      </c>
      <c r="E114" s="82">
        <f>'Bill Impact (GS1) (2)'!E37</f>
        <v>247.49995346773042</v>
      </c>
      <c r="F114" s="82">
        <f>'Bill Impact (GS1) (2)'!G37</f>
        <v>247.49995346773042</v>
      </c>
      <c r="G114" s="84">
        <f t="shared" ref="G114:G116" si="21">$F114/D114-1</f>
        <v>-1.5910715478318904E-3</v>
      </c>
      <c r="H114" s="126">
        <f t="shared" ref="H114:H116" si="22">$F114/E114-1</f>
        <v>0</v>
      </c>
      <c r="I114" s="241"/>
      <c r="J114" s="204"/>
    </row>
    <row r="115" spans="2:10" x14ac:dyDescent="0.25">
      <c r="B115" s="491" t="s">
        <v>83</v>
      </c>
      <c r="C115" s="492"/>
      <c r="D115" s="82">
        <f>'Bill Impact (GS1) (2)'!C38</f>
        <v>395.54589091643379</v>
      </c>
      <c r="E115" s="82">
        <f>'Bill Impact (GS1) (2)'!E38</f>
        <v>394.90481373883347</v>
      </c>
      <c r="F115" s="82">
        <f>'Bill Impact (GS1) (2)'!G38</f>
        <v>394.90481373883347</v>
      </c>
      <c r="G115" s="84">
        <f t="shared" si="21"/>
        <v>-1.6207403295608325E-3</v>
      </c>
      <c r="H115" s="126">
        <f t="shared" si="22"/>
        <v>0</v>
      </c>
      <c r="I115" s="241"/>
      <c r="J115" s="204"/>
    </row>
    <row r="116" spans="2:10" ht="15.75" thickBot="1" x14ac:dyDescent="0.3">
      <c r="B116" s="489" t="s">
        <v>84</v>
      </c>
      <c r="C116" s="490"/>
      <c r="D116" s="85">
        <f>'Bill Impact (GS1) (2)'!C39</f>
        <v>1102.6340879676486</v>
      </c>
      <c r="E116" s="85">
        <f>'Bill Impact (GS1) (2)'!E39</f>
        <v>1101.0671385159653</v>
      </c>
      <c r="F116" s="85">
        <f>'Bill Impact (GS1) (2)'!G39</f>
        <v>1101.0671385159653</v>
      </c>
      <c r="G116" s="87">
        <f t="shared" si="21"/>
        <v>-1.4210965077013915E-3</v>
      </c>
      <c r="H116" s="125">
        <f t="shared" si="22"/>
        <v>0</v>
      </c>
      <c r="I116" s="241"/>
      <c r="J116" s="204"/>
    </row>
    <row r="117" spans="2:10" ht="15.75" thickBot="1" x14ac:dyDescent="0.3">
      <c r="H117" s="252"/>
    </row>
    <row r="118" spans="2:10" x14ac:dyDescent="0.25">
      <c r="B118" s="528" t="s">
        <v>86</v>
      </c>
      <c r="C118" s="529"/>
      <c r="D118" s="529"/>
      <c r="E118" s="529"/>
      <c r="F118" s="529"/>
      <c r="G118" s="529"/>
      <c r="H118" s="530"/>
      <c r="I118" s="238"/>
      <c r="J118" s="127"/>
    </row>
    <row r="119" spans="2:10" ht="30" x14ac:dyDescent="0.25">
      <c r="B119" s="196"/>
      <c r="C119" s="81"/>
      <c r="D119" s="111">
        <f>$D$24</f>
        <v>46023</v>
      </c>
      <c r="E119" s="111">
        <f>$E$24</f>
        <v>46174</v>
      </c>
      <c r="F119" s="8" t="s">
        <v>431</v>
      </c>
      <c r="G119" s="8" t="str">
        <f>$G$24</f>
        <v>% Change over 1/1/2026</v>
      </c>
      <c r="H119" s="121" t="s">
        <v>507</v>
      </c>
      <c r="I119" s="239"/>
      <c r="J119" s="240"/>
    </row>
    <row r="120" spans="2:10" x14ac:dyDescent="0.25">
      <c r="B120" s="491" t="s">
        <v>82</v>
      </c>
      <c r="C120" s="492"/>
      <c r="D120" s="82">
        <f>'Bill Impact (GS1) (2)'!D37</f>
        <v>203.47182334513127</v>
      </c>
      <c r="E120" s="82">
        <f>'Bill Impact (GS1) (2)'!F37</f>
        <v>202.99036792289351</v>
      </c>
      <c r="F120" s="82">
        <f>'Bill Impact (GS1) (2)'!H37</f>
        <v>202.99036792289351</v>
      </c>
      <c r="G120" s="84">
        <f t="shared" ref="G120:G122" si="23">$F120/D120-1</f>
        <v>-2.366201935592338E-3</v>
      </c>
      <c r="H120" s="126">
        <f t="shared" ref="H120:H122" si="24">$F120/E120-1</f>
        <v>0</v>
      </c>
      <c r="I120" s="241"/>
      <c r="J120" s="204"/>
    </row>
    <row r="121" spans="2:10" x14ac:dyDescent="0.25">
      <c r="B121" s="491" t="s">
        <v>83</v>
      </c>
      <c r="C121" s="492"/>
      <c r="D121" s="82">
        <f>'Bill Impact (GS1) (2)'!D38</f>
        <v>237.14704162743536</v>
      </c>
      <c r="E121" s="82">
        <f>'Bill Impact (GS1) (2)'!F38</f>
        <v>236.37419280952753</v>
      </c>
      <c r="F121" s="82">
        <f>'Bill Impact (GS1) (2)'!H38</f>
        <v>236.37419280952753</v>
      </c>
      <c r="G121" s="84">
        <f t="shared" si="23"/>
        <v>-3.2589435339530626E-3</v>
      </c>
      <c r="H121" s="126">
        <f t="shared" si="24"/>
        <v>0</v>
      </c>
      <c r="I121" s="241"/>
      <c r="J121" s="204"/>
    </row>
    <row r="122" spans="2:10" ht="15.75" thickBot="1" x14ac:dyDescent="0.3">
      <c r="B122" s="489" t="s">
        <v>84</v>
      </c>
      <c r="C122" s="490"/>
      <c r="D122" s="85">
        <f>'Bill Impact (GS1) (2)'!D39</f>
        <v>702.18442615319179</v>
      </c>
      <c r="E122" s="85">
        <f>'Bill Impact (GS1) (2)'!F39</f>
        <v>700.27773171258491</v>
      </c>
      <c r="F122" s="85">
        <f>'Bill Impact (GS1) (2)'!H39</f>
        <v>700.27773171258491</v>
      </c>
      <c r="G122" s="87">
        <f t="shared" si="23"/>
        <v>-2.7153755759756759E-3</v>
      </c>
      <c r="H122" s="125">
        <f t="shared" si="24"/>
        <v>0</v>
      </c>
      <c r="I122" s="241"/>
      <c r="J122" s="204"/>
    </row>
  </sheetData>
  <mergeCells count="68">
    <mergeCell ref="B116:C116"/>
    <mergeCell ref="B120:C120"/>
    <mergeCell ref="B121:C121"/>
    <mergeCell ref="B122:C122"/>
    <mergeCell ref="B106:H106"/>
    <mergeCell ref="B112:H112"/>
    <mergeCell ref="B118:H118"/>
    <mergeCell ref="B108:C108"/>
    <mergeCell ref="B109:C109"/>
    <mergeCell ref="B110:C110"/>
    <mergeCell ref="B114:C114"/>
    <mergeCell ref="B115:C115"/>
    <mergeCell ref="B34:C34"/>
    <mergeCell ref="B23:H23"/>
    <mergeCell ref="J23:P23"/>
    <mergeCell ref="B24:C24"/>
    <mergeCell ref="J24:K24"/>
    <mergeCell ref="B25:C25"/>
    <mergeCell ref="J25:K25"/>
    <mergeCell ref="B27:C27"/>
    <mergeCell ref="J27:K27"/>
    <mergeCell ref="B30:H30"/>
    <mergeCell ref="B32:C32"/>
    <mergeCell ref="B33:C33"/>
    <mergeCell ref="B54:C54"/>
    <mergeCell ref="B37:H37"/>
    <mergeCell ref="B39:C39"/>
    <mergeCell ref="B40:C40"/>
    <mergeCell ref="B41:C41"/>
    <mergeCell ref="B43:H43"/>
    <mergeCell ref="B45:C45"/>
    <mergeCell ref="B46:C46"/>
    <mergeCell ref="B47:C47"/>
    <mergeCell ref="B50:H50"/>
    <mergeCell ref="B52:C52"/>
    <mergeCell ref="B53:C53"/>
    <mergeCell ref="B72:H72"/>
    <mergeCell ref="B55:C55"/>
    <mergeCell ref="B57:H57"/>
    <mergeCell ref="B59:C59"/>
    <mergeCell ref="B60:C60"/>
    <mergeCell ref="B61:C61"/>
    <mergeCell ref="B62:C62"/>
    <mergeCell ref="B64:H64"/>
    <mergeCell ref="B66:C66"/>
    <mergeCell ref="B67:C67"/>
    <mergeCell ref="B68:C68"/>
    <mergeCell ref="B69:C69"/>
    <mergeCell ref="B92:C92"/>
    <mergeCell ref="B74:C74"/>
    <mergeCell ref="B75:C75"/>
    <mergeCell ref="B77:H77"/>
    <mergeCell ref="B79:C79"/>
    <mergeCell ref="B80:C80"/>
    <mergeCell ref="B82:H82"/>
    <mergeCell ref="B84:C84"/>
    <mergeCell ref="B85:C85"/>
    <mergeCell ref="B88:H88"/>
    <mergeCell ref="B90:C90"/>
    <mergeCell ref="B91:C91"/>
    <mergeCell ref="B103:C103"/>
    <mergeCell ref="B104:C104"/>
    <mergeCell ref="B94:H94"/>
    <mergeCell ref="B96:C96"/>
    <mergeCell ref="B97:C97"/>
    <mergeCell ref="B98:C98"/>
    <mergeCell ref="B100:H100"/>
    <mergeCell ref="B102:C102"/>
  </mergeCells>
  <dataValidations disablePrompts="1" count="2">
    <dataValidation type="list" allowBlank="1" showInputMessage="1" showErrorMessage="1" sqref="D4" xr:uid="{8E98307D-A9E3-4A93-870B-597D986AB139}">
      <formula1>"5 warm,6 cool,8 cool,9 warm, 10 hot (Sec 745),13 hot,14 hot,15 hot,16 cool,ALL"</formula1>
    </dataValidation>
    <dataValidation type="list" allowBlank="1" showInputMessage="1" showErrorMessage="1" sqref="D6" xr:uid="{6DDF4138-3601-49FE-982E-0B9606017372}">
      <formula1>"Y, 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SharedWithUsers xmlns="8430d550-c2bd-4ade-ae56-0b82b076c537">
      <UserInfo>
        <DisplayName>Christopher Benitez</DisplayName>
        <AccountId>6948</AccountId>
        <AccountType/>
      </UserInfo>
      <UserInfo>
        <DisplayName>Erin Pulgar</DisplayName>
        <AccountId>144</AccountId>
        <AccountType/>
      </UserInfo>
      <UserInfo>
        <DisplayName>Shue M Cheng</DisplayName>
        <AccountId>176</AccountId>
        <AccountType/>
      </UserInfo>
      <UserInfo>
        <DisplayName>Xingxiao Ge</DisplayName>
        <AccountId>3775</AccountId>
        <AccountType/>
      </UserInfo>
      <UserInfo>
        <DisplayName>Diana Valle</DisplayName>
        <AccountId>4046</AccountId>
        <AccountType/>
      </UserInfo>
    </SharedWithUsers>
    <lcf76f155ced4ddcb4097134ff3c332f xmlns="d1269d0e-3d21-492c-95ee-c4f1a377396e">
      <Terms xmlns="http://schemas.microsoft.com/office/infopath/2007/PartnerControls"/>
    </lcf76f155ced4ddcb4097134ff3c332f>
    <Data_x0020_Request_x0020_Set_x0020_Name xmlns="8430d550-c2bd-4ade-ae56-0b82b076c537">DR - 96126 Q.02-2026 Revised</Data_x0020_Request_x0020_Set_x0020_Name>
    <Document_x0020_Review_x0020_Status xmlns="d1269d0e-3d21-492c-95ee-c4f1a377396e">Pending for Case Admin</Document_x0020_Review_x0020_Status>
    <Response_x0020_Date xmlns="8430d550-c2bd-4ade-ae56-0b82b076c537">2026-06-08T15:57:11+00:00</Response_x0020_Date>
    <Manual_x0020_Handling xmlns="d1269d0e-3d21-492c-95ee-c4f1a377396e">
      <Url xsi:nil="true"/>
      <Description xsi:nil="true"/>
    </Manual_x0020_Handling>
    <Acronym xmlns="8430d550-c2bd-4ade-ae56-0b82b076c537">Affordability OIR</Acronym>
    <RimsSpid xmlns="8430d550-c2bd-4ade-ae56-0b82b076c537">21532</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Emily Salazar</DisplayName>
        <AccountId>3254</AccountId>
        <AccountType/>
      </UserInfo>
    </Assignee>
    <Question_x0020_Number xmlns="8430d550-c2bd-4ade-ae56-0b82b076c537">Q.02-2026 Revised</Question_x0020_Number>
    <Data_x0020_Request_x0020_Set_x0020_Name1 xmlns="8430d550-c2bd-4ade-ae56-0b82b076c537">ED-SCE-Affordability OIR Revenue Requirements </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William K. Briggs</DisplayName>
        <AccountId>1843</AccountId>
        <AccountType/>
      </UserInfo>
    </Attorney>
    <Received_x0020_Date xmlns="8430d550-c2bd-4ade-ae56-0b82b076c537">2022-11-28T08:00:00+00:00</Received_x0020_Date>
    <Year xmlns="8430d550-c2bd-4ade-ae56-0b82b076c537" xsi:nil="true"/>
    <HeaderSpid xmlns="8430d550-c2bd-4ade-ae56-0b82b076c537">7471</HeaderSpid>
    <Question xmlns="8430d550-c2bd-4ade-ae56-0b82b076c537">Report required per OP 4 of Decision 22-08-023 August 4, 2022</Question>
    <Classification xmlns="8430d550-c2bd-4ade-ae56-0b82b076c537">Public</Classification>
    <Proceeding_x0020_Number xmlns="8430d550-c2bd-4ade-ae56-0b82b076c537">R.18-07-006</Proceeding_x0020_Number>
    <Party xmlns="8430d550-c2bd-4ade-ae56-0b82b076c537">Energy Division</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Tasks/Review%20Task%20View.aspx?QuestionDocID=271673  </Url>
      <Description>Ready for Case Admin</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40</Party>
    <Agency xmlns="8430d550-c2bd-4ade-ae56-0b82b076c537">CPUC</Agency>
    <_dlc_DocId xmlns="8430d550-c2bd-4ade-ae56-0b82b076c537">RCMS365-1419139168-271687</_dlc_DocId>
    <_dlc_DocIdUrl xmlns="8430d550-c2bd-4ade-ae56-0b82b076c537">
      <Url>https://edisonintl.sharepoint.com/teams/rcms365/_layouts/15/DocIdRedir.aspx?ID=RCMS365-1419139168-271687</Url>
      <Description>RCMS365-1419139168-271687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cff78e206f17daa54599fb44fa1a106f">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f0c380c4bc815ba25da391425bdf3ace"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8D40A-CD69-4A61-9EA5-D7D96F5F7999}">
  <ds:schemaRefs>
    <ds:schemaRef ds:uri="http://www.w3.org/XML/1998/namespace"/>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schemas.microsoft.com/sharepoint/v4"/>
    <ds:schemaRef ds:uri="http://schemas.microsoft.com/sharepoint/v3/fields"/>
    <ds:schemaRef ds:uri="http://schemas.microsoft.com/office/2006/documentManagement/types"/>
    <ds:schemaRef ds:uri="e45da448-bf9c-43e8-8676-7e88d583ded9"/>
    <ds:schemaRef ds:uri="http://schemas.openxmlformats.org/package/2006/metadata/core-properties"/>
    <ds:schemaRef ds:uri="d1269d0e-3d21-492c-95ee-c4f1a377396e"/>
    <ds:schemaRef ds:uri="8430d550-c2bd-4ade-ae56-0b82b076c537"/>
  </ds:schemaRefs>
</ds:datastoreItem>
</file>

<file path=customXml/itemProps2.xml><?xml version="1.0" encoding="utf-8"?>
<ds:datastoreItem xmlns:ds="http://schemas.openxmlformats.org/officeDocument/2006/customXml" ds:itemID="{1289D368-84F2-4398-BAFC-244E22D31A1E}">
  <ds:schemaRefs>
    <ds:schemaRef ds:uri="http://schemas.microsoft.com/sharepoint/events"/>
  </ds:schemaRefs>
</ds:datastoreItem>
</file>

<file path=customXml/itemProps3.xml><?xml version="1.0" encoding="utf-8"?>
<ds:datastoreItem xmlns:ds="http://schemas.openxmlformats.org/officeDocument/2006/customXml" ds:itemID="{4D551E84-6DC9-4847-BAA6-6A4D6E615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4BBA6E6-7422-4CFA-B50E-859BE450D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Selected Data</vt:lpstr>
      <vt:lpstr>Authorized Rev Req</vt:lpstr>
      <vt:lpstr>Incremental Rev Req</vt:lpstr>
      <vt:lpstr>Simple Bill Insert Calc (2)</vt:lpstr>
      <vt:lpstr>'Incremental Rev Req'!Print_Area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Sieren-Smith, Bridget</dc:creator>
  <cp:keywords/>
  <dc:description/>
  <cp:lastModifiedBy>Yovani Alas</cp:lastModifiedBy>
  <cp:revision/>
  <dcterms:created xsi:type="dcterms:W3CDTF">2019-06-24T18:17:17Z</dcterms:created>
  <dcterms:modified xsi:type="dcterms:W3CDTF">2026-06-09T21:34:20Z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0x0101003FDC8DB2EFA0734493CFBBBD1CB93690005CC82022603A0947A2C5F5F1889FA752</vt:lpwstr>
  </property>
  <property fmtid="{D5CDD505-2E9C-101B-9397-08002B2CF9AE}" pid="3" name="_dlc_DocIdItemGuid">
    <vt:lpwstr>c85d1164-06df-4bb9-94cf-29c2d1211fe7</vt:lpwstr>
  </property>
  <property fmtid="{D5CDD505-2E9C-101B-9397-08002B2CF9AE}" pid="4" name="_docset_NoMedatataSyncRequired">
    <vt:lpwstr>True</vt:lpwstr>
  </property>
  <property fmtid="{D5CDD505-2E9C-101B-9397-08002B2CF9AE}" pid="5" name="MediaServiceImageTags">
    <vt:lpwstr/>
  </property>
  <property fmtid="{D5CDD505-2E9C-101B-9397-08002B2CF9AE}" pid="6" name="MSIP_Label_bc3dd1c7-2c40-4a31-84b2-bec599b321a0_Enabled">
    <vt:lpwstr>true</vt:lpwstr>
  </property>
  <property fmtid="{D5CDD505-2E9C-101B-9397-08002B2CF9AE}" pid="7" name="MSIP_Label_bc3dd1c7-2c40-4a31-84b2-bec599b321a0_SetDate">
    <vt:lpwstr>2023-11-28T15:29:02Z</vt:lpwstr>
  </property>
  <property fmtid="{D5CDD505-2E9C-101B-9397-08002B2CF9AE}" pid="8" name="MSIP_Label_bc3dd1c7-2c40-4a31-84b2-bec599b321a0_Method">
    <vt:lpwstr>Standard</vt:lpwstr>
  </property>
  <property fmtid="{D5CDD505-2E9C-101B-9397-08002B2CF9AE}" pid="9" name="MSIP_Label_bc3dd1c7-2c40-4a31-84b2-bec599b321a0_Name">
    <vt:lpwstr>bc3dd1c7-2c40-4a31-84b2-bec599b321a0</vt:lpwstr>
  </property>
  <property fmtid="{D5CDD505-2E9C-101B-9397-08002B2CF9AE}" pid="10" name="MSIP_Label_bc3dd1c7-2c40-4a31-84b2-bec599b321a0_SiteId">
    <vt:lpwstr>5b2a8fee-4c95-4bdc-8aae-196f8aacb1b6</vt:lpwstr>
  </property>
  <property fmtid="{D5CDD505-2E9C-101B-9397-08002B2CF9AE}" pid="11" name="MSIP_Label_bc3dd1c7-2c40-4a31-84b2-bec599b321a0_ActionId">
    <vt:lpwstr>4f8b866c-2562-4d60-94b1-d2711ffbb8e7</vt:lpwstr>
  </property>
  <property fmtid="{D5CDD505-2E9C-101B-9397-08002B2CF9AE}" pid="12" name="MSIP_Label_bc3dd1c7-2c40-4a31-84b2-bec599b321a0_ContentBits">
    <vt:lpwstr>0</vt:lpwstr>
  </property>
</Properties>
</file>