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Other\ED Bill Tracker Tool\2026\Q1 2026\"/>
    </mc:Choice>
  </mc:AlternateContent>
  <xr:revisionPtr revIDLastSave="0" documentId="13_ncr:1_{E8DF0C19-65BF-4737-A741-D12DD05A53D3}" xr6:coauthVersionLast="47" xr6:coauthVersionMax="47" xr10:uidLastSave="{00000000-0000-0000-0000-000000000000}"/>
  <bookViews>
    <workbookView xWindow="-110" yWindow="-110" windowWidth="38620" windowHeight="21100" xr2:uid="{1B1F6BD7-11A6-4D1F-9E38-5E58F3821A1F}"/>
  </bookViews>
  <sheets>
    <sheet name="Notable Assumptions" sheetId="23" r:id="rId1"/>
    <sheet name="Summary" sheetId="10" r:id="rId2"/>
    <sheet name="Selected Data" sheetId="17" r:id="rId3"/>
    <sheet name="Authorized Rev Req" sheetId="2" r:id="rId4"/>
    <sheet name="Incremental Rev Req" sheetId="11" r:id="rId5"/>
    <sheet name="SAR and RAR" sheetId="3" r:id="rId6"/>
    <sheet name="Res Bill Impact" sheetId="4" r:id="rId7"/>
    <sheet name="SAR and RAR (TOU-A)" sheetId="19" r:id="rId8"/>
    <sheet name="Bill Impact (TOU-A)" sheetId="20" r:id="rId9"/>
    <sheet name="Hypothetical Summary" sheetId="12" r:id="rId10"/>
    <sheet name="Hypothetical SAR and RAR" sheetId="13" r:id="rId11"/>
    <sheet name="Hypothetical Res Bill Impact" sheetId="14" r:id="rId12"/>
    <sheet name="Hypoth. SAR and RAR (TOU-A)" sheetId="21" r:id="rId13"/>
    <sheet name="Hypoth. Bill Impact (TOU-A)" sheetId="22" r:id="rId14"/>
    <sheet name="% of CARE Sales" sheetId="15" r:id="rId15"/>
    <sheet name="Sales Allocations &amp; CCC" sheetId="18" r:id="rId16"/>
  </sheets>
  <definedNames>
    <definedName name="___huh2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_2017_Labor_Escalation_Rate">#REF!</definedName>
    <definedName name="_4ColName">SUBSTITUTE(SUBSTITUTE(SUBSTITUTE(SUBSTITUTE(SUBSTITUTE(TRIM(T(#REF!)&amp;"."&amp;T(#REF!)&amp;"."&amp;T(#REF!)&amp;"."&amp;T(#REF!)&amp;"."),"+","and"),"%","pct"),"-",""),"..","."),"&amp;","and")</definedName>
    <definedName name="_xlnm._FilterDatabase" localSheetId="3" hidden="1">'Authorized Rev Req'!$A$7:$V$174</definedName>
    <definedName name="_xlnm._FilterDatabase" localSheetId="4" hidden="1">'Incremental Rev Req'!$A$8:$K$99</definedName>
    <definedName name="_xlnm._FilterDatabase" localSheetId="5" hidden="1">'SAR and RAR'!$A$1:$AE$83</definedName>
    <definedName name="_xlnm._FilterDatabase" localSheetId="7" hidden="1">'SAR and RAR (TOU-A)'!$A$1:$AE$83</definedName>
    <definedName name="_FPV1">#REF!</definedName>
    <definedName name="_FPV3">#REF!</definedName>
    <definedName name="_huh2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_SPV1">#REF!</definedName>
    <definedName name="_SPV3">#REF!</definedName>
    <definedName name="Actuals">#REF!</definedName>
    <definedName name="Aflag">#REF!</definedName>
    <definedName name="Aflag2">#REF!</definedName>
    <definedName name="again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AIR">#REF!</definedName>
    <definedName name="Balancing_Authority">#REF!</definedName>
    <definedName name="BondsIssued">#REF!</definedName>
    <definedName name="Boolean">#REF!</definedName>
    <definedName name="bt_d">#REF!</definedName>
    <definedName name="Bundled_Unbundled">#REF!</definedName>
    <definedName name="CBond">#REF!</definedName>
    <definedName name="CECRA">#REF!</definedName>
    <definedName name="Construction_Status">#REF!</definedName>
    <definedName name="copy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copyprint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copyrap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copyrevalloc" hidden="1">{#N/A,#N/A,FALSE,"RRQ inputs ";#N/A,#N/A,FALSE,"FERC Rev @ PR";#N/A,#N/A,FALSE,"Distribution Revenue Allocation";#N/A,#N/A,FALSE,"Nonallocated Revenues";#N/A,#N/A,FALSE,"MC Revenues-03 sales, 96 MC's";#N/A,#N/A,FALSE,"FTA"}</definedName>
    <definedName name="copyschudel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CORE_U">#REF!</definedName>
    <definedName name="Country">#REF!</definedName>
    <definedName name="CPUC_Approval_Status">#REF!</definedName>
    <definedName name="CREZ">#REF!</definedName>
    <definedName name="CTAC">#REF!</definedName>
    <definedName name="CTRBA">#REF!</definedName>
    <definedName name="DACRS">SUM(#REF!)</definedName>
    <definedName name="_xlnm.Database">#REF!</definedName>
    <definedName name="Dchoice">#REF!</definedName>
    <definedName name="Delay_Termination_Reason">#REF!</definedName>
    <definedName name="DeliverabilityStatusOptions">#REF!</definedName>
    <definedName name="Distflag">#REF!</definedName>
    <definedName name="Dmdmult">#REF!</definedName>
    <definedName name="EPC_Contract_Status">#REF!</definedName>
    <definedName name="F_E">#REF!</definedName>
    <definedName name="Facility_Status">#REF!</definedName>
    <definedName name="FAIR">#REF!</definedName>
    <definedName name="FBUILD">#REF!</definedName>
    <definedName name="FCOMM">#REF!</definedName>
    <definedName name="FCOMP">#REF!</definedName>
    <definedName name="Financing_Status">#REF!</definedName>
    <definedName name="Flat">#REF!</definedName>
    <definedName name="FM">#REF!</definedName>
    <definedName name="FOPROD">#REF!</definedName>
    <definedName name="FSONG2">#REF!</definedName>
    <definedName name="FSTEAM">#REF!</definedName>
    <definedName name="FT_D">#REF!</definedName>
    <definedName name="gsur">#REF!</definedName>
    <definedName name="head1">#REF!</definedName>
    <definedName name="head10">#REF!</definedName>
    <definedName name="head11">#REF!</definedName>
    <definedName name="head2">#REF!</definedName>
    <definedName name="head3">#REF!</definedName>
    <definedName name="head4">#REF!</definedName>
    <definedName name="head5">#REF!</definedName>
    <definedName name="head6">#REF!</definedName>
    <definedName name="head7">#REF!</definedName>
    <definedName name="head8">#REF!</definedName>
    <definedName name="head9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"10/13/1999"</definedName>
    <definedName name="HTML_LineAfter" hidden="1">FALSE</definedName>
    <definedName name="HTML_LineBefore" hidden="1">FALSE</definedName>
    <definedName name="HTML_Name" hidden="1">"Sharim Chaudhury"</definedName>
    <definedName name="HTML_OBDlg2" hidden="1">TRUE</definedName>
    <definedName name="HTML_OBDlg4" hidden="1">TRUE</definedName>
    <definedName name="HTML_OS" hidden="1">0</definedName>
    <definedName name="HTML_PathFile" hidden="1">"W:\19991013\default.htm"</definedName>
    <definedName name="HTML_Title" hidden="1">"Daily MTM  Report"</definedName>
    <definedName name="huh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huhnd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huhnd2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huhprint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huhrap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huhrevalloc" hidden="1">{#N/A,#N/A,FALSE,"RRQ inputs ";#N/A,#N/A,FALSE,"FERC Rev @ PR";#N/A,#N/A,FALSE,"Distribution Revenue Allocation";#N/A,#N/A,FALSE,"Nonallocated Revenues";#N/A,#N/A,FALSE,"MC Revenues-03 sales, 96 MC's";#N/A,#N/A,FALSE,"FTA"}</definedName>
    <definedName name="huhschudel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IterationType">#REF!</definedName>
    <definedName name="LineLoss">#REF!</definedName>
    <definedName name="LocalAreaOptions">#REF!</definedName>
    <definedName name="LOLD">1</definedName>
    <definedName name="LOLD_Table">7</definedName>
    <definedName name="Mflag">#REF!</definedName>
    <definedName name="NCORE_U">#REF!</definedName>
    <definedName name="ND">#REF!</definedName>
    <definedName name="Out_Start_Date">#REF!</definedName>
    <definedName name="Out_Term_Date">#REF!</definedName>
    <definedName name="Overall_Project_Status">#REF!</definedName>
    <definedName name="Party_that_Terminated_Contract">#REF!</definedName>
    <definedName name="Path26DesignationOptions">#REF!</definedName>
    <definedName name="PBond">#REF!</definedName>
    <definedName name="PCC_Classification">#REF!</definedName>
    <definedName name="PECRA">#REF!</definedName>
    <definedName name="Print_All_Tariff">#REF!</definedName>
    <definedName name="Program_Origination">#REF!</definedName>
    <definedName name="RAM_Auction_Round">#REF!</definedName>
    <definedName name="record1">#REF!</definedName>
    <definedName name="Record2">#REF!</definedName>
    <definedName name="Reporting_LSE">#REF!</definedName>
    <definedName name="Resource_Designation">#REF!</definedName>
    <definedName name="SAIR">#REF!</definedName>
    <definedName name="SAPBEXhrIndnt" hidden="1">"Wide"</definedName>
    <definedName name="SAPsysID" hidden="1">"708C5W7SBKP804JT78WJ0JNKI"</definedName>
    <definedName name="SAPwbID" hidden="1">"ARS"</definedName>
    <definedName name="SBUILD">#REF!</definedName>
    <definedName name="SchedulingID">#REF!</definedName>
    <definedName name="SCOMM">#REF!</definedName>
    <definedName name="SCOMP">#REF!</definedName>
    <definedName name="sds">#REF!</definedName>
    <definedName name="Season">#REF!</definedName>
    <definedName name="Sflag">#REF!</definedName>
    <definedName name="SM">#REF!</definedName>
    <definedName name="SOPROD">#REF!</definedName>
    <definedName name="SSONG2">#REF!</definedName>
    <definedName name="SSTEAM">#REF!</definedName>
    <definedName name="ST_D">#REF!</definedName>
    <definedName name="Status_of_Facility_Study___Phase_II_Study">#REF!</definedName>
    <definedName name="Status_of_Feasibility_Study">#REF!</definedName>
    <definedName name="Status_of_Interconnection_Agreement">#REF!</definedName>
    <definedName name="Status_of_System_Impact_Study___Phase_I_Study">#REF!</definedName>
    <definedName name="STEAM">#REF!</definedName>
    <definedName name="TAC">#REF!</definedName>
    <definedName name="TACCalcOptions">#REF!</definedName>
    <definedName name="Technology_SubType">#REF!</definedName>
    <definedName name="Technology_Type">#REF!</definedName>
    <definedName name="TRBA">#REF!</definedName>
    <definedName name="wrn.AG." hidden="1">{#N/A,#N/A,FALSE,"AG-1";#N/A,#N/A,FALSE,"AG-R";#N/A,#N/A,FALSE,"AG-V";#N/A,#N/A,FALSE,"AG-4";#N/A,#N/A,FALSE,"AG-5";#N/A,#N/A,FALSE,"AG-6";#N/A,#N/A,FALSE,"AG-7"}</definedName>
    <definedName name="wrn.AGa." hidden="1">{#N/A,#N/A,FALSE,"UN-AGRA";#N/A,#N/A,FALSE,"UN-AG1A";#N/A,#N/A,FALSE,"UN-AGVA";#N/A,#N/A,FALSE,"UN-AG4A ";#N/A,#N/A,FALSE,"UN-AG5A";#N/A,#N/A,FALSE,"UN-AG6A";#N/A,#N/A,FALSE,"Dist Calcs";#N/A,#N/A,FALSE,"7A-Avg.";#N/A,#N/A,FALSE,"7A Tier1-avg";#N/A,#N/A,FALSE,"7A Tier2-avg";#N/A,#N/A,FALSE,"Ag-7A Dist Calc"}</definedName>
    <definedName name="wrn.Agb." hidden="1">{#N/A,#N/A,FALSE,"UN-AG1B";#N/A,#N/A,FALSE,"UN-AGRB  ";#N/A,#N/A,FALSE,"UN-AGVB ";#N/A,#N/A,FALSE,"UN-AG4B";#N/A,#N/A,FALSE,"UN-AG4C";#N/A,#N/A,FALSE,"UN-AG5B";#N/A,#N/A,FALSE,"UN-AG5C ";#N/A,#N/A,FALSE,"UN-AG6B";#N/A,#N/A,FALSE,"Dist Cals";#N/A,#N/A,FALSE,"7B-Avg.";#N/A,#N/A,FALSE,"7B Tier1-avg";#N/A,#N/A,FALSE,"7B Tier2-avg";#N/A,#N/A,FALSE,"Ag-7B Dist Calc";#N/A,#N/A,FALSE,"AG RL Calc"}</definedName>
    <definedName name="wrn.comind." hidden="1">{#N/A,#N/A,FALSE,"A-1, A-6, A-10, A-15";#N/A,#N/A,FALSE,"E-19 Firm";#N/A,#N/A,FALSE,"E-19 Nonfirm";#N/A,#N/A,FALSE,"E-20 Firm ";#N/A,#N/A,FALSE,"E-20 Nonfirm ";#N/A,#N/A,FALSE,"E-25";#N/A,#N/A,FALSE,"E-36, E-37";#N/A,#N/A,FALSE,"LS-1,-2,-3, TC-1, OL-1";#N/A,#N/A,FALSE,"Standby"}</definedName>
    <definedName name="wrn.Distr.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wrn.G_CSP_REPORT." hidden="1">{#N/A,#N/A,FALSE,"Summary";#N/A,#N/A,FALSE,"Tariff G-CSP &amp; G-SUR";#N/A,#N/A,FALSE,"Amortization Calculations";#N/A,#N/A,FALSE,"Contracted Volumes";#N/A,#N/A,FALSE,"Reservation"}</definedName>
    <definedName name="wrn.ND.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es." hidden="1">{#N/A,#N/A,FALSE,"E-1, EM, ES";#N/A,#N/A,FALSE,"ESR, ET";#N/A,#N/A,FALSE,"E-7, E-A7";#N/A,#N/A,FALSE,"E-8";#N/A,#N/A,FALSE,"E-9 A, B, C, D";#N/A,#N/A,FALSE,"EL-1, EML";#N/A,#N/A,FALSE,"ESL, ESRL";#N/A,#N/A,FALSE,"ETL, EL-7";#N/A,#N/A,FALSE,"EL-A7, EL-8"}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schedules.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1" i="14" l="1"/>
  <c r="M96" i="14" l="1"/>
  <c r="M95" i="14"/>
  <c r="M94" i="14"/>
  <c r="M93" i="14"/>
  <c r="L96" i="14"/>
  <c r="L95" i="14"/>
  <c r="L94" i="14"/>
  <c r="L93" i="14"/>
  <c r="M76" i="14"/>
  <c r="M75" i="14"/>
  <c r="M74" i="14"/>
  <c r="M73" i="14"/>
  <c r="L76" i="14"/>
  <c r="L75" i="14"/>
  <c r="L74" i="14"/>
  <c r="L73" i="14"/>
  <c r="M56" i="14"/>
  <c r="M55" i="14"/>
  <c r="M54" i="14"/>
  <c r="M53" i="14"/>
  <c r="L56" i="14"/>
  <c r="L55" i="14"/>
  <c r="L54" i="14"/>
  <c r="L53" i="14"/>
  <c r="D96" i="14"/>
  <c r="D95" i="14"/>
  <c r="D94" i="14"/>
  <c r="D93" i="14"/>
  <c r="C96" i="14"/>
  <c r="C95" i="14"/>
  <c r="C94" i="14"/>
  <c r="C93" i="14"/>
  <c r="D76" i="14"/>
  <c r="D75" i="14"/>
  <c r="D74" i="14"/>
  <c r="D73" i="14"/>
  <c r="C76" i="14"/>
  <c r="C75" i="14"/>
  <c r="C74" i="14"/>
  <c r="C73" i="14"/>
  <c r="D56" i="14"/>
  <c r="D55" i="14"/>
  <c r="D54" i="14"/>
  <c r="D53" i="14"/>
  <c r="C56" i="14"/>
  <c r="C55" i="14"/>
  <c r="C54" i="14"/>
  <c r="C53" i="14"/>
  <c r="M86" i="14"/>
  <c r="M85" i="14"/>
  <c r="M84" i="14"/>
  <c r="M83" i="14"/>
  <c r="L86" i="14"/>
  <c r="L85" i="14"/>
  <c r="L84" i="14"/>
  <c r="L83" i="14"/>
  <c r="M66" i="14"/>
  <c r="M65" i="14"/>
  <c r="M64" i="14"/>
  <c r="M63" i="14"/>
  <c r="L66" i="14"/>
  <c r="L65" i="14"/>
  <c r="L64" i="14"/>
  <c r="L63" i="14"/>
  <c r="M46" i="14"/>
  <c r="M45" i="14"/>
  <c r="M44" i="14"/>
  <c r="M43" i="14"/>
  <c r="L46" i="14"/>
  <c r="L45" i="14"/>
  <c r="L44" i="14"/>
  <c r="L43" i="14"/>
  <c r="D86" i="14"/>
  <c r="D85" i="14"/>
  <c r="D84" i="14"/>
  <c r="D83" i="14"/>
  <c r="C86" i="14"/>
  <c r="C85" i="14"/>
  <c r="C84" i="14"/>
  <c r="C83" i="14"/>
  <c r="D66" i="14"/>
  <c r="D65" i="14"/>
  <c r="D64" i="14"/>
  <c r="D63" i="14"/>
  <c r="C66" i="14"/>
  <c r="C65" i="14"/>
  <c r="C64" i="14"/>
  <c r="C63" i="14"/>
  <c r="D46" i="14"/>
  <c r="D45" i="14"/>
  <c r="D44" i="14"/>
  <c r="D43" i="14"/>
  <c r="C46" i="14"/>
  <c r="C45" i="14"/>
  <c r="C44" i="14"/>
  <c r="C43" i="14"/>
  <c r="R30" i="21"/>
  <c r="H30" i="21"/>
  <c r="R30" i="13"/>
  <c r="H30" i="13"/>
  <c r="R24" i="19"/>
  <c r="R25" i="19"/>
  <c r="G25" i="19"/>
  <c r="G24" i="19"/>
  <c r="AD18" i="19"/>
  <c r="R25" i="3"/>
  <c r="R24" i="3"/>
  <c r="G25" i="3"/>
  <c r="G24" i="3"/>
  <c r="AD18" i="3"/>
  <c r="I7" i="10"/>
  <c r="U6" i="19"/>
  <c r="T6" i="19"/>
  <c r="S6" i="19"/>
  <c r="R6" i="19"/>
  <c r="Q6" i="19"/>
  <c r="P6" i="19"/>
  <c r="O6" i="19"/>
  <c r="N6" i="19"/>
  <c r="M6" i="19"/>
  <c r="L6" i="19"/>
  <c r="K6" i="19"/>
  <c r="J6" i="19"/>
  <c r="I6" i="19"/>
  <c r="H6" i="19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L102" i="11" l="1"/>
  <c r="D103" i="11" l="1"/>
  <c r="D102" i="11"/>
  <c r="L100" i="11" l="1"/>
  <c r="D100" i="11"/>
  <c r="D97" i="11" l="1"/>
  <c r="D96" i="11"/>
  <c r="D95" i="11"/>
  <c r="L97" i="11"/>
  <c r="L96" i="11" l="1"/>
  <c r="B96" i="11"/>
  <c r="B97" i="11" s="1"/>
  <c r="L105" i="11" l="1"/>
  <c r="L104" i="11"/>
  <c r="L103" i="11"/>
  <c r="L101" i="11"/>
  <c r="L95" i="11"/>
  <c r="L94" i="11"/>
  <c r="D94" i="11" l="1"/>
  <c r="E4" i="4" l="1"/>
  <c r="E4" i="20"/>
  <c r="AF23" i="3"/>
  <c r="AE23" i="3"/>
  <c r="AD23" i="3"/>
  <c r="AC23" i="3"/>
  <c r="I3" i="10"/>
  <c r="C10" i="18"/>
  <c r="C11" i="18"/>
  <c r="B11" i="18"/>
  <c r="B10" i="18"/>
  <c r="S103" i="11" l="1"/>
  <c r="R103" i="11"/>
  <c r="Q103" i="11"/>
  <c r="P103" i="11"/>
  <c r="O103" i="11"/>
  <c r="E52" i="11" l="1"/>
  <c r="D80" i="11"/>
  <c r="D55" i="11"/>
  <c r="D54" i="11"/>
  <c r="C52" i="11"/>
  <c r="C56" i="11"/>
  <c r="C26" i="11"/>
  <c r="C25" i="11"/>
  <c r="C24" i="11"/>
  <c r="C17" i="11"/>
  <c r="F25" i="11" l="1"/>
  <c r="D25" i="11" s="1"/>
  <c r="F26" i="11"/>
  <c r="D26" i="11" s="1"/>
  <c r="F22" i="11"/>
  <c r="D22" i="11" s="1"/>
  <c r="F19" i="11"/>
  <c r="D19" i="11" s="1"/>
  <c r="F83" i="11"/>
  <c r="D83" i="11" s="1"/>
  <c r="F82" i="11"/>
  <c r="D82" i="11" s="1"/>
  <c r="F81" i="11"/>
  <c r="D81" i="11" s="1"/>
  <c r="F79" i="11"/>
  <c r="D79" i="11" s="1"/>
  <c r="F78" i="11"/>
  <c r="D78" i="11" s="1"/>
  <c r="F76" i="11"/>
  <c r="D76" i="11" s="1"/>
  <c r="F75" i="11"/>
  <c r="D75" i="11" s="1"/>
  <c r="F74" i="11"/>
  <c r="D74" i="11" s="1"/>
  <c r="F73" i="11"/>
  <c r="D73" i="11" s="1"/>
  <c r="F72" i="11"/>
  <c r="D72" i="11" s="1"/>
  <c r="F71" i="11"/>
  <c r="D71" i="11" s="1"/>
  <c r="F70" i="11"/>
  <c r="D70" i="11" s="1"/>
  <c r="F77" i="11"/>
  <c r="D77" i="11" s="1"/>
  <c r="F24" i="11"/>
  <c r="D24" i="11" s="1"/>
  <c r="F21" i="11"/>
  <c r="D21" i="11" s="1"/>
  <c r="F16" i="11"/>
  <c r="D16" i="11" s="1"/>
  <c r="F15" i="11"/>
  <c r="D15" i="11" s="1"/>
  <c r="F14" i="11"/>
  <c r="D14" i="11" s="1"/>
  <c r="F17" i="11"/>
  <c r="D17" i="11" s="1"/>
  <c r="F20" i="11"/>
  <c r="D20" i="11" s="1"/>
  <c r="F13" i="11"/>
  <c r="D13" i="11" s="1"/>
  <c r="F11" i="11"/>
  <c r="D11" i="11" s="1"/>
  <c r="F10" i="11"/>
  <c r="D10" i="11" s="1"/>
  <c r="G25" i="11" l="1"/>
  <c r="H25" i="11" s="1"/>
  <c r="F23" i="11"/>
  <c r="D23" i="11" s="1"/>
  <c r="F84" i="11"/>
  <c r="D84" i="11" s="1"/>
  <c r="G12" i="11"/>
  <c r="H12" i="11" s="1"/>
  <c r="I12" i="11" s="1"/>
  <c r="T171" i="2" l="1"/>
  <c r="L50" i="14" l="1"/>
  <c r="L40" i="14"/>
  <c r="C50" i="14"/>
  <c r="C40" i="14"/>
  <c r="C33" i="22"/>
  <c r="L93" i="11" l="1"/>
  <c r="H34" i="11" l="1"/>
  <c r="I34" i="11" l="1"/>
  <c r="J34" i="11" l="1"/>
  <c r="C20" i="3" l="1"/>
  <c r="H6" i="12"/>
  <c r="G34" i="22"/>
  <c r="M25" i="22"/>
  <c r="L25" i="22"/>
  <c r="K25" i="22"/>
  <c r="J25" i="22"/>
  <c r="M24" i="22"/>
  <c r="L24" i="22"/>
  <c r="K24" i="22"/>
  <c r="J24" i="22"/>
  <c r="M23" i="22"/>
  <c r="L23" i="22"/>
  <c r="K23" i="22"/>
  <c r="J23" i="22"/>
  <c r="I20" i="22"/>
  <c r="F4" i="22"/>
  <c r="E4" i="22"/>
  <c r="W21" i="21"/>
  <c r="U21" i="21"/>
  <c r="C18" i="21"/>
  <c r="C17" i="21"/>
  <c r="C16" i="21"/>
  <c r="C15" i="21"/>
  <c r="C14" i="21"/>
  <c r="C13" i="21"/>
  <c r="C12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C11" i="21"/>
  <c r="C10" i="21"/>
  <c r="C9" i="21"/>
  <c r="C7" i="21"/>
  <c r="C6" i="21"/>
  <c r="C5" i="21"/>
  <c r="C4" i="21"/>
  <c r="P91" i="14"/>
  <c r="G91" i="14"/>
  <c r="K90" i="14"/>
  <c r="B90" i="14"/>
  <c r="P81" i="14"/>
  <c r="G81" i="14"/>
  <c r="K80" i="14"/>
  <c r="B80" i="14"/>
  <c r="P71" i="14"/>
  <c r="G71" i="14"/>
  <c r="P61" i="14"/>
  <c r="G61" i="14"/>
  <c r="P51" i="14"/>
  <c r="G51" i="14"/>
  <c r="P41" i="14"/>
  <c r="G41" i="14"/>
  <c r="T34" i="14"/>
  <c r="S34" i="14"/>
  <c r="R34" i="14"/>
  <c r="Q34" i="14"/>
  <c r="T33" i="14"/>
  <c r="S33" i="14"/>
  <c r="R33" i="14"/>
  <c r="Q33" i="14"/>
  <c r="T32" i="14"/>
  <c r="S32" i="14"/>
  <c r="R32" i="14"/>
  <c r="Q32" i="14"/>
  <c r="T31" i="14"/>
  <c r="P8" i="12" s="1"/>
  <c r="S31" i="14"/>
  <c r="R31" i="14"/>
  <c r="P7" i="12" s="1"/>
  <c r="Q31" i="14"/>
  <c r="P28" i="14"/>
  <c r="T25" i="14"/>
  <c r="S25" i="14"/>
  <c r="R25" i="14"/>
  <c r="Q25" i="14"/>
  <c r="T24" i="14"/>
  <c r="S24" i="14"/>
  <c r="R24" i="14"/>
  <c r="Q24" i="14"/>
  <c r="T23" i="14"/>
  <c r="S23" i="14"/>
  <c r="R23" i="14"/>
  <c r="Q23" i="14"/>
  <c r="T22" i="14"/>
  <c r="S22" i="14"/>
  <c r="R22" i="14"/>
  <c r="N7" i="12" s="1"/>
  <c r="Q22" i="14"/>
  <c r="P19" i="14"/>
  <c r="P4" i="14"/>
  <c r="F4" i="14"/>
  <c r="E4" i="14"/>
  <c r="AC28" i="13"/>
  <c r="AB28" i="13"/>
  <c r="AA28" i="13"/>
  <c r="Z28" i="13"/>
  <c r="X21" i="13"/>
  <c r="W21" i="13"/>
  <c r="V21" i="13"/>
  <c r="U21" i="13"/>
  <c r="C18" i="13"/>
  <c r="C17" i="13"/>
  <c r="C16" i="13"/>
  <c r="C15" i="13"/>
  <c r="C14" i="13"/>
  <c r="C13" i="13"/>
  <c r="C12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C11" i="13"/>
  <c r="C10" i="13"/>
  <c r="C9" i="13"/>
  <c r="C8" i="13"/>
  <c r="C7" i="13"/>
  <c r="C6" i="13"/>
  <c r="C5" i="13"/>
  <c r="C4" i="13"/>
  <c r="F100" i="12"/>
  <c r="F94" i="12"/>
  <c r="F88" i="12"/>
  <c r="L83" i="12"/>
  <c r="C83" i="12"/>
  <c r="K82" i="12"/>
  <c r="B82" i="12"/>
  <c r="O81" i="12"/>
  <c r="F81" i="12"/>
  <c r="L77" i="12"/>
  <c r="C77" i="12"/>
  <c r="K76" i="12"/>
  <c r="B76" i="12"/>
  <c r="O75" i="12"/>
  <c r="F75" i="12"/>
  <c r="L71" i="12"/>
  <c r="C71" i="12"/>
  <c r="K70" i="12"/>
  <c r="B70" i="12"/>
  <c r="O69" i="12"/>
  <c r="F69" i="12"/>
  <c r="O63" i="12"/>
  <c r="F63" i="12"/>
  <c r="O57" i="12"/>
  <c r="F57" i="12"/>
  <c r="O51" i="12"/>
  <c r="F51" i="12"/>
  <c r="O45" i="12"/>
  <c r="F45" i="12"/>
  <c r="O39" i="12"/>
  <c r="F39" i="12"/>
  <c r="O33" i="12"/>
  <c r="F33" i="12"/>
  <c r="D26" i="12"/>
  <c r="D100" i="12" s="1"/>
  <c r="D20" i="12"/>
  <c r="O8" i="12"/>
  <c r="N8" i="12"/>
  <c r="M8" i="12"/>
  <c r="O7" i="12"/>
  <c r="M7" i="12"/>
  <c r="H5" i="12"/>
  <c r="H4" i="12"/>
  <c r="H2" i="12"/>
  <c r="N37" i="22"/>
  <c r="M37" i="22"/>
  <c r="N36" i="22"/>
  <c r="M36" i="22"/>
  <c r="N35" i="22"/>
  <c r="M35" i="22"/>
  <c r="N34" i="22"/>
  <c r="M34" i="22"/>
  <c r="I34" i="20"/>
  <c r="G34" i="20"/>
  <c r="O25" i="22"/>
  <c r="N25" i="22"/>
  <c r="O24" i="22"/>
  <c r="N24" i="22"/>
  <c r="N23" i="22"/>
  <c r="E11" i="22"/>
  <c r="E9" i="22"/>
  <c r="E7" i="22"/>
  <c r="F4" i="20"/>
  <c r="G4" i="20" s="1"/>
  <c r="T91" i="4"/>
  <c r="R91" i="4"/>
  <c r="I91" i="4"/>
  <c r="G91" i="4"/>
  <c r="M90" i="4"/>
  <c r="N90" i="4" s="1"/>
  <c r="B90" i="4"/>
  <c r="C90" i="4" s="1"/>
  <c r="T81" i="4"/>
  <c r="R81" i="4"/>
  <c r="I81" i="4"/>
  <c r="G81" i="4"/>
  <c r="M80" i="4"/>
  <c r="N80" i="4" s="1"/>
  <c r="B80" i="4"/>
  <c r="C80" i="4" s="1"/>
  <c r="T71" i="4"/>
  <c r="R71" i="4"/>
  <c r="I71" i="4"/>
  <c r="G71" i="4"/>
  <c r="T61" i="4"/>
  <c r="R61" i="4"/>
  <c r="I61" i="4"/>
  <c r="G61" i="4"/>
  <c r="T51" i="4"/>
  <c r="R51" i="4"/>
  <c r="I51" i="4"/>
  <c r="G51" i="4"/>
  <c r="T41" i="4"/>
  <c r="R41" i="4"/>
  <c r="I41" i="4"/>
  <c r="G41" i="4"/>
  <c r="V34" i="14"/>
  <c r="U34" i="14"/>
  <c r="M34" i="14"/>
  <c r="L34" i="14"/>
  <c r="J34" i="14"/>
  <c r="I34" i="14"/>
  <c r="V33" i="14"/>
  <c r="U33" i="14"/>
  <c r="M33" i="14"/>
  <c r="L33" i="14"/>
  <c r="J33" i="14"/>
  <c r="I33" i="14"/>
  <c r="V32" i="14"/>
  <c r="U32" i="14"/>
  <c r="M32" i="14"/>
  <c r="L32" i="14"/>
  <c r="J32" i="14"/>
  <c r="I32" i="14"/>
  <c r="V31" i="14"/>
  <c r="U31" i="14"/>
  <c r="L31" i="14"/>
  <c r="J31" i="14"/>
  <c r="I31" i="14"/>
  <c r="C26" i="14"/>
  <c r="V25" i="14"/>
  <c r="U25" i="14"/>
  <c r="M25" i="14"/>
  <c r="L25" i="14"/>
  <c r="J25" i="14"/>
  <c r="I25" i="14"/>
  <c r="C25" i="14"/>
  <c r="V24" i="14"/>
  <c r="U24" i="14"/>
  <c r="M24" i="14"/>
  <c r="L24" i="14"/>
  <c r="J24" i="14"/>
  <c r="I24" i="14"/>
  <c r="V23" i="14"/>
  <c r="U23" i="14"/>
  <c r="M23" i="14"/>
  <c r="L23" i="14"/>
  <c r="J23" i="14"/>
  <c r="I23" i="14"/>
  <c r="C23" i="14"/>
  <c r="V22" i="14"/>
  <c r="U22" i="14"/>
  <c r="M22" i="14"/>
  <c r="L22" i="14"/>
  <c r="J22" i="14"/>
  <c r="I22" i="14"/>
  <c r="C22" i="14"/>
  <c r="C21" i="4"/>
  <c r="C21" i="20" s="1"/>
  <c r="C34" i="20" s="1"/>
  <c r="Q12" i="14"/>
  <c r="P12" i="14"/>
  <c r="F12" i="14"/>
  <c r="E12" i="14"/>
  <c r="Q11" i="14"/>
  <c r="P11" i="14"/>
  <c r="F11" i="14"/>
  <c r="E11" i="14"/>
  <c r="P10" i="14"/>
  <c r="F10" i="14"/>
  <c r="E10" i="14"/>
  <c r="P9" i="14"/>
  <c r="F9" i="14"/>
  <c r="E9" i="14"/>
  <c r="P8" i="14"/>
  <c r="F8" i="14"/>
  <c r="E8" i="14"/>
  <c r="P7" i="14"/>
  <c r="F7" i="14"/>
  <c r="E7" i="14"/>
  <c r="R4" i="4"/>
  <c r="R4" i="14" s="1"/>
  <c r="Q4" i="4"/>
  <c r="Q4" i="14" s="1"/>
  <c r="G4" i="4"/>
  <c r="G4" i="22" s="1"/>
  <c r="E35" i="21"/>
  <c r="D35" i="21"/>
  <c r="C35" i="21"/>
  <c r="E34" i="21"/>
  <c r="D34" i="21"/>
  <c r="E25" i="21"/>
  <c r="D25" i="21"/>
  <c r="E24" i="21"/>
  <c r="D24" i="21"/>
  <c r="C24" i="21"/>
  <c r="AF23" i="19"/>
  <c r="Z27" i="21" s="1"/>
  <c r="AE23" i="19"/>
  <c r="Y27" i="21" s="1"/>
  <c r="AD23" i="19"/>
  <c r="X27" i="21" s="1"/>
  <c r="AC23" i="19"/>
  <c r="W27" i="21" s="1"/>
  <c r="R23" i="19"/>
  <c r="H23" i="19"/>
  <c r="S23" i="19" s="1"/>
  <c r="G23" i="19"/>
  <c r="C20" i="19"/>
  <c r="O6" i="21"/>
  <c r="O10" i="21" s="1"/>
  <c r="D36" i="13"/>
  <c r="C36" i="13"/>
  <c r="E35" i="13"/>
  <c r="D35" i="13"/>
  <c r="E26" i="13"/>
  <c r="D26" i="13"/>
  <c r="C26" i="13"/>
  <c r="E25" i="13"/>
  <c r="D25" i="13"/>
  <c r="C25" i="13"/>
  <c r="R23" i="3"/>
  <c r="H23" i="3"/>
  <c r="G28" i="13" s="1"/>
  <c r="Q28" i="13" s="1"/>
  <c r="G23" i="3"/>
  <c r="D20" i="3"/>
  <c r="AA18" i="13"/>
  <c r="O6" i="13"/>
  <c r="O10" i="13" s="1"/>
  <c r="H6" i="13"/>
  <c r="H10" i="13" s="1"/>
  <c r="O124" i="11"/>
  <c r="E84" i="11"/>
  <c r="E83" i="11"/>
  <c r="E82" i="11"/>
  <c r="E81" i="11"/>
  <c r="E79" i="11"/>
  <c r="E78" i="11"/>
  <c r="E77" i="11"/>
  <c r="E76" i="11"/>
  <c r="E75" i="11"/>
  <c r="E74" i="11"/>
  <c r="E73" i="11"/>
  <c r="E72" i="11"/>
  <c r="E71" i="11"/>
  <c r="E70" i="11"/>
  <c r="E56" i="11"/>
  <c r="E55" i="11"/>
  <c r="E54" i="11"/>
  <c r="E12" i="11"/>
  <c r="E53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24" i="11"/>
  <c r="E23" i="11"/>
  <c r="E22" i="11"/>
  <c r="E21" i="11"/>
  <c r="E20" i="11"/>
  <c r="E19" i="11"/>
  <c r="C19" i="11"/>
  <c r="E18" i="11"/>
  <c r="E17" i="11"/>
  <c r="E16" i="11"/>
  <c r="E15" i="11"/>
  <c r="E14" i="11"/>
  <c r="E13" i="11"/>
  <c r="H11" i="11"/>
  <c r="E11" i="11"/>
  <c r="H10" i="11"/>
  <c r="I10" i="11" s="1"/>
  <c r="J10" i="11" s="1"/>
  <c r="E10" i="11"/>
  <c r="B6" i="11"/>
  <c r="D9" i="11" s="1"/>
  <c r="C84" i="11"/>
  <c r="C83" i="11"/>
  <c r="C82" i="11"/>
  <c r="C81" i="11"/>
  <c r="C79" i="11"/>
  <c r="C78" i="11"/>
  <c r="C51" i="11"/>
  <c r="C50" i="11"/>
  <c r="C49" i="11"/>
  <c r="C48" i="11"/>
  <c r="C41" i="11"/>
  <c r="C40" i="11"/>
  <c r="C39" i="11"/>
  <c r="C38" i="11"/>
  <c r="C37" i="11"/>
  <c r="C34" i="11"/>
  <c r="C36" i="11"/>
  <c r="C35" i="11"/>
  <c r="C33" i="11"/>
  <c r="C76" i="11"/>
  <c r="C75" i="11"/>
  <c r="C74" i="11"/>
  <c r="C73" i="11"/>
  <c r="C72" i="11"/>
  <c r="C71" i="11"/>
  <c r="C70" i="11"/>
  <c r="C77" i="11"/>
  <c r="C46" i="11"/>
  <c r="C47" i="11"/>
  <c r="C45" i="11"/>
  <c r="C44" i="11"/>
  <c r="C43" i="11"/>
  <c r="C42" i="11"/>
  <c r="C21" i="11"/>
  <c r="C53" i="11"/>
  <c r="C18" i="11"/>
  <c r="C16" i="11"/>
  <c r="C15" i="11"/>
  <c r="C14" i="11"/>
  <c r="C23" i="11"/>
  <c r="C22" i="11"/>
  <c r="C20" i="11"/>
  <c r="C13" i="11"/>
  <c r="C11" i="11"/>
  <c r="C10" i="11"/>
  <c r="G105" i="10"/>
  <c r="F105" i="10"/>
  <c r="G99" i="10"/>
  <c r="F99" i="10"/>
  <c r="G93" i="10"/>
  <c r="F93" i="10"/>
  <c r="Q86" i="10"/>
  <c r="P86" i="10"/>
  <c r="G86" i="10"/>
  <c r="F86" i="10"/>
  <c r="Q80" i="10"/>
  <c r="P80" i="10"/>
  <c r="G80" i="10"/>
  <c r="F80" i="10"/>
  <c r="C76" i="10"/>
  <c r="M76" i="10" s="1"/>
  <c r="B75" i="10"/>
  <c r="B87" i="10" s="1"/>
  <c r="L87" i="10" s="1"/>
  <c r="Q74" i="10"/>
  <c r="P74" i="10"/>
  <c r="G74" i="10"/>
  <c r="F74" i="10"/>
  <c r="Q68" i="10"/>
  <c r="P68" i="10"/>
  <c r="G68" i="10"/>
  <c r="F68" i="10"/>
  <c r="Q62" i="10"/>
  <c r="P62" i="10"/>
  <c r="G62" i="10"/>
  <c r="F62" i="10"/>
  <c r="Q56" i="10"/>
  <c r="P56" i="10"/>
  <c r="G56" i="10"/>
  <c r="F56" i="10"/>
  <c r="Q50" i="10"/>
  <c r="P50" i="10"/>
  <c r="N50" i="10"/>
  <c r="N56" i="10" s="1"/>
  <c r="N62" i="10" s="1"/>
  <c r="N68" i="10" s="1"/>
  <c r="N74" i="10" s="1"/>
  <c r="N80" i="10" s="1"/>
  <c r="N86" i="10" s="1"/>
  <c r="G50" i="10"/>
  <c r="F50" i="10"/>
  <c r="D50" i="10"/>
  <c r="D56" i="10" s="1"/>
  <c r="D62" i="10" s="1"/>
  <c r="D68" i="10" s="1"/>
  <c r="D74" i="10" s="1"/>
  <c r="D80" i="10" s="1"/>
  <c r="D86" i="10" s="1"/>
  <c r="D93" i="10" s="1"/>
  <c r="D99" i="10" s="1"/>
  <c r="D105" i="10" s="1"/>
  <c r="Q44" i="10"/>
  <c r="P44" i="10"/>
  <c r="N44" i="10"/>
  <c r="G44" i="10"/>
  <c r="F44" i="10"/>
  <c r="D44" i="10"/>
  <c r="Q38" i="10"/>
  <c r="P38" i="10"/>
  <c r="N38" i="10"/>
  <c r="G38" i="10"/>
  <c r="F38" i="10"/>
  <c r="D38" i="10"/>
  <c r="Q31" i="10"/>
  <c r="P31" i="10"/>
  <c r="N31" i="10"/>
  <c r="H31" i="10"/>
  <c r="H99" i="10" s="1"/>
  <c r="G31" i="10"/>
  <c r="F31" i="10"/>
  <c r="E31" i="10"/>
  <c r="E50" i="10" s="1"/>
  <c r="E56" i="10" s="1"/>
  <c r="E62" i="10" s="1"/>
  <c r="E68" i="10" s="1"/>
  <c r="E74" i="10" s="1"/>
  <c r="E80" i="10" s="1"/>
  <c r="E86" i="10" s="1"/>
  <c r="E93" i="10" s="1"/>
  <c r="E99" i="10" s="1"/>
  <c r="E105" i="10" s="1"/>
  <c r="P8" i="10"/>
  <c r="O8" i="10"/>
  <c r="N8" i="10"/>
  <c r="M8" i="10"/>
  <c r="P7" i="10"/>
  <c r="O7" i="10"/>
  <c r="N7" i="10"/>
  <c r="M7" i="10"/>
  <c r="I6" i="10"/>
  <c r="F28" i="21"/>
  <c r="P28" i="21" s="1"/>
  <c r="G4" i="14" l="1"/>
  <c r="D93" i="11"/>
  <c r="Q10" i="17" s="1"/>
  <c r="P29" i="13"/>
  <c r="Q17" i="11"/>
  <c r="Q115" i="11" s="1"/>
  <c r="O19" i="11"/>
  <c r="S17" i="11"/>
  <c r="S115" i="11" s="1"/>
  <c r="O20" i="11"/>
  <c r="R17" i="11"/>
  <c r="R115" i="11" s="1"/>
  <c r="O10" i="11"/>
  <c r="P17" i="11"/>
  <c r="P115" i="11" s="1"/>
  <c r="O17" i="11"/>
  <c r="G84" i="11"/>
  <c r="H84" i="11" s="1"/>
  <c r="I84" i="11" s="1"/>
  <c r="R20" i="11" s="1"/>
  <c r="R118" i="11" s="1"/>
  <c r="G75" i="11"/>
  <c r="H75" i="11" s="1"/>
  <c r="I75" i="11" s="1"/>
  <c r="J75" i="11" s="1"/>
  <c r="F30" i="13"/>
  <c r="P29" i="21"/>
  <c r="H50" i="10"/>
  <c r="H86" i="10"/>
  <c r="H38" i="10"/>
  <c r="O44" i="10"/>
  <c r="H62" i="10"/>
  <c r="H80" i="10"/>
  <c r="O31" i="10"/>
  <c r="H74" i="10"/>
  <c r="H93" i="10"/>
  <c r="M33" i="12"/>
  <c r="M39" i="12" s="1"/>
  <c r="C30" i="4"/>
  <c r="C51" i="4" s="1"/>
  <c r="C61" i="4" s="1"/>
  <c r="C71" i="4" s="1"/>
  <c r="C81" i="4" s="1"/>
  <c r="C91" i="4" s="1"/>
  <c r="E44" i="10"/>
  <c r="L75" i="10"/>
  <c r="R31" i="10"/>
  <c r="R44" i="10"/>
  <c r="R56" i="10"/>
  <c r="R68" i="10"/>
  <c r="C82" i="10"/>
  <c r="M82" i="10" s="1"/>
  <c r="C88" i="10"/>
  <c r="M88" i="10" s="1"/>
  <c r="D33" i="12"/>
  <c r="D39" i="12" s="1"/>
  <c r="C21" i="22"/>
  <c r="M33" i="22" s="1"/>
  <c r="O38" i="10"/>
  <c r="O50" i="10"/>
  <c r="O56" i="10" s="1"/>
  <c r="O62" i="10" s="1"/>
  <c r="O68" i="10" s="1"/>
  <c r="O74" i="10" s="1"/>
  <c r="O80" i="10" s="1"/>
  <c r="O86" i="10" s="1"/>
  <c r="D21" i="4"/>
  <c r="E26" i="12"/>
  <c r="M45" i="12"/>
  <c r="M51" i="12" s="1"/>
  <c r="M57" i="12" s="1"/>
  <c r="M63" i="12" s="1"/>
  <c r="M69" i="12" s="1"/>
  <c r="M75" i="12" s="1"/>
  <c r="M81" i="12" s="1"/>
  <c r="C21" i="14"/>
  <c r="C30" i="14" s="1"/>
  <c r="C41" i="14" s="1"/>
  <c r="L41" i="14" s="1"/>
  <c r="L51" i="14" s="1"/>
  <c r="L61" i="14" s="1"/>
  <c r="B7" i="2"/>
  <c r="G26" i="12"/>
  <c r="D88" i="12"/>
  <c r="D94" i="12" s="1"/>
  <c r="G28" i="21"/>
  <c r="Q28" i="21" s="1"/>
  <c r="B81" i="10"/>
  <c r="L81" i="10" s="1"/>
  <c r="H44" i="10"/>
  <c r="H56" i="10"/>
  <c r="H68" i="10"/>
  <c r="H105" i="10"/>
  <c r="E38" i="10"/>
  <c r="I31" i="10"/>
  <c r="R38" i="10"/>
  <c r="R50" i="10"/>
  <c r="R62" i="10"/>
  <c r="R74" i="10"/>
  <c r="R80" i="10"/>
  <c r="R86" i="10"/>
  <c r="S23" i="3"/>
  <c r="C41" i="4"/>
  <c r="N41" i="4" s="1"/>
  <c r="N51" i="4" s="1"/>
  <c r="N61" i="4" s="1"/>
  <c r="N71" i="4" s="1"/>
  <c r="N81" i="4" s="1"/>
  <c r="N91" i="4" s="1"/>
  <c r="M26" i="12"/>
  <c r="D45" i="12"/>
  <c r="D51" i="12" s="1"/>
  <c r="D57" i="12" s="1"/>
  <c r="D63" i="12" s="1"/>
  <c r="D69" i="12" s="1"/>
  <c r="D75" i="12" s="1"/>
  <c r="D81" i="12" s="1"/>
  <c r="H3" i="12"/>
  <c r="H7" i="12" s="1"/>
  <c r="F28" i="13"/>
  <c r="P28" i="13" s="1"/>
  <c r="F29" i="21"/>
  <c r="H6" i="21"/>
  <c r="H10" i="21" s="1"/>
  <c r="M33" i="20"/>
  <c r="G8" i="14"/>
  <c r="F30" i="21"/>
  <c r="G10" i="14"/>
  <c r="O23" i="22"/>
  <c r="P30" i="13"/>
  <c r="F29" i="13"/>
  <c r="C3" i="15"/>
  <c r="C162" i="2"/>
  <c r="E171" i="2"/>
  <c r="M171" i="2"/>
  <c r="K162" i="2"/>
  <c r="F171" i="2"/>
  <c r="N171" i="2"/>
  <c r="P30" i="21"/>
  <c r="F87" i="11"/>
  <c r="D20" i="19"/>
  <c r="D22" i="4"/>
  <c r="D22" i="14" s="1"/>
  <c r="V6" i="3"/>
  <c r="C20" i="21"/>
  <c r="O24" i="11"/>
  <c r="G12" i="14"/>
  <c r="AE17" i="3"/>
  <c r="G12" i="4"/>
  <c r="D26" i="4"/>
  <c r="D26" i="14" s="1"/>
  <c r="C21" i="13"/>
  <c r="V6" i="19"/>
  <c r="S65" i="2"/>
  <c r="S162" i="2"/>
  <c r="R162" i="2"/>
  <c r="S171" i="2"/>
  <c r="R65" i="2"/>
  <c r="M162" i="2"/>
  <c r="D65" i="2"/>
  <c r="L65" i="2"/>
  <c r="F162" i="2"/>
  <c r="N162" i="2"/>
  <c r="H171" i="2"/>
  <c r="P171" i="2"/>
  <c r="J65" i="2"/>
  <c r="C65" i="2"/>
  <c r="K65" i="2"/>
  <c r="E162" i="2"/>
  <c r="E65" i="2"/>
  <c r="M65" i="2"/>
  <c r="G162" i="2"/>
  <c r="O162" i="2"/>
  <c r="I171" i="2"/>
  <c r="D162" i="2"/>
  <c r="F65" i="2"/>
  <c r="N65" i="2"/>
  <c r="H162" i="2"/>
  <c r="P162" i="2"/>
  <c r="J171" i="2"/>
  <c r="G171" i="2"/>
  <c r="O171" i="2"/>
  <c r="G65" i="2"/>
  <c r="O65" i="2"/>
  <c r="I65" i="2"/>
  <c r="I162" i="2"/>
  <c r="C171" i="2"/>
  <c r="K171" i="2"/>
  <c r="R171" i="2"/>
  <c r="L162" i="2"/>
  <c r="H65" i="2"/>
  <c r="P65" i="2"/>
  <c r="J162" i="2"/>
  <c r="D171" i="2"/>
  <c r="L171" i="2"/>
  <c r="G17" i="11"/>
  <c r="H17" i="11" s="1"/>
  <c r="I17" i="11" s="1"/>
  <c r="J17" i="11" s="1"/>
  <c r="I11" i="11"/>
  <c r="J11" i="11" s="1"/>
  <c r="G77" i="11"/>
  <c r="H77" i="11" s="1"/>
  <c r="I77" i="11" s="1"/>
  <c r="J77" i="11" s="1"/>
  <c r="G73" i="11"/>
  <c r="H73" i="11" s="1"/>
  <c r="I73" i="11" s="1"/>
  <c r="J73" i="11" s="1"/>
  <c r="G83" i="11"/>
  <c r="H83" i="11" s="1"/>
  <c r="I83" i="11" s="1"/>
  <c r="J83" i="11" s="1"/>
  <c r="M31" i="14"/>
  <c r="C34" i="21"/>
  <c r="E36" i="13"/>
  <c r="C35" i="13"/>
  <c r="K6" i="13"/>
  <c r="K10" i="13" s="1"/>
  <c r="AA21" i="13"/>
  <c r="AE20" i="3"/>
  <c r="AA17" i="13"/>
  <c r="AE16" i="3"/>
  <c r="K6" i="21"/>
  <c r="K10" i="21" s="1"/>
  <c r="E13" i="22"/>
  <c r="G8" i="4"/>
  <c r="G9" i="14"/>
  <c r="G7" i="14"/>
  <c r="G9" i="4"/>
  <c r="C25" i="21"/>
  <c r="G7" i="4"/>
  <c r="G10" i="4"/>
  <c r="G11" i="14"/>
  <c r="R11" i="4"/>
  <c r="D23" i="4"/>
  <c r="D23" i="14" s="1"/>
  <c r="D25" i="4"/>
  <c r="G11" i="4"/>
  <c r="R12" i="4"/>
  <c r="R12" i="14" s="1"/>
  <c r="N96" i="4" l="1"/>
  <c r="N76" i="4"/>
  <c r="N56" i="4"/>
  <c r="C96" i="4"/>
  <c r="C76" i="4"/>
  <c r="C56" i="4"/>
  <c r="N86" i="4"/>
  <c r="N66" i="4"/>
  <c r="N46" i="4"/>
  <c r="C86" i="4"/>
  <c r="C66" i="4"/>
  <c r="C46" i="4"/>
  <c r="D93" i="4"/>
  <c r="D83" i="4"/>
  <c r="N95" i="4"/>
  <c r="N75" i="4"/>
  <c r="N55" i="4"/>
  <c r="C95" i="4"/>
  <c r="C75" i="4"/>
  <c r="C55" i="4"/>
  <c r="N85" i="4"/>
  <c r="N65" i="4"/>
  <c r="N45" i="4"/>
  <c r="C85" i="4"/>
  <c r="C65" i="4"/>
  <c r="C45" i="4"/>
  <c r="O93" i="4"/>
  <c r="O43" i="4"/>
  <c r="N94" i="4"/>
  <c r="N74" i="4"/>
  <c r="N54" i="4"/>
  <c r="C94" i="4"/>
  <c r="C74" i="4"/>
  <c r="C54" i="4"/>
  <c r="N84" i="4"/>
  <c r="N64" i="4"/>
  <c r="N44" i="4"/>
  <c r="C84" i="4"/>
  <c r="C64" i="4"/>
  <c r="C44" i="4"/>
  <c r="D73" i="4"/>
  <c r="D63" i="4"/>
  <c r="N93" i="4"/>
  <c r="N73" i="4"/>
  <c r="N53" i="4"/>
  <c r="C93" i="4"/>
  <c r="C73" i="4"/>
  <c r="C53" i="4"/>
  <c r="N83" i="4"/>
  <c r="N63" i="4"/>
  <c r="N43" i="4"/>
  <c r="C83" i="4"/>
  <c r="C63" i="4"/>
  <c r="C43" i="4"/>
  <c r="O73" i="4"/>
  <c r="O63" i="4"/>
  <c r="O96" i="4"/>
  <c r="O76" i="4"/>
  <c r="O56" i="4"/>
  <c r="D96" i="4"/>
  <c r="D76" i="4"/>
  <c r="D56" i="4"/>
  <c r="O86" i="4"/>
  <c r="O66" i="4"/>
  <c r="O46" i="4"/>
  <c r="D86" i="4"/>
  <c r="D66" i="4"/>
  <c r="D46" i="4"/>
  <c r="O53" i="4"/>
  <c r="O95" i="4"/>
  <c r="O75" i="4"/>
  <c r="O55" i="4"/>
  <c r="D95" i="4"/>
  <c r="D75" i="4"/>
  <c r="D55" i="4"/>
  <c r="O85" i="4"/>
  <c r="O65" i="4"/>
  <c r="O45" i="4"/>
  <c r="D85" i="4"/>
  <c r="D65" i="4"/>
  <c r="D45" i="4"/>
  <c r="O83" i="4"/>
  <c r="O94" i="4"/>
  <c r="O74" i="4"/>
  <c r="O54" i="4"/>
  <c r="D94" i="4"/>
  <c r="D74" i="4"/>
  <c r="D54" i="4"/>
  <c r="O84" i="4"/>
  <c r="O64" i="4"/>
  <c r="O44" i="4"/>
  <c r="D84" i="4"/>
  <c r="D64" i="4"/>
  <c r="D44" i="4"/>
  <c r="D53" i="4"/>
  <c r="D43" i="4"/>
  <c r="O118" i="11"/>
  <c r="O117" i="11"/>
  <c r="O115" i="11"/>
  <c r="O105" i="11"/>
  <c r="D40" i="12"/>
  <c r="P20" i="11"/>
  <c r="P118" i="11" s="1"/>
  <c r="Q20" i="11"/>
  <c r="Q118" i="11" s="1"/>
  <c r="J84" i="11"/>
  <c r="S20" i="11" s="1"/>
  <c r="S118" i="11" s="1"/>
  <c r="G74" i="11"/>
  <c r="H74" i="11" s="1"/>
  <c r="I74" i="11" s="1"/>
  <c r="J74" i="11" s="1"/>
  <c r="G79" i="11"/>
  <c r="H79" i="11" s="1"/>
  <c r="I79" i="11" s="1"/>
  <c r="J79" i="11" s="1"/>
  <c r="C15" i="3"/>
  <c r="T11" i="3" s="1"/>
  <c r="T31" i="3" s="1"/>
  <c r="G21" i="11"/>
  <c r="P10" i="11" s="1"/>
  <c r="P105" i="11" s="1"/>
  <c r="G20" i="11"/>
  <c r="G19" i="11"/>
  <c r="H19" i="11" s="1"/>
  <c r="I19" i="11" s="1"/>
  <c r="J19" i="11" s="1"/>
  <c r="C34" i="22"/>
  <c r="L71" i="14"/>
  <c r="L81" i="14" s="1"/>
  <c r="L91" i="14" s="1"/>
  <c r="E88" i="12"/>
  <c r="E39" i="12"/>
  <c r="N45" i="12"/>
  <c r="N51" i="12" s="1"/>
  <c r="N57" i="12" s="1"/>
  <c r="N63" i="12" s="1"/>
  <c r="N69" i="12" s="1"/>
  <c r="N75" i="12" s="1"/>
  <c r="N81" i="12" s="1"/>
  <c r="N33" i="12"/>
  <c r="E33" i="12"/>
  <c r="E100" i="12"/>
  <c r="N26" i="12"/>
  <c r="N39" i="12" s="1"/>
  <c r="E45" i="12"/>
  <c r="E51" i="12" s="1"/>
  <c r="E57" i="12" s="1"/>
  <c r="E63" i="12" s="1"/>
  <c r="E69" i="12" s="1"/>
  <c r="E75" i="12" s="1"/>
  <c r="E81" i="12" s="1"/>
  <c r="E94" i="12" s="1"/>
  <c r="D21" i="20"/>
  <c r="D21" i="14"/>
  <c r="D30" i="14" s="1"/>
  <c r="D21" i="22"/>
  <c r="D30" i="4"/>
  <c r="G33" i="12"/>
  <c r="P26" i="12"/>
  <c r="P81" i="12"/>
  <c r="G45" i="12"/>
  <c r="G81" i="12"/>
  <c r="P75" i="12"/>
  <c r="G69" i="12"/>
  <c r="G63" i="12"/>
  <c r="G57" i="12"/>
  <c r="G51" i="12"/>
  <c r="P33" i="12"/>
  <c r="G88" i="12"/>
  <c r="G75" i="12"/>
  <c r="P63" i="12"/>
  <c r="P51" i="12"/>
  <c r="P57" i="12"/>
  <c r="P69" i="12"/>
  <c r="G39" i="12"/>
  <c r="C51" i="14"/>
  <c r="C71" i="14" s="1"/>
  <c r="C81" i="14" s="1"/>
  <c r="C91" i="14" s="1"/>
  <c r="I105" i="10"/>
  <c r="I68" i="10"/>
  <c r="I56" i="10"/>
  <c r="I44" i="10"/>
  <c r="H26" i="12"/>
  <c r="I93" i="10"/>
  <c r="I80" i="10"/>
  <c r="I74" i="10"/>
  <c r="S68" i="10"/>
  <c r="S56" i="10"/>
  <c r="S44" i="10"/>
  <c r="S31" i="10"/>
  <c r="I86" i="10"/>
  <c r="I50" i="10"/>
  <c r="I38" i="10"/>
  <c r="I62" i="10"/>
  <c r="S62" i="10"/>
  <c r="I99" i="10"/>
  <c r="S38" i="10"/>
  <c r="S86" i="10"/>
  <c r="S50" i="10"/>
  <c r="S80" i="10"/>
  <c r="S74" i="10"/>
  <c r="D69" i="10"/>
  <c r="D82" i="12"/>
  <c r="M64" i="12"/>
  <c r="M82" i="12"/>
  <c r="D58" i="12"/>
  <c r="M40" i="12"/>
  <c r="M76" i="12"/>
  <c r="D76" i="12"/>
  <c r="M58" i="12"/>
  <c r="G70" i="11"/>
  <c r="H70" i="11" s="1"/>
  <c r="I70" i="11" s="1"/>
  <c r="J70" i="11" s="1"/>
  <c r="R173" i="2"/>
  <c r="N173" i="2"/>
  <c r="E173" i="2"/>
  <c r="S173" i="2"/>
  <c r="D81" i="10"/>
  <c r="D87" i="10"/>
  <c r="N63" i="10"/>
  <c r="D45" i="10"/>
  <c r="G71" i="11"/>
  <c r="H71" i="11" s="1"/>
  <c r="I71" i="11" s="1"/>
  <c r="J71" i="11" s="1"/>
  <c r="G173" i="2"/>
  <c r="M173" i="2"/>
  <c r="G78" i="11"/>
  <c r="H78" i="11" s="1"/>
  <c r="I78" i="11" s="1"/>
  <c r="J78" i="11" s="1"/>
  <c r="P173" i="2"/>
  <c r="H173" i="2"/>
  <c r="I173" i="2"/>
  <c r="C12" i="19"/>
  <c r="P11" i="19" s="1"/>
  <c r="K173" i="2"/>
  <c r="C173" i="2"/>
  <c r="J173" i="2"/>
  <c r="L173" i="2"/>
  <c r="D173" i="2"/>
  <c r="O173" i="2"/>
  <c r="F173" i="2"/>
  <c r="C12" i="3"/>
  <c r="P11" i="3" s="1"/>
  <c r="G13" i="11"/>
  <c r="G15" i="11"/>
  <c r="G72" i="11"/>
  <c r="H72" i="11" s="1"/>
  <c r="I72" i="11" s="1"/>
  <c r="J72" i="11" s="1"/>
  <c r="D12" i="19"/>
  <c r="P14" i="19" s="1"/>
  <c r="G82" i="11"/>
  <c r="H82" i="11" s="1"/>
  <c r="I82" i="11" s="1"/>
  <c r="J82" i="11" s="1"/>
  <c r="G81" i="11"/>
  <c r="D64" i="12"/>
  <c r="D46" i="12"/>
  <c r="D25" i="14"/>
  <c r="M46" i="12"/>
  <c r="C47" i="14" l="1"/>
  <c r="P10" i="19"/>
  <c r="P30" i="19" s="1"/>
  <c r="P31" i="19"/>
  <c r="P13" i="19"/>
  <c r="P36" i="19" s="1"/>
  <c r="P37" i="19"/>
  <c r="P10" i="3"/>
  <c r="P30" i="3" s="1"/>
  <c r="P31" i="3"/>
  <c r="P19" i="11"/>
  <c r="P117" i="11" s="1"/>
  <c r="H21" i="11"/>
  <c r="H20" i="11"/>
  <c r="I20" i="11" s="1"/>
  <c r="J20" i="11" s="1"/>
  <c r="H13" i="11"/>
  <c r="I13" i="11" s="1"/>
  <c r="J13" i="11" s="1"/>
  <c r="C5" i="3"/>
  <c r="I11" i="3" s="1"/>
  <c r="C15" i="19"/>
  <c r="T11" i="19" s="1"/>
  <c r="T31" i="19" s="1"/>
  <c r="D15" i="3"/>
  <c r="T14" i="3" s="1"/>
  <c r="T37" i="3" s="1"/>
  <c r="D67" i="14"/>
  <c r="L47" i="14"/>
  <c r="P45" i="12"/>
  <c r="P39" i="12"/>
  <c r="H33" i="12"/>
  <c r="H94" i="12"/>
  <c r="Q39" i="12"/>
  <c r="Q33" i="12"/>
  <c r="H100" i="12"/>
  <c r="H45" i="12"/>
  <c r="Q26" i="12"/>
  <c r="H88" i="12"/>
  <c r="H39" i="12"/>
  <c r="Q45" i="12"/>
  <c r="E41" i="4"/>
  <c r="P41" i="4" s="1"/>
  <c r="P51" i="4" s="1"/>
  <c r="P61" i="4" s="1"/>
  <c r="P71" i="4" s="1"/>
  <c r="P81" i="4" s="1"/>
  <c r="P91" i="4" s="1"/>
  <c r="E51" i="4"/>
  <c r="E61" i="4" s="1"/>
  <c r="E71" i="4" s="1"/>
  <c r="E81" i="4" s="1"/>
  <c r="E91" i="4" s="1"/>
  <c r="C61" i="14"/>
  <c r="E41" i="14"/>
  <c r="N41" i="14" s="1"/>
  <c r="N51" i="14" s="1"/>
  <c r="N61" i="14" s="1"/>
  <c r="N71" i="14" s="1"/>
  <c r="N81" i="14" s="1"/>
  <c r="N91" i="14" s="1"/>
  <c r="E61" i="14"/>
  <c r="E71" i="14" s="1"/>
  <c r="E81" i="14" s="1"/>
  <c r="E91" i="14" s="1"/>
  <c r="E51" i="14"/>
  <c r="E34" i="22"/>
  <c r="N33" i="22"/>
  <c r="G94" i="12"/>
  <c r="G100" i="12"/>
  <c r="N33" i="20"/>
  <c r="E34" i="20"/>
  <c r="D12" i="3"/>
  <c r="P14" i="3" s="1"/>
  <c r="L87" i="14"/>
  <c r="C87" i="14"/>
  <c r="N51" i="10"/>
  <c r="M47" i="14"/>
  <c r="D47" i="14"/>
  <c r="M67" i="14"/>
  <c r="G16" i="11"/>
  <c r="D51" i="10"/>
  <c r="D39" i="10" s="1"/>
  <c r="C67" i="4"/>
  <c r="C67" i="14"/>
  <c r="D87" i="14"/>
  <c r="L67" i="14"/>
  <c r="M87" i="14"/>
  <c r="D47" i="4"/>
  <c r="N67" i="4"/>
  <c r="D63" i="10"/>
  <c r="C47" i="4"/>
  <c r="C87" i="4"/>
  <c r="D87" i="4"/>
  <c r="N69" i="10"/>
  <c r="O67" i="4"/>
  <c r="O47" i="4"/>
  <c r="N87" i="10"/>
  <c r="O87" i="4"/>
  <c r="N81" i="10"/>
  <c r="G14" i="11"/>
  <c r="D67" i="4"/>
  <c r="N87" i="4"/>
  <c r="G22" i="11"/>
  <c r="H22" i="11" s="1"/>
  <c r="I22" i="11" s="1"/>
  <c r="J22" i="11" s="1"/>
  <c r="C5" i="19"/>
  <c r="I11" i="19" s="1"/>
  <c r="G76" i="11"/>
  <c r="H76" i="11" s="1"/>
  <c r="I76" i="11" s="1"/>
  <c r="J76" i="11" s="1"/>
  <c r="N45" i="10"/>
  <c r="N47" i="4"/>
  <c r="H15" i="11"/>
  <c r="H81" i="11"/>
  <c r="Q19" i="11" s="1"/>
  <c r="Q117" i="11" s="1"/>
  <c r="D75" i="10"/>
  <c r="D34" i="12"/>
  <c r="D70" i="12"/>
  <c r="M70" i="12"/>
  <c r="M34" i="12"/>
  <c r="D52" i="12"/>
  <c r="M52" i="12"/>
  <c r="P13" i="3" l="1"/>
  <c r="P36" i="3" s="1"/>
  <c r="P37" i="3"/>
  <c r="I10" i="19"/>
  <c r="I30" i="19" s="1"/>
  <c r="I31" i="19"/>
  <c r="I10" i="3"/>
  <c r="I30" i="3" s="1"/>
  <c r="I31" i="3"/>
  <c r="I21" i="11"/>
  <c r="Q10" i="11"/>
  <c r="Q105" i="11" s="1"/>
  <c r="H14" i="11"/>
  <c r="I14" i="11" s="1"/>
  <c r="J14" i="11" s="1"/>
  <c r="H16" i="11"/>
  <c r="I16" i="11" s="1"/>
  <c r="J16" i="11" s="1"/>
  <c r="D15" i="19"/>
  <c r="T14" i="19" s="1"/>
  <c r="T37" i="19" s="1"/>
  <c r="N39" i="10"/>
  <c r="D57" i="10"/>
  <c r="N57" i="10"/>
  <c r="N75" i="10"/>
  <c r="I15" i="11"/>
  <c r="J15" i="11" s="1"/>
  <c r="I81" i="11"/>
  <c r="R19" i="11" s="1"/>
  <c r="R117" i="11" s="1"/>
  <c r="R10" i="11" l="1"/>
  <c r="R105" i="11" s="1"/>
  <c r="J21" i="11"/>
  <c r="S10" i="11" s="1"/>
  <c r="S105" i="11" s="1"/>
  <c r="J81" i="11"/>
  <c r="S19" i="11" s="1"/>
  <c r="S117" i="11" s="1"/>
  <c r="C14" i="19"/>
  <c r="R11" i="19" s="1"/>
  <c r="R31" i="19" s="1"/>
  <c r="C14" i="3"/>
  <c r="R11" i="3" s="1"/>
  <c r="R31" i="3" s="1"/>
  <c r="D14" i="3" l="1"/>
  <c r="R14" i="3" s="1"/>
  <c r="R37" i="3" s="1"/>
  <c r="D14" i="19"/>
  <c r="R14" i="19" s="1"/>
  <c r="R37" i="19" s="1"/>
  <c r="Q171" i="2" l="1"/>
  <c r="Q162" i="2" l="1"/>
  <c r="Q65" i="2" l="1"/>
  <c r="Q173" i="2" s="1"/>
  <c r="D5" i="19" l="1"/>
  <c r="I14" i="19" s="1"/>
  <c r="D5" i="3"/>
  <c r="I14" i="3" s="1"/>
  <c r="I13" i="3" l="1"/>
  <c r="I36" i="3" s="1"/>
  <c r="I37" i="3"/>
  <c r="I13" i="19"/>
  <c r="I36" i="19" s="1"/>
  <c r="I37" i="19"/>
  <c r="C35" i="14" l="1"/>
  <c r="C32" i="14" l="1"/>
  <c r="C31" i="14"/>
  <c r="N64" i="10" l="1"/>
  <c r="N77" i="4"/>
  <c r="C57" i="4"/>
  <c r="D46" i="10"/>
  <c r="D82" i="10"/>
  <c r="C97" i="4"/>
  <c r="N82" i="10"/>
  <c r="N97" i="4"/>
  <c r="C34" i="14"/>
  <c r="N57" i="4"/>
  <c r="N46" i="10"/>
  <c r="D64" i="10"/>
  <c r="D65" i="10" s="1"/>
  <c r="C77" i="4"/>
  <c r="N88" i="10" l="1"/>
  <c r="N89" i="10" s="1"/>
  <c r="O97" i="4"/>
  <c r="D77" i="12"/>
  <c r="C97" i="14"/>
  <c r="D41" i="12"/>
  <c r="C57" i="14"/>
  <c r="D47" i="10"/>
  <c r="D97" i="4"/>
  <c r="D88" i="10"/>
  <c r="D76" i="10" s="1"/>
  <c r="N52" i="10"/>
  <c r="N53" i="10" s="1"/>
  <c r="O57" i="4"/>
  <c r="N83" i="10"/>
  <c r="D70" i="10"/>
  <c r="D77" i="4"/>
  <c r="N70" i="10"/>
  <c r="N71" i="10" s="1"/>
  <c r="O77" i="4"/>
  <c r="M41" i="12"/>
  <c r="L57" i="14"/>
  <c r="N47" i="10"/>
  <c r="M59" i="12"/>
  <c r="L77" i="14"/>
  <c r="D57" i="4"/>
  <c r="D52" i="10"/>
  <c r="D53" i="10" s="1"/>
  <c r="M77" i="12"/>
  <c r="L97" i="14"/>
  <c r="D59" i="12"/>
  <c r="C77" i="14"/>
  <c r="D83" i="10"/>
  <c r="N65" i="10"/>
  <c r="N59" i="10" l="1"/>
  <c r="N40" i="10"/>
  <c r="N76" i="10"/>
  <c r="N77" i="10"/>
  <c r="M97" i="14"/>
  <c r="M83" i="12"/>
  <c r="D89" i="10"/>
  <c r="D77" i="10" s="1"/>
  <c r="D78" i="12"/>
  <c r="N41" i="10"/>
  <c r="D60" i="12"/>
  <c r="D83" i="12"/>
  <c r="D84" i="12" s="1"/>
  <c r="D97" i="14"/>
  <c r="M78" i="12"/>
  <c r="D40" i="10"/>
  <c r="D47" i="12"/>
  <c r="D35" i="12" s="1"/>
  <c r="D57" i="14"/>
  <c r="D65" i="12"/>
  <c r="D53" i="12" s="1"/>
  <c r="D77" i="14"/>
  <c r="M60" i="12"/>
  <c r="M42" i="12"/>
  <c r="D41" i="10"/>
  <c r="N58" i="10"/>
  <c r="M47" i="12"/>
  <c r="M35" i="12" s="1"/>
  <c r="M57" i="14"/>
  <c r="M65" i="12"/>
  <c r="M77" i="14"/>
  <c r="D58" i="10"/>
  <c r="D59" i="10" s="1"/>
  <c r="D71" i="10"/>
  <c r="D42" i="12"/>
  <c r="D48" i="12" l="1"/>
  <c r="D72" i="12"/>
  <c r="D71" i="12"/>
  <c r="M66" i="12"/>
  <c r="M48" i="12"/>
  <c r="M53" i="12"/>
  <c r="M71" i="12"/>
  <c r="M84" i="12"/>
  <c r="D66" i="12"/>
  <c r="D36" i="12" l="1"/>
  <c r="M36" i="12"/>
  <c r="D54" i="12"/>
  <c r="M54" i="12"/>
  <c r="M72" i="12"/>
  <c r="C23" i="22" l="1"/>
  <c r="C25" i="22"/>
  <c r="C22" i="22" l="1"/>
  <c r="C36" i="20"/>
  <c r="C38" i="20"/>
  <c r="D102" i="10" s="1"/>
  <c r="C37" i="20"/>
  <c r="D101" i="10" s="1"/>
  <c r="D37" i="20"/>
  <c r="D107" i="10" s="1"/>
  <c r="C24" i="22"/>
  <c r="D36" i="20"/>
  <c r="D38" i="20"/>
  <c r="D108" i="10" s="1"/>
  <c r="AB31" i="13"/>
  <c r="D95" i="10" l="1"/>
  <c r="D39" i="20"/>
  <c r="D106" i="10"/>
  <c r="D37" i="22"/>
  <c r="D102" i="12" s="1"/>
  <c r="D36" i="22"/>
  <c r="D38" i="22"/>
  <c r="D103" i="12" s="1"/>
  <c r="D96" i="10"/>
  <c r="Z31" i="13"/>
  <c r="D27" i="12" s="1"/>
  <c r="D32" i="10"/>
  <c r="D100" i="10"/>
  <c r="C39" i="20"/>
  <c r="C38" i="22"/>
  <c r="D97" i="12" s="1"/>
  <c r="C37" i="22"/>
  <c r="D96" i="12" s="1"/>
  <c r="C36" i="22"/>
  <c r="M27" i="12" l="1"/>
  <c r="D94" i="10"/>
  <c r="D101" i="12"/>
  <c r="D39" i="22"/>
  <c r="D95" i="12"/>
  <c r="C39" i="22"/>
  <c r="D90" i="12"/>
  <c r="D91" i="12"/>
  <c r="D89" i="12" l="1"/>
  <c r="Y30" i="21" l="1"/>
  <c r="W30" i="21" l="1"/>
  <c r="D28" i="12" s="1"/>
  <c r="D33" i="10"/>
  <c r="M28" i="12" l="1"/>
  <c r="AB32" i="13"/>
  <c r="AE27" i="19"/>
  <c r="Y31" i="21" s="1"/>
  <c r="AC27" i="19"/>
  <c r="W31" i="21" s="1"/>
  <c r="D34" i="10"/>
  <c r="Z32" i="13"/>
  <c r="D29" i="12" s="1"/>
  <c r="M29" i="12" l="1"/>
  <c r="F53" i="11" l="1"/>
  <c r="D53" i="11" s="1"/>
  <c r="F45" i="11" l="1"/>
  <c r="D45" i="11" s="1"/>
  <c r="F42" i="11"/>
  <c r="F44" i="11"/>
  <c r="D44" i="11" s="1"/>
  <c r="F43" i="11"/>
  <c r="D43" i="11" s="1"/>
  <c r="F46" i="11"/>
  <c r="D46" i="11" s="1"/>
  <c r="D42" i="11" l="1"/>
  <c r="F49" i="11" l="1"/>
  <c r="F48" i="11"/>
  <c r="D48" i="11" l="1"/>
  <c r="G48" i="11"/>
  <c r="H48" i="11" s="1"/>
  <c r="I48" i="11" s="1"/>
  <c r="J48" i="11" s="1"/>
  <c r="D49" i="11"/>
  <c r="G49" i="11"/>
  <c r="H49" i="11" s="1"/>
  <c r="I49" i="11" s="1"/>
  <c r="J49" i="11" s="1"/>
  <c r="F50" i="11" l="1"/>
  <c r="D50" i="11" l="1"/>
  <c r="G50" i="11"/>
  <c r="H50" i="11" s="1"/>
  <c r="I50" i="11" s="1"/>
  <c r="J50" i="11" s="1"/>
  <c r="F51" i="11" l="1"/>
  <c r="F40" i="11"/>
  <c r="D40" i="11" l="1"/>
  <c r="G40" i="11"/>
  <c r="H40" i="11" s="1"/>
  <c r="I40" i="11" s="1"/>
  <c r="J40" i="11" s="1"/>
  <c r="D51" i="11"/>
  <c r="G51" i="11"/>
  <c r="H51" i="11" s="1"/>
  <c r="I51" i="11" s="1"/>
  <c r="J51" i="11" s="1"/>
  <c r="F52" i="11" l="1"/>
  <c r="D52" i="11" s="1"/>
  <c r="F39" i="11" l="1"/>
  <c r="D39" i="11" l="1"/>
  <c r="G39" i="11"/>
  <c r="H39" i="11" s="1"/>
  <c r="I39" i="11" s="1"/>
  <c r="J39" i="11" s="1"/>
  <c r="F56" i="11"/>
  <c r="D56" i="11" s="1"/>
  <c r="F36" i="11" l="1"/>
  <c r="F34" i="11" l="1"/>
  <c r="D36" i="11"/>
  <c r="G36" i="11"/>
  <c r="H36" i="11" s="1"/>
  <c r="I36" i="11" s="1"/>
  <c r="J36" i="11" s="1"/>
  <c r="F37" i="11"/>
  <c r="D101" i="11" l="1"/>
  <c r="F112" i="11"/>
  <c r="D37" i="11"/>
  <c r="G37" i="11"/>
  <c r="H37" i="11" s="1"/>
  <c r="I37" i="11" s="1"/>
  <c r="J37" i="11" s="1"/>
  <c r="D34" i="11"/>
  <c r="F33" i="11" l="1"/>
  <c r="D33" i="11" l="1"/>
  <c r="O13" i="11"/>
  <c r="G33" i="11"/>
  <c r="O108" i="11" l="1"/>
  <c r="C8" i="19"/>
  <c r="L11" i="19" s="1"/>
  <c r="C8" i="3"/>
  <c r="L11" i="3" s="1"/>
  <c r="P13" i="11"/>
  <c r="P108" i="11" s="1"/>
  <c r="H33" i="11"/>
  <c r="I33" i="11" l="1"/>
  <c r="Q13" i="11"/>
  <c r="Q108" i="11" s="1"/>
  <c r="L10" i="3"/>
  <c r="L30" i="3" s="1"/>
  <c r="L31" i="3"/>
  <c r="L10" i="19"/>
  <c r="L30" i="19" s="1"/>
  <c r="L31" i="19"/>
  <c r="D8" i="3"/>
  <c r="L14" i="3" s="1"/>
  <c r="D8" i="19"/>
  <c r="L14" i="19" s="1"/>
  <c r="R13" i="11" l="1"/>
  <c r="R108" i="11" s="1"/>
  <c r="J33" i="11"/>
  <c r="S13" i="11" s="1"/>
  <c r="S108" i="11" s="1"/>
  <c r="L37" i="19"/>
  <c r="L13" i="19"/>
  <c r="L36" i="19" s="1"/>
  <c r="L37" i="3"/>
  <c r="L13" i="3"/>
  <c r="L36" i="3" s="1"/>
  <c r="F35" i="11"/>
  <c r="F38" i="11"/>
  <c r="D38" i="11" l="1"/>
  <c r="G38" i="11"/>
  <c r="H38" i="11" s="1"/>
  <c r="I38" i="11" s="1"/>
  <c r="J38" i="11" s="1"/>
  <c r="D35" i="11"/>
  <c r="G35" i="11"/>
  <c r="D104" i="11" l="1"/>
  <c r="G112" i="11"/>
  <c r="H35" i="11"/>
  <c r="H112" i="11" l="1"/>
  <c r="I35" i="11"/>
  <c r="I112" i="11" s="1"/>
  <c r="J35" i="11" l="1"/>
  <c r="J112" i="11" s="1"/>
  <c r="F47" i="11"/>
  <c r="T162" i="2"/>
  <c r="D105" i="11" l="1"/>
  <c r="D112" i="11" s="1"/>
  <c r="D47" i="11"/>
  <c r="G47" i="11"/>
  <c r="H47" i="11" l="1"/>
  <c r="I47" i="11" l="1"/>
  <c r="J47" i="11" l="1"/>
  <c r="F18" i="11" l="1"/>
  <c r="T65" i="2"/>
  <c r="T173" i="2" l="1"/>
  <c r="Q5" i="17" s="1"/>
  <c r="Q6" i="17" s="1"/>
  <c r="D18" i="11"/>
  <c r="G18" i="11"/>
  <c r="O22" i="11"/>
  <c r="B5" i="11" l="1"/>
  <c r="C17" i="19"/>
  <c r="S11" i="19" s="1"/>
  <c r="O120" i="11"/>
  <c r="C17" i="3"/>
  <c r="S11" i="3" s="1"/>
  <c r="H18" i="11"/>
  <c r="P22" i="11"/>
  <c r="P120" i="11" s="1"/>
  <c r="F61" i="11" l="1"/>
  <c r="F62" i="11"/>
  <c r="F60" i="11"/>
  <c r="D17" i="3"/>
  <c r="S14" i="3" s="1"/>
  <c r="D17" i="19"/>
  <c r="S14" i="19" s="1"/>
  <c r="S31" i="19"/>
  <c r="F64" i="11"/>
  <c r="D62" i="11"/>
  <c r="F67" i="11"/>
  <c r="F65" i="11"/>
  <c r="F66" i="11"/>
  <c r="F63" i="11"/>
  <c r="D61" i="11"/>
  <c r="D60" i="11"/>
  <c r="I18" i="11"/>
  <c r="Q22" i="11"/>
  <c r="Q120" i="11" s="1"/>
  <c r="S31" i="3"/>
  <c r="R22" i="11" l="1"/>
  <c r="R120" i="11" s="1"/>
  <c r="J18" i="11"/>
  <c r="O18" i="11"/>
  <c r="G61" i="11"/>
  <c r="D64" i="11"/>
  <c r="G64" i="11"/>
  <c r="O16" i="11"/>
  <c r="O11" i="11"/>
  <c r="G63" i="11"/>
  <c r="D63" i="11"/>
  <c r="O14" i="11"/>
  <c r="G66" i="11"/>
  <c r="D66" i="11"/>
  <c r="G62" i="11"/>
  <c r="O12" i="11"/>
  <c r="G67" i="11"/>
  <c r="D67" i="11"/>
  <c r="O21" i="11"/>
  <c r="D65" i="11"/>
  <c r="G65" i="11"/>
  <c r="O15" i="11"/>
  <c r="S37" i="19"/>
  <c r="G60" i="11"/>
  <c r="O9" i="11"/>
  <c r="F85" i="11"/>
  <c r="S37" i="3"/>
  <c r="D85" i="11" l="1"/>
  <c r="C7" i="19"/>
  <c r="K11" i="19" s="1"/>
  <c r="O107" i="11"/>
  <c r="C7" i="3"/>
  <c r="K11" i="3" s="1"/>
  <c r="H62" i="11"/>
  <c r="P12" i="11"/>
  <c r="P107" i="11" s="1"/>
  <c r="H64" i="11"/>
  <c r="P16" i="11"/>
  <c r="P114" i="11" s="1"/>
  <c r="P15" i="11"/>
  <c r="P113" i="11" s="1"/>
  <c r="H65" i="11"/>
  <c r="P14" i="11"/>
  <c r="P112" i="11" s="1"/>
  <c r="H66" i="11"/>
  <c r="C9" i="19"/>
  <c r="M11" i="19" s="1"/>
  <c r="O112" i="11"/>
  <c r="C9" i="3"/>
  <c r="M11" i="3" s="1"/>
  <c r="H61" i="11"/>
  <c r="P18" i="11"/>
  <c r="P116" i="11" s="1"/>
  <c r="O113" i="11"/>
  <c r="C10" i="3"/>
  <c r="N11" i="3" s="1"/>
  <c r="C10" i="19"/>
  <c r="N11" i="19" s="1"/>
  <c r="C16" i="19"/>
  <c r="Q11" i="19" s="1"/>
  <c r="O119" i="11"/>
  <c r="C16" i="3"/>
  <c r="Q11" i="3" s="1"/>
  <c r="O116" i="11"/>
  <c r="C13" i="3"/>
  <c r="U11" i="3" s="1"/>
  <c r="C13" i="19"/>
  <c r="U11" i="19" s="1"/>
  <c r="C4" i="3"/>
  <c r="O23" i="11"/>
  <c r="O104" i="11"/>
  <c r="C4" i="19"/>
  <c r="P11" i="11"/>
  <c r="P106" i="11" s="1"/>
  <c r="H63" i="11"/>
  <c r="P9" i="11"/>
  <c r="H60" i="11"/>
  <c r="G85" i="11"/>
  <c r="H67" i="11"/>
  <c r="P21" i="11"/>
  <c r="P119" i="11" s="1"/>
  <c r="C6" i="3"/>
  <c r="J11" i="3" s="1"/>
  <c r="O106" i="11"/>
  <c r="C6" i="19"/>
  <c r="J11" i="19" s="1"/>
  <c r="S22" i="11"/>
  <c r="S120" i="11" s="1"/>
  <c r="C11" i="3"/>
  <c r="O11" i="3" s="1"/>
  <c r="O114" i="11"/>
  <c r="C11" i="19"/>
  <c r="O11" i="19" s="1"/>
  <c r="C18" i="3" l="1"/>
  <c r="H11" i="3"/>
  <c r="D16" i="3"/>
  <c r="Q14" i="3" s="1"/>
  <c r="D16" i="19"/>
  <c r="Q14" i="19" s="1"/>
  <c r="M31" i="3"/>
  <c r="I60" i="11"/>
  <c r="Q9" i="11"/>
  <c r="H85" i="11"/>
  <c r="U31" i="19"/>
  <c r="D9" i="3"/>
  <c r="M14" i="3" s="1"/>
  <c r="D9" i="19"/>
  <c r="M14" i="19" s="1"/>
  <c r="I64" i="11"/>
  <c r="Q16" i="11"/>
  <c r="Q114" i="11" s="1"/>
  <c r="P104" i="11"/>
  <c r="P121" i="11" s="1"/>
  <c r="Q20" i="17" s="1"/>
  <c r="P23" i="11"/>
  <c r="N31" i="19"/>
  <c r="J31" i="19"/>
  <c r="V20" i="19"/>
  <c r="I63" i="11"/>
  <c r="Q11" i="11"/>
  <c r="Q106" i="11" s="1"/>
  <c r="U31" i="3"/>
  <c r="N31" i="3"/>
  <c r="M31" i="19"/>
  <c r="I62" i="11"/>
  <c r="Q12" i="11"/>
  <c r="Q107" i="11" s="1"/>
  <c r="Q31" i="19"/>
  <c r="D6" i="19"/>
  <c r="J14" i="19" s="1"/>
  <c r="D6" i="3"/>
  <c r="J14" i="3" s="1"/>
  <c r="D10" i="19"/>
  <c r="N14" i="19" s="1"/>
  <c r="D10" i="3"/>
  <c r="N14" i="3" s="1"/>
  <c r="Q14" i="11"/>
  <c r="Q112" i="11" s="1"/>
  <c r="I66" i="11"/>
  <c r="O31" i="19"/>
  <c r="J31" i="3"/>
  <c r="V20" i="3"/>
  <c r="C18" i="19"/>
  <c r="H11" i="19"/>
  <c r="D13" i="19"/>
  <c r="U14" i="19" s="1"/>
  <c r="D13" i="3"/>
  <c r="U14" i="3" s="1"/>
  <c r="D7" i="3"/>
  <c r="K14" i="3" s="1"/>
  <c r="D7" i="19"/>
  <c r="K14" i="19" s="1"/>
  <c r="D4" i="3"/>
  <c r="D4" i="19"/>
  <c r="O121" i="11"/>
  <c r="I65" i="11"/>
  <c r="Q15" i="11"/>
  <c r="Q113" i="11" s="1"/>
  <c r="D11" i="3"/>
  <c r="O14" i="3" s="1"/>
  <c r="D11" i="19"/>
  <c r="O14" i="19" s="1"/>
  <c r="O31" i="3"/>
  <c r="I67" i="11"/>
  <c r="Q21" i="11"/>
  <c r="Q119" i="11" s="1"/>
  <c r="Q31" i="3"/>
  <c r="I61" i="11"/>
  <c r="Q18" i="11"/>
  <c r="Q116" i="11" s="1"/>
  <c r="O123" i="11" l="1"/>
  <c r="Q19" i="17"/>
  <c r="P123" i="11"/>
  <c r="Q104" i="11"/>
  <c r="Q121" i="11" s="1"/>
  <c r="Q23" i="11"/>
  <c r="O37" i="19"/>
  <c r="H14" i="3"/>
  <c r="D18" i="3"/>
  <c r="N37" i="3"/>
  <c r="J64" i="11"/>
  <c r="S16" i="11" s="1"/>
  <c r="S114" i="11" s="1"/>
  <c r="R16" i="11"/>
  <c r="R114" i="11" s="1"/>
  <c r="J63" i="11"/>
  <c r="S11" i="11" s="1"/>
  <c r="S106" i="11" s="1"/>
  <c r="R11" i="11"/>
  <c r="R106" i="11" s="1"/>
  <c r="N37" i="19"/>
  <c r="M37" i="19"/>
  <c r="D18" i="19"/>
  <c r="H14" i="19"/>
  <c r="J62" i="11"/>
  <c r="S12" i="11" s="1"/>
  <c r="S107" i="11" s="1"/>
  <c r="R12" i="11"/>
  <c r="R107" i="11" s="1"/>
  <c r="O37" i="3"/>
  <c r="J37" i="3"/>
  <c r="X20" i="3"/>
  <c r="M37" i="3"/>
  <c r="Q37" i="19"/>
  <c r="U37" i="3"/>
  <c r="J37" i="19"/>
  <c r="X20" i="19"/>
  <c r="Q37" i="3"/>
  <c r="J66" i="11"/>
  <c r="S14" i="11" s="1"/>
  <c r="S112" i="11" s="1"/>
  <c r="R14" i="11"/>
  <c r="R112" i="11" s="1"/>
  <c r="J61" i="11"/>
  <c r="S18" i="11" s="1"/>
  <c r="S116" i="11" s="1"/>
  <c r="R18" i="11"/>
  <c r="R116" i="11" s="1"/>
  <c r="R9" i="11"/>
  <c r="J60" i="11"/>
  <c r="I85" i="11"/>
  <c r="U37" i="19"/>
  <c r="V11" i="3"/>
  <c r="H31" i="3"/>
  <c r="Z20" i="3"/>
  <c r="R21" i="11"/>
  <c r="R119" i="11" s="1"/>
  <c r="J67" i="11"/>
  <c r="S21" i="11" s="1"/>
  <c r="S119" i="11" s="1"/>
  <c r="J65" i="11"/>
  <c r="S15" i="11" s="1"/>
  <c r="S113" i="11" s="1"/>
  <c r="R15" i="11"/>
  <c r="R113" i="11" s="1"/>
  <c r="H31" i="19"/>
  <c r="Z20" i="19"/>
  <c r="V11" i="19"/>
  <c r="Q123" i="11" l="1"/>
  <c r="Q21" i="17"/>
  <c r="H37" i="19"/>
  <c r="AA20" i="19"/>
  <c r="V14" i="19"/>
  <c r="H37" i="3"/>
  <c r="AA20" i="3"/>
  <c r="V14" i="3"/>
  <c r="S9" i="11"/>
  <c r="J85" i="11"/>
  <c r="R104" i="11"/>
  <c r="R121" i="11" s="1"/>
  <c r="R23" i="11"/>
  <c r="R123" i="11" l="1"/>
  <c r="Q22" i="17"/>
  <c r="S104" i="11"/>
  <c r="S121" i="11" s="1"/>
  <c r="S23" i="11"/>
  <c r="S123" i="11" l="1"/>
  <c r="Q23" i="17"/>
  <c r="R6" i="13" l="1"/>
  <c r="R10" i="13" s="1"/>
  <c r="S10" i="3"/>
  <c r="S30" i="3" s="1"/>
  <c r="S13" i="3"/>
  <c r="S36" i="3" s="1"/>
  <c r="R6" i="21"/>
  <c r="R10" i="21" s="1"/>
  <c r="S10" i="19"/>
  <c r="S30" i="19" s="1"/>
  <c r="S13" i="19"/>
  <c r="S36" i="19" s="1"/>
  <c r="S6" i="21" l="1"/>
  <c r="S10" i="21" s="1"/>
  <c r="T10" i="19"/>
  <c r="T30" i="19" s="1"/>
  <c r="T13" i="19"/>
  <c r="T36" i="19" s="1"/>
  <c r="T10" i="3"/>
  <c r="T30" i="3" s="1"/>
  <c r="S6" i="13"/>
  <c r="S10" i="13" s="1"/>
  <c r="T13" i="3"/>
  <c r="T36" i="3" s="1"/>
  <c r="Q6" i="13" l="1"/>
  <c r="Q10" i="13" s="1"/>
  <c r="R10" i="3"/>
  <c r="R30" i="3" s="1"/>
  <c r="R13" i="3"/>
  <c r="R36" i="3" s="1"/>
  <c r="R13" i="19"/>
  <c r="R36" i="19" s="1"/>
  <c r="Q6" i="21"/>
  <c r="Q10" i="21" s="1"/>
  <c r="R10" i="19"/>
  <c r="R30" i="19" s="1"/>
  <c r="AA8" i="14" l="1"/>
  <c r="AA13" i="14" l="1"/>
  <c r="N6" i="13" l="1"/>
  <c r="N10" i="13" s="1"/>
  <c r="O10" i="3"/>
  <c r="O30" i="3" s="1"/>
  <c r="O13" i="3"/>
  <c r="O36" i="3" s="1"/>
  <c r="N6" i="21"/>
  <c r="N10" i="21" s="1"/>
  <c r="O10" i="19"/>
  <c r="O30" i="19" s="1"/>
  <c r="O13" i="19"/>
  <c r="O36" i="19" s="1"/>
  <c r="R8" i="4" l="1"/>
  <c r="R8" i="14" s="1"/>
  <c r="Q8" i="14"/>
  <c r="D34" i="4"/>
  <c r="D34" i="14" s="1"/>
  <c r="Q10" i="14"/>
  <c r="D35" i="4"/>
  <c r="D35" i="14" s="1"/>
  <c r="R10" i="4"/>
  <c r="R10" i="14" s="1"/>
  <c r="R7" i="4"/>
  <c r="R7" i="14" s="1"/>
  <c r="Q7" i="14"/>
  <c r="D31" i="4"/>
  <c r="D31" i="14" s="1"/>
  <c r="Q9" i="14"/>
  <c r="R9" i="4"/>
  <c r="R9" i="14" s="1"/>
  <c r="D32" i="4"/>
  <c r="D32" i="14" s="1"/>
  <c r="I6" i="21" l="1"/>
  <c r="I10" i="21" s="1"/>
  <c r="J10" i="19"/>
  <c r="J13" i="19"/>
  <c r="J36" i="19" l="1"/>
  <c r="J30" i="19"/>
  <c r="I6" i="13"/>
  <c r="I10" i="13" s="1"/>
  <c r="J10" i="3"/>
  <c r="J13" i="3"/>
  <c r="J36" i="3" l="1"/>
  <c r="J30" i="3"/>
  <c r="L6" i="21" l="1"/>
  <c r="L10" i="21" s="1"/>
  <c r="M10" i="19"/>
  <c r="M30" i="19" s="1"/>
  <c r="M13" i="19"/>
  <c r="M36" i="19" s="1"/>
  <c r="L6" i="13" l="1"/>
  <c r="L10" i="13" s="1"/>
  <c r="M10" i="3"/>
  <c r="M30" i="3" s="1"/>
  <c r="M13" i="3"/>
  <c r="M36" i="3" s="1"/>
  <c r="D24" i="20" l="1"/>
  <c r="G11" i="20"/>
  <c r="F11" i="22"/>
  <c r="F7" i="22"/>
  <c r="D22" i="20"/>
  <c r="G7" i="20"/>
  <c r="G11" i="22" l="1"/>
  <c r="D24" i="22"/>
  <c r="D25" i="20"/>
  <c r="D25" i="22" s="1"/>
  <c r="G13" i="20"/>
  <c r="F13" i="22"/>
  <c r="D22" i="22"/>
  <c r="E38" i="20"/>
  <c r="E102" i="10" s="1"/>
  <c r="E37" i="20"/>
  <c r="E101" i="10" s="1"/>
  <c r="G7" i="22"/>
  <c r="F9" i="22"/>
  <c r="D23" i="20"/>
  <c r="D23" i="22" s="1"/>
  <c r="G9" i="20"/>
  <c r="F36" i="20" l="1"/>
  <c r="E36" i="20"/>
  <c r="F37" i="20"/>
  <c r="E107" i="10" s="1"/>
  <c r="E95" i="10" s="1"/>
  <c r="G9" i="22"/>
  <c r="E37" i="22"/>
  <c r="E96" i="12" s="1"/>
  <c r="E38" i="22"/>
  <c r="E97" i="12" s="1"/>
  <c r="E36" i="22"/>
  <c r="F38" i="20"/>
  <c r="E108" i="10" s="1"/>
  <c r="E96" i="10" s="1"/>
  <c r="F38" i="22"/>
  <c r="E103" i="12" s="1"/>
  <c r="F36" i="22"/>
  <c r="F37" i="22"/>
  <c r="E102" i="12" s="1"/>
  <c r="G13" i="22"/>
  <c r="E101" i="12" l="1"/>
  <c r="F39" i="22"/>
  <c r="E39" i="22"/>
  <c r="E95" i="12"/>
  <c r="E100" i="10"/>
  <c r="E39" i="20"/>
  <c r="E91" i="12"/>
  <c r="E90" i="12"/>
  <c r="F39" i="20"/>
  <c r="E106" i="10"/>
  <c r="Z8" i="22"/>
  <c r="E94" i="10" l="1"/>
  <c r="E89" i="12"/>
  <c r="Z13" i="22" l="1"/>
  <c r="Q15" i="14" l="1"/>
  <c r="Q15" i="4"/>
  <c r="P53" i="4" l="1"/>
  <c r="Q56" i="4"/>
  <c r="Q53" i="4"/>
  <c r="P75" i="4"/>
  <c r="F93" i="4"/>
  <c r="F56" i="4"/>
  <c r="P74" i="4"/>
  <c r="F76" i="4"/>
  <c r="E76" i="4"/>
  <c r="P93" i="4"/>
  <c r="Q76" i="4"/>
  <c r="Q96" i="4"/>
  <c r="P73" i="4"/>
  <c r="P56" i="4"/>
  <c r="F95" i="4"/>
  <c r="Q74" i="4"/>
  <c r="P96" i="4"/>
  <c r="E54" i="4"/>
  <c r="E74" i="4"/>
  <c r="Q54" i="4"/>
  <c r="F53" i="4"/>
  <c r="E75" i="4"/>
  <c r="Q94" i="4"/>
  <c r="Q55" i="4"/>
  <c r="E53" i="4"/>
  <c r="F54" i="4"/>
  <c r="E96" i="4"/>
  <c r="E55" i="4"/>
  <c r="F74" i="4"/>
  <c r="F75" i="4"/>
  <c r="F94" i="4"/>
  <c r="Q93" i="4"/>
  <c r="F96" i="4"/>
  <c r="Q75" i="4"/>
  <c r="E95" i="4"/>
  <c r="E94" i="4"/>
  <c r="E56" i="4"/>
  <c r="P95" i="4"/>
  <c r="P94" i="4"/>
  <c r="Q73" i="4"/>
  <c r="P76" i="4"/>
  <c r="P54" i="4"/>
  <c r="F55" i="4"/>
  <c r="E93" i="4"/>
  <c r="E73" i="4"/>
  <c r="F73" i="4"/>
  <c r="Q95" i="4"/>
  <c r="P55" i="4"/>
  <c r="N96" i="14"/>
  <c r="O54" i="14"/>
  <c r="N94" i="14"/>
  <c r="F53" i="14"/>
  <c r="O55" i="14"/>
  <c r="E96" i="14"/>
  <c r="O93" i="14"/>
  <c r="E54" i="14"/>
  <c r="N74" i="14"/>
  <c r="F55" i="14"/>
  <c r="O53" i="14"/>
  <c r="E95" i="14"/>
  <c r="N75" i="14"/>
  <c r="N73" i="14"/>
  <c r="F96" i="14"/>
  <c r="F93" i="14"/>
  <c r="F54" i="14"/>
  <c r="O56" i="14"/>
  <c r="F95" i="14"/>
  <c r="N76" i="14"/>
  <c r="F73" i="14"/>
  <c r="O76" i="14"/>
  <c r="E73" i="14"/>
  <c r="E55" i="14"/>
  <c r="F76" i="14"/>
  <c r="F94" i="14"/>
  <c r="E53" i="14"/>
  <c r="N53" i="14"/>
  <c r="F75" i="14"/>
  <c r="E93" i="14"/>
  <c r="O94" i="14"/>
  <c r="E56" i="14"/>
  <c r="N54" i="14"/>
  <c r="E75" i="14"/>
  <c r="O95" i="14"/>
  <c r="O73" i="14"/>
  <c r="E76" i="14"/>
  <c r="O96" i="14"/>
  <c r="N56" i="14"/>
  <c r="E94" i="14"/>
  <c r="N93" i="14"/>
  <c r="N95" i="14"/>
  <c r="F56" i="14"/>
  <c r="F74" i="14"/>
  <c r="O75" i="14"/>
  <c r="O74" i="14"/>
  <c r="E74" i="14"/>
  <c r="N55" i="14"/>
  <c r="E77" i="12" l="1"/>
  <c r="E97" i="14"/>
  <c r="N77" i="14"/>
  <c r="N59" i="12"/>
  <c r="O70" i="10"/>
  <c r="Q77" i="4"/>
  <c r="O88" i="10"/>
  <c r="Q97" i="4"/>
  <c r="N57" i="14"/>
  <c r="N41" i="12"/>
  <c r="E47" i="12"/>
  <c r="F57" i="14"/>
  <c r="E70" i="10"/>
  <c r="F77" i="4"/>
  <c r="E65" i="12"/>
  <c r="F77" i="14"/>
  <c r="E41" i="12"/>
  <c r="E57" i="14"/>
  <c r="N47" i="12"/>
  <c r="O57" i="14"/>
  <c r="E64" i="10"/>
  <c r="E77" i="4"/>
  <c r="F57" i="4"/>
  <c r="E52" i="10"/>
  <c r="O64" i="10"/>
  <c r="P77" i="4"/>
  <c r="E88" i="10"/>
  <c r="F97" i="4"/>
  <c r="E97" i="4"/>
  <c r="E82" i="10"/>
  <c r="N77" i="12"/>
  <c r="N97" i="14"/>
  <c r="Q57" i="4"/>
  <c r="O52" i="10"/>
  <c r="O77" i="14"/>
  <c r="N65" i="12"/>
  <c r="E83" i="12"/>
  <c r="F97" i="14"/>
  <c r="O82" i="10"/>
  <c r="P97" i="4"/>
  <c r="E77" i="14"/>
  <c r="E59" i="12"/>
  <c r="O97" i="14"/>
  <c r="N83" i="12"/>
  <c r="E57" i="4"/>
  <c r="E46" i="10"/>
  <c r="P57" i="4"/>
  <c r="O46" i="10"/>
  <c r="E76" i="10" l="1"/>
  <c r="O58" i="10"/>
  <c r="O40" i="10"/>
  <c r="O76" i="10"/>
  <c r="E35" i="12"/>
  <c r="N35" i="12"/>
  <c r="E40" i="10"/>
  <c r="E53" i="12"/>
  <c r="M6" i="13"/>
  <c r="M10" i="13" s="1"/>
  <c r="N10" i="3"/>
  <c r="N30" i="3" s="1"/>
  <c r="N13" i="3"/>
  <c r="N36" i="3" s="1"/>
  <c r="E58" i="10"/>
  <c r="N53" i="12"/>
  <c r="N71" i="12"/>
  <c r="F15" i="4"/>
  <c r="F15" i="14"/>
  <c r="M6" i="21"/>
  <c r="M10" i="21" s="1"/>
  <c r="N10" i="19"/>
  <c r="N30" i="19" s="1"/>
  <c r="N13" i="19"/>
  <c r="N36" i="19" s="1"/>
  <c r="E71" i="12"/>
  <c r="F65" i="4" l="1"/>
  <c r="F66" i="4"/>
  <c r="E65" i="4"/>
  <c r="F46" i="4"/>
  <c r="Q83" i="4"/>
  <c r="E63" i="4"/>
  <c r="P83" i="4"/>
  <c r="Q85" i="4"/>
  <c r="Q65" i="4"/>
  <c r="Q84" i="4"/>
  <c r="Q43" i="4"/>
  <c r="F64" i="4"/>
  <c r="E86" i="4"/>
  <c r="Q86" i="4"/>
  <c r="P86" i="4"/>
  <c r="P84" i="4"/>
  <c r="P46" i="4"/>
  <c r="F85" i="4"/>
  <c r="Q44" i="4"/>
  <c r="F44" i="4"/>
  <c r="F83" i="4"/>
  <c r="E83" i="4"/>
  <c r="Q45" i="4"/>
  <c r="E84" i="4"/>
  <c r="E46" i="4"/>
  <c r="Q63" i="4"/>
  <c r="P66" i="4"/>
  <c r="P63" i="4"/>
  <c r="P44" i="4"/>
  <c r="F84" i="4"/>
  <c r="P64" i="4"/>
  <c r="E44" i="4"/>
  <c r="F43" i="4"/>
  <c r="P65" i="4"/>
  <c r="Q46" i="4"/>
  <c r="F63" i="4"/>
  <c r="Q64" i="4"/>
  <c r="Q66" i="4"/>
  <c r="E45" i="4"/>
  <c r="F86" i="4"/>
  <c r="P85" i="4"/>
  <c r="E85" i="4"/>
  <c r="E66" i="4"/>
  <c r="P45" i="4"/>
  <c r="E64" i="4"/>
  <c r="F45" i="4"/>
  <c r="E43" i="4"/>
  <c r="P43" i="4"/>
  <c r="O85" i="14"/>
  <c r="N65" i="14"/>
  <c r="F65" i="14"/>
  <c r="N46" i="14"/>
  <c r="F85" i="14"/>
  <c r="O46" i="14"/>
  <c r="F45" i="14"/>
  <c r="N83" i="14"/>
  <c r="N64" i="14"/>
  <c r="O44" i="14"/>
  <c r="E63" i="14"/>
  <c r="O83" i="14"/>
  <c r="F64" i="14"/>
  <c r="F86" i="14"/>
  <c r="O86" i="14"/>
  <c r="E65" i="14"/>
  <c r="E86" i="14"/>
  <c r="F66" i="14"/>
  <c r="O43" i="14"/>
  <c r="E45" i="14"/>
  <c r="E43" i="14"/>
  <c r="E84" i="14"/>
  <c r="N63" i="14"/>
  <c r="N44" i="14"/>
  <c r="E83" i="14"/>
  <c r="O63" i="14"/>
  <c r="O64" i="14"/>
  <c r="E44" i="14"/>
  <c r="E85" i="14"/>
  <c r="F63" i="14"/>
  <c r="N85" i="14"/>
  <c r="E46" i="14"/>
  <c r="F84" i="14"/>
  <c r="N84" i="14"/>
  <c r="O65" i="14"/>
  <c r="O84" i="14"/>
  <c r="F46" i="14"/>
  <c r="O66" i="14"/>
  <c r="N43" i="14"/>
  <c r="N66" i="14"/>
  <c r="N45" i="14"/>
  <c r="F43" i="14"/>
  <c r="O45" i="14"/>
  <c r="E64" i="14"/>
  <c r="F83" i="14"/>
  <c r="E66" i="14"/>
  <c r="N86" i="14"/>
  <c r="F44" i="14"/>
  <c r="N46" i="12" l="1"/>
  <c r="O47" i="14"/>
  <c r="E58" i="12"/>
  <c r="E67" i="14"/>
  <c r="O45" i="10"/>
  <c r="P47" i="4"/>
  <c r="E46" i="12"/>
  <c r="F47" i="14"/>
  <c r="N64" i="12"/>
  <c r="O67" i="14"/>
  <c r="E47" i="4"/>
  <c r="E45" i="10"/>
  <c r="O81" i="10"/>
  <c r="P87" i="4"/>
  <c r="E87" i="14"/>
  <c r="E76" i="12"/>
  <c r="E81" i="10"/>
  <c r="E87" i="4"/>
  <c r="E67" i="4"/>
  <c r="E63" i="10"/>
  <c r="N76" i="12"/>
  <c r="N87" i="14"/>
  <c r="E87" i="10"/>
  <c r="E89" i="10" s="1"/>
  <c r="F87" i="4"/>
  <c r="O87" i="10"/>
  <c r="O89" i="10" s="1"/>
  <c r="Q87" i="4"/>
  <c r="N40" i="12"/>
  <c r="N47" i="14"/>
  <c r="N67" i="14"/>
  <c r="N58" i="12"/>
  <c r="E69" i="10"/>
  <c r="E71" i="10" s="1"/>
  <c r="F67" i="4"/>
  <c r="O63" i="10"/>
  <c r="P67" i="4"/>
  <c r="F67" i="14"/>
  <c r="E64" i="12"/>
  <c r="O51" i="10"/>
  <c r="O53" i="10" s="1"/>
  <c r="Q47" i="4"/>
  <c r="E82" i="12"/>
  <c r="F87" i="14"/>
  <c r="E40" i="12"/>
  <c r="E47" i="14"/>
  <c r="O69" i="10"/>
  <c r="O71" i="10" s="1"/>
  <c r="Q67" i="4"/>
  <c r="O87" i="14"/>
  <c r="N82" i="12"/>
  <c r="E51" i="10"/>
  <c r="E53" i="10" s="1"/>
  <c r="F47" i="4"/>
  <c r="E75" i="10" l="1"/>
  <c r="E83" i="10"/>
  <c r="E77" i="10" s="1"/>
  <c r="E42" i="12"/>
  <c r="E34" i="12"/>
  <c r="O75" i="10"/>
  <c r="O83" i="10"/>
  <c r="O77" i="10" s="1"/>
  <c r="N66" i="12"/>
  <c r="P6" i="13"/>
  <c r="P10" i="13" s="1"/>
  <c r="Q10" i="3"/>
  <c r="Q30" i="3" s="1"/>
  <c r="Q13" i="3"/>
  <c r="Q36" i="3" s="1"/>
  <c r="N78" i="12"/>
  <c r="N70" i="12"/>
  <c r="E84" i="12"/>
  <c r="N60" i="12"/>
  <c r="N52" i="12"/>
  <c r="E57" i="10"/>
  <c r="E59" i="10" s="1"/>
  <c r="E65" i="10"/>
  <c r="E48" i="12"/>
  <c r="O47" i="10"/>
  <c r="O41" i="10" s="1"/>
  <c r="O39" i="10"/>
  <c r="O57" i="10"/>
  <c r="O65" i="10"/>
  <c r="O59" i="10" s="1"/>
  <c r="E66" i="12"/>
  <c r="E70" i="12"/>
  <c r="E78" i="12"/>
  <c r="E39" i="10"/>
  <c r="E47" i="10"/>
  <c r="E41" i="10" s="1"/>
  <c r="E60" i="12"/>
  <c r="E52" i="12"/>
  <c r="P6" i="21"/>
  <c r="P10" i="21" s="1"/>
  <c r="Q10" i="19"/>
  <c r="Q30" i="19" s="1"/>
  <c r="Q13" i="19"/>
  <c r="Q36" i="19" s="1"/>
  <c r="N42" i="12"/>
  <c r="N34" i="12"/>
  <c r="N84" i="12"/>
  <c r="N48" i="12"/>
  <c r="N36" i="12" l="1"/>
  <c r="N54" i="12"/>
  <c r="E72" i="12"/>
  <c r="E36" i="12"/>
  <c r="E54" i="12"/>
  <c r="N72" i="12"/>
  <c r="Z8" i="14"/>
  <c r="AA8" i="22" l="1"/>
  <c r="Y8" i="14" l="1"/>
  <c r="AA13" i="22" l="1"/>
  <c r="Y13" i="22" s="1"/>
  <c r="Y15" i="20"/>
  <c r="Y8" i="22"/>
  <c r="Y15" i="4"/>
  <c r="Z13" i="14"/>
  <c r="Y13" i="14" s="1"/>
  <c r="Z30" i="21" l="1"/>
  <c r="AC16" i="20"/>
  <c r="AC12" i="22" s="1"/>
  <c r="AA31" i="13" l="1"/>
  <c r="H24" i="3"/>
  <c r="E32" i="10" s="1"/>
  <c r="AC16" i="4"/>
  <c r="AC12" i="14" s="1"/>
  <c r="AC31" i="13"/>
  <c r="H24" i="19" l="1"/>
  <c r="E33" i="10" s="1"/>
  <c r="X30" i="21"/>
  <c r="G29" i="13"/>
  <c r="E27" i="12"/>
  <c r="E28" i="12" l="1"/>
  <c r="G29" i="21"/>
  <c r="O33" i="10" l="1"/>
  <c r="T6" i="21"/>
  <c r="U10" i="19"/>
  <c r="U30" i="19" s="1"/>
  <c r="U13" i="19"/>
  <c r="U36" i="19" s="1"/>
  <c r="O32" i="10" l="1"/>
  <c r="T6" i="13"/>
  <c r="U10" i="3"/>
  <c r="U30" i="3" s="1"/>
  <c r="U13" i="3"/>
  <c r="U36" i="3" s="1"/>
  <c r="T10" i="21"/>
  <c r="N28" i="12"/>
  <c r="T10" i="13" l="1"/>
  <c r="N27" i="12"/>
  <c r="G6" i="13" l="1"/>
  <c r="G10" i="13" s="1"/>
  <c r="H10" i="3"/>
  <c r="H13" i="3"/>
  <c r="G6" i="21"/>
  <c r="G10" i="21" s="1"/>
  <c r="H10" i="19"/>
  <c r="H13" i="19"/>
  <c r="H36" i="19" l="1"/>
  <c r="AA19" i="19"/>
  <c r="AA11" i="20" s="1"/>
  <c r="AA12" i="20" s="1"/>
  <c r="H30" i="19"/>
  <c r="Z19" i="19"/>
  <c r="AA9" i="20" s="1"/>
  <c r="AA10" i="20" s="1"/>
  <c r="W20" i="21"/>
  <c r="AA9" i="22" s="1"/>
  <c r="AA14" i="22" s="1"/>
  <c r="H36" i="3"/>
  <c r="AA19" i="3"/>
  <c r="AA11" i="4" s="1"/>
  <c r="AA12" i="4" s="1"/>
  <c r="Z19" i="3"/>
  <c r="AA9" i="4" s="1"/>
  <c r="AA10" i="4" s="1"/>
  <c r="H30" i="3"/>
  <c r="W20" i="13"/>
  <c r="X20" i="13" s="1"/>
  <c r="AA9" i="14" s="1"/>
  <c r="AA14" i="14" s="1"/>
  <c r="AA16" i="4" l="1"/>
  <c r="AA17" i="4" s="1"/>
  <c r="AA16" i="20"/>
  <c r="AA17" i="20" s="1"/>
  <c r="AA18" i="4"/>
  <c r="AA19" i="4" s="1"/>
  <c r="AA15" i="14"/>
  <c r="AA10" i="14"/>
  <c r="AA18" i="20"/>
  <c r="AA19" i="20" s="1"/>
  <c r="J6" i="21"/>
  <c r="J10" i="21" s="1"/>
  <c r="H29" i="21" s="1"/>
  <c r="R29" i="21" s="1"/>
  <c r="K10" i="19"/>
  <c r="K13" i="19"/>
  <c r="J6" i="13"/>
  <c r="J10" i="13" s="1"/>
  <c r="H29" i="13" s="1"/>
  <c r="R29" i="13" s="1"/>
  <c r="K10" i="3"/>
  <c r="V10" i="3" s="1"/>
  <c r="K13" i="3"/>
  <c r="AA15" i="22"/>
  <c r="AA10" i="22"/>
  <c r="X19" i="3" l="1"/>
  <c r="V13" i="3"/>
  <c r="V19" i="3"/>
  <c r="W19" i="3" s="1"/>
  <c r="U20" i="13"/>
  <c r="V20" i="13" s="1"/>
  <c r="U10" i="13"/>
  <c r="V19" i="19"/>
  <c r="W19" i="19" s="1"/>
  <c r="V10" i="19"/>
  <c r="X19" i="19"/>
  <c r="V13" i="19"/>
  <c r="U20" i="21"/>
  <c r="U10" i="21"/>
  <c r="Z9" i="22" l="1"/>
  <c r="Y9" i="22"/>
  <c r="Y10" i="22" s="1"/>
  <c r="AE18" i="19"/>
  <c r="Y20" i="19" s="1"/>
  <c r="K31" i="19"/>
  <c r="I25" i="19" s="1"/>
  <c r="T25" i="19" s="1"/>
  <c r="K37" i="19"/>
  <c r="J25" i="19" s="1"/>
  <c r="U25" i="19" s="1"/>
  <c r="W20" i="19"/>
  <c r="Z9" i="14"/>
  <c r="Z14" i="14" s="1"/>
  <c r="Y9" i="14"/>
  <c r="Y10" i="14" s="1"/>
  <c r="AE18" i="3"/>
  <c r="Y19" i="3" s="1"/>
  <c r="K31" i="3"/>
  <c r="I25" i="3" s="1"/>
  <c r="T25" i="3" s="1"/>
  <c r="W20" i="3"/>
  <c r="K37" i="3"/>
  <c r="J25" i="3" s="1"/>
  <c r="U25" i="3" s="1"/>
  <c r="X11" i="3"/>
  <c r="X10" i="3"/>
  <c r="K36" i="19"/>
  <c r="J24" i="19" s="1"/>
  <c r="U24" i="19" s="1"/>
  <c r="K30" i="3"/>
  <c r="I24" i="3" s="1"/>
  <c r="T24" i="3" s="1"/>
  <c r="X13" i="3"/>
  <c r="K30" i="19"/>
  <c r="I24" i="19" s="1"/>
  <c r="T24" i="19" s="1"/>
  <c r="F28" i="12"/>
  <c r="I29" i="21"/>
  <c r="F27" i="12"/>
  <c r="I29" i="13"/>
  <c r="K36" i="3"/>
  <c r="J24" i="3" s="1"/>
  <c r="U24" i="3" s="1"/>
  <c r="Y19" i="19" l="1"/>
  <c r="Z18" i="20"/>
  <c r="S29" i="21"/>
  <c r="O28" i="12"/>
  <c r="Z10" i="14"/>
  <c r="Z11" i="4"/>
  <c r="Z12" i="4" s="1"/>
  <c r="Y11" i="4"/>
  <c r="Y12" i="4" s="1"/>
  <c r="G34" i="10"/>
  <c r="G28" i="12"/>
  <c r="H28" i="12"/>
  <c r="H27" i="12"/>
  <c r="G27" i="12"/>
  <c r="Z9" i="20"/>
  <c r="Z10" i="20" s="1"/>
  <c r="Y9" i="20"/>
  <c r="Y10" i="20" s="1"/>
  <c r="F34" i="10"/>
  <c r="Z18" i="4"/>
  <c r="O27" i="12"/>
  <c r="S29" i="13"/>
  <c r="Z16" i="4"/>
  <c r="Y20" i="3"/>
  <c r="X14" i="3"/>
  <c r="Z16" i="20"/>
  <c r="Z9" i="4"/>
  <c r="Z10" i="4" s="1"/>
  <c r="Y9" i="4"/>
  <c r="Y10" i="4" s="1"/>
  <c r="Z14" i="22"/>
  <c r="Z10" i="22"/>
  <c r="AC32" i="13" l="1"/>
  <c r="AF27" i="19"/>
  <c r="Z31" i="21" s="1"/>
  <c r="Q27" i="12"/>
  <c r="P27" i="12"/>
  <c r="Z19" i="4"/>
  <c r="Y18" i="4"/>
  <c r="Y19" i="4" s="1"/>
  <c r="AE16" i="4" s="1"/>
  <c r="Z15" i="14"/>
  <c r="Y14" i="14"/>
  <c r="AD27" i="19"/>
  <c r="H25" i="3"/>
  <c r="AA32" i="13"/>
  <c r="Q28" i="12"/>
  <c r="P28" i="12"/>
  <c r="K24" i="19"/>
  <c r="F33" i="10"/>
  <c r="Z17" i="20"/>
  <c r="Y16" i="20"/>
  <c r="Y17" i="20" s="1"/>
  <c r="AD16" i="20" s="1"/>
  <c r="Z11" i="20"/>
  <c r="Z12" i="20" s="1"/>
  <c r="Y11" i="20"/>
  <c r="Y12" i="20" s="1"/>
  <c r="P34" i="10"/>
  <c r="G32" i="10"/>
  <c r="L24" i="3"/>
  <c r="Q34" i="10"/>
  <c r="L24" i="19"/>
  <c r="G33" i="10"/>
  <c r="Y14" i="22"/>
  <c r="Z15" i="22"/>
  <c r="F32" i="10"/>
  <c r="K24" i="3"/>
  <c r="Z17" i="4"/>
  <c r="Y16" i="4"/>
  <c r="Y17" i="4" s="1"/>
  <c r="AD16" i="4" s="1"/>
  <c r="H34" i="10"/>
  <c r="J34" i="10"/>
  <c r="Z19" i="20"/>
  <c r="Y18" i="20"/>
  <c r="Y19" i="20" s="1"/>
  <c r="AE16" i="20" s="1"/>
  <c r="J12" i="4" l="1"/>
  <c r="K12" i="4" s="1"/>
  <c r="J9" i="4"/>
  <c r="J11" i="4"/>
  <c r="K11" i="4" s="1"/>
  <c r="J8" i="4"/>
  <c r="J10" i="4"/>
  <c r="J7" i="4"/>
  <c r="H12" i="4"/>
  <c r="I12" i="4" s="1"/>
  <c r="S11" i="4"/>
  <c r="H7" i="4"/>
  <c r="H11" i="4"/>
  <c r="I11" i="4" s="1"/>
  <c r="H8" i="4"/>
  <c r="S12" i="4"/>
  <c r="H9" i="4"/>
  <c r="H10" i="4"/>
  <c r="H7" i="20"/>
  <c r="H11" i="20"/>
  <c r="H13" i="20"/>
  <c r="H9" i="20"/>
  <c r="V24" i="3"/>
  <c r="P32" i="10"/>
  <c r="G30" i="13"/>
  <c r="E29" i="12"/>
  <c r="J11" i="20"/>
  <c r="J7" i="20"/>
  <c r="J13" i="20"/>
  <c r="J9" i="20"/>
  <c r="P33" i="10"/>
  <c r="V24" i="19"/>
  <c r="E34" i="10"/>
  <c r="I34" i="10" s="1"/>
  <c r="K25" i="3"/>
  <c r="L25" i="3"/>
  <c r="R34" i="10"/>
  <c r="T34" i="10"/>
  <c r="I32" i="10"/>
  <c r="J32" i="10"/>
  <c r="H32" i="10"/>
  <c r="X31" i="21"/>
  <c r="G30" i="21" s="1"/>
  <c r="H25" i="19"/>
  <c r="AD12" i="22"/>
  <c r="Y15" i="22"/>
  <c r="H33" i="10"/>
  <c r="J33" i="10"/>
  <c r="I33" i="10"/>
  <c r="Q32" i="10"/>
  <c r="W24" i="3"/>
  <c r="Q33" i="10"/>
  <c r="W24" i="19"/>
  <c r="Y15" i="14"/>
  <c r="AD12" i="14"/>
  <c r="H7" i="14" s="1"/>
  <c r="O34" i="10" l="1"/>
  <c r="S34" i="10" s="1"/>
  <c r="V25" i="3"/>
  <c r="W25" i="3"/>
  <c r="N29" i="12"/>
  <c r="E24" i="20"/>
  <c r="I11" i="20"/>
  <c r="U11" i="4"/>
  <c r="V11" i="4" s="1"/>
  <c r="T11" i="4"/>
  <c r="T33" i="10"/>
  <c r="R33" i="10"/>
  <c r="S33" i="10"/>
  <c r="I7" i="20"/>
  <c r="E22" i="20"/>
  <c r="H11" i="22"/>
  <c r="H7" i="22"/>
  <c r="H9" i="22"/>
  <c r="H13" i="22"/>
  <c r="E26" i="4"/>
  <c r="S10" i="4"/>
  <c r="I10" i="4"/>
  <c r="U7" i="4"/>
  <c r="K7" i="4"/>
  <c r="F22" i="4"/>
  <c r="R32" i="10"/>
  <c r="T32" i="10"/>
  <c r="S32" i="10"/>
  <c r="L25" i="19"/>
  <c r="K25" i="19"/>
  <c r="K9" i="20"/>
  <c r="F23" i="20"/>
  <c r="I9" i="4"/>
  <c r="S9" i="4"/>
  <c r="E23" i="4"/>
  <c r="F26" i="4"/>
  <c r="U10" i="4"/>
  <c r="K10" i="4"/>
  <c r="K13" i="20"/>
  <c r="F25" i="20"/>
  <c r="T12" i="4"/>
  <c r="U12" i="4"/>
  <c r="V12" i="4" s="1"/>
  <c r="U8" i="4"/>
  <c r="K8" i="4"/>
  <c r="F25" i="4"/>
  <c r="F22" i="20"/>
  <c r="K7" i="20"/>
  <c r="I8" i="4"/>
  <c r="E25" i="4"/>
  <c r="S8" i="4"/>
  <c r="S7" i="14"/>
  <c r="H9" i="14"/>
  <c r="H8" i="14"/>
  <c r="H11" i="14"/>
  <c r="S11" i="14" s="1"/>
  <c r="E22" i="14"/>
  <c r="I7" i="14"/>
  <c r="F24" i="20"/>
  <c r="K11" i="20"/>
  <c r="E23" i="20"/>
  <c r="I9" i="20"/>
  <c r="K9" i="4"/>
  <c r="U9" i="4"/>
  <c r="F23" i="4"/>
  <c r="E25" i="20"/>
  <c r="I13" i="20"/>
  <c r="S7" i="4"/>
  <c r="E22" i="4"/>
  <c r="I7" i="4"/>
  <c r="I8" i="14" l="1"/>
  <c r="S8" i="14"/>
  <c r="E25" i="14"/>
  <c r="U84" i="4"/>
  <c r="U63" i="4"/>
  <c r="U83" i="4"/>
  <c r="J86" i="4"/>
  <c r="U43" i="4"/>
  <c r="U64" i="4"/>
  <c r="U66" i="4"/>
  <c r="U85" i="4"/>
  <c r="U86" i="4"/>
  <c r="J43" i="4"/>
  <c r="J84" i="4"/>
  <c r="J46" i="4"/>
  <c r="J45" i="4"/>
  <c r="J65" i="4"/>
  <c r="U45" i="4"/>
  <c r="J66" i="4"/>
  <c r="U65" i="4"/>
  <c r="J63" i="4"/>
  <c r="U44" i="4"/>
  <c r="J85" i="4"/>
  <c r="J64" i="4"/>
  <c r="J44" i="4"/>
  <c r="J83" i="4"/>
  <c r="U46" i="4"/>
  <c r="I30" i="21"/>
  <c r="S30" i="21"/>
  <c r="I86" i="4"/>
  <c r="T86" i="4"/>
  <c r="T85" i="4"/>
  <c r="T64" i="4"/>
  <c r="I44" i="4"/>
  <c r="I43" i="4"/>
  <c r="I66" i="4"/>
  <c r="T46" i="4"/>
  <c r="T84" i="4"/>
  <c r="I64" i="4"/>
  <c r="I45" i="4"/>
  <c r="T83" i="4"/>
  <c r="I63" i="4"/>
  <c r="I84" i="4"/>
  <c r="T66" i="4"/>
  <c r="T44" i="4"/>
  <c r="T63" i="4"/>
  <c r="I65" i="4"/>
  <c r="I85" i="4"/>
  <c r="I83" i="4"/>
  <c r="T45" i="4"/>
  <c r="T43" i="4"/>
  <c r="T65" i="4"/>
  <c r="I46" i="4"/>
  <c r="E22" i="22"/>
  <c r="I7" i="22"/>
  <c r="R64" i="4"/>
  <c r="G45" i="4"/>
  <c r="G83" i="4"/>
  <c r="G84" i="4"/>
  <c r="G46" i="4"/>
  <c r="R65" i="4"/>
  <c r="G86" i="4"/>
  <c r="G44" i="4"/>
  <c r="R66" i="4"/>
  <c r="G66" i="4"/>
  <c r="G85" i="4"/>
  <c r="G65" i="4"/>
  <c r="G64" i="4"/>
  <c r="R44" i="4"/>
  <c r="R83" i="4"/>
  <c r="G43" i="4"/>
  <c r="R43" i="4"/>
  <c r="R86" i="4"/>
  <c r="G63" i="4"/>
  <c r="R45" i="4"/>
  <c r="R46" i="4"/>
  <c r="R85" i="4"/>
  <c r="R84" i="4"/>
  <c r="R63" i="4"/>
  <c r="E24" i="22"/>
  <c r="I11" i="22"/>
  <c r="T7" i="14"/>
  <c r="E31" i="14"/>
  <c r="V8" i="4"/>
  <c r="F34" i="4"/>
  <c r="F35" i="4"/>
  <c r="V10" i="4"/>
  <c r="F31" i="4"/>
  <c r="V7" i="4"/>
  <c r="G38" i="20"/>
  <c r="F102" i="10" s="1"/>
  <c r="G37" i="20"/>
  <c r="F101" i="10" s="1"/>
  <c r="G36" i="20"/>
  <c r="H37" i="20"/>
  <c r="F107" i="10" s="1"/>
  <c r="H36" i="20"/>
  <c r="H38" i="20"/>
  <c r="F108" i="10" s="1"/>
  <c r="I30" i="13"/>
  <c r="F29" i="12"/>
  <c r="V25" i="19"/>
  <c r="W25" i="19"/>
  <c r="T10" i="4"/>
  <c r="E35" i="4"/>
  <c r="E31" i="4"/>
  <c r="T7" i="4"/>
  <c r="T9" i="4"/>
  <c r="E32" i="4"/>
  <c r="G84" i="14"/>
  <c r="G86" i="14"/>
  <c r="P46" i="14"/>
  <c r="G44" i="14"/>
  <c r="G66" i="14"/>
  <c r="G46" i="14"/>
  <c r="G85" i="14"/>
  <c r="G43" i="14"/>
  <c r="F40" i="12" s="1"/>
  <c r="P65" i="14"/>
  <c r="G65" i="14"/>
  <c r="P85" i="14"/>
  <c r="G63" i="14"/>
  <c r="P84" i="14"/>
  <c r="P44" i="14"/>
  <c r="G64" i="14"/>
  <c r="P64" i="14"/>
  <c r="P45" i="14"/>
  <c r="P63" i="14"/>
  <c r="G45" i="14"/>
  <c r="P66" i="14"/>
  <c r="I13" i="22"/>
  <c r="E25" i="22"/>
  <c r="H10" i="14"/>
  <c r="S9" i="14"/>
  <c r="I9" i="14"/>
  <c r="E23" i="14"/>
  <c r="P86" i="14" s="1"/>
  <c r="T8" i="4"/>
  <c r="E34" i="4"/>
  <c r="J38" i="20"/>
  <c r="G108" i="10" s="1"/>
  <c r="J37" i="20"/>
  <c r="G107" i="10" s="1"/>
  <c r="J36" i="20"/>
  <c r="H83" i="4"/>
  <c r="H66" i="4"/>
  <c r="H65" i="4"/>
  <c r="S86" i="4"/>
  <c r="H45" i="4"/>
  <c r="S63" i="4"/>
  <c r="S84" i="4"/>
  <c r="H85" i="4"/>
  <c r="S43" i="4"/>
  <c r="S46" i="4"/>
  <c r="H43" i="4"/>
  <c r="H63" i="4"/>
  <c r="H44" i="4"/>
  <c r="S65" i="4"/>
  <c r="S45" i="4"/>
  <c r="H46" i="4"/>
  <c r="S83" i="4"/>
  <c r="H86" i="4"/>
  <c r="H84" i="4"/>
  <c r="S44" i="4"/>
  <c r="S85" i="4"/>
  <c r="H64" i="4"/>
  <c r="S64" i="4"/>
  <c r="S66" i="4"/>
  <c r="V9" i="4"/>
  <c r="F32" i="4"/>
  <c r="I11" i="14"/>
  <c r="T11" i="14"/>
  <c r="H12" i="14"/>
  <c r="S12" i="14" s="1"/>
  <c r="I36" i="20"/>
  <c r="I37" i="20"/>
  <c r="G101" i="10" s="1"/>
  <c r="I38" i="20"/>
  <c r="G102" i="10" s="1"/>
  <c r="E23" i="22"/>
  <c r="I9" i="22"/>
  <c r="F95" i="10" l="1"/>
  <c r="P43" i="14"/>
  <c r="P47" i="14" s="1"/>
  <c r="H67" i="4"/>
  <c r="F69" i="10"/>
  <c r="F58" i="12"/>
  <c r="G67" i="14"/>
  <c r="P83" i="14"/>
  <c r="T56" i="4"/>
  <c r="T73" i="4"/>
  <c r="I75" i="4"/>
  <c r="I96" i="4"/>
  <c r="I53" i="4"/>
  <c r="I74" i="4"/>
  <c r="I76" i="4"/>
  <c r="T76" i="4"/>
  <c r="T75" i="4"/>
  <c r="I94" i="4"/>
  <c r="I93" i="4"/>
  <c r="T74" i="4"/>
  <c r="T94" i="4"/>
  <c r="I54" i="4"/>
  <c r="T55" i="4"/>
  <c r="T54" i="4"/>
  <c r="I56" i="4"/>
  <c r="T53" i="4"/>
  <c r="I73" i="4"/>
  <c r="T96" i="4"/>
  <c r="T93" i="4"/>
  <c r="I55" i="4"/>
  <c r="I95" i="4"/>
  <c r="T95" i="4"/>
  <c r="H36" i="22"/>
  <c r="H38" i="22"/>
  <c r="F103" i="12" s="1"/>
  <c r="H37" i="22"/>
  <c r="F102" i="12" s="1"/>
  <c r="P45" i="10"/>
  <c r="R47" i="4"/>
  <c r="U47" i="4"/>
  <c r="Q51" i="10"/>
  <c r="F51" i="10"/>
  <c r="H47" i="4"/>
  <c r="G76" i="4"/>
  <c r="R95" i="4"/>
  <c r="R56" i="4"/>
  <c r="R96" i="4"/>
  <c r="G56" i="4"/>
  <c r="R54" i="4"/>
  <c r="R94" i="4"/>
  <c r="G94" i="4"/>
  <c r="R55" i="4"/>
  <c r="G95" i="4"/>
  <c r="R53" i="4"/>
  <c r="G74" i="4"/>
  <c r="G93" i="4"/>
  <c r="G53" i="4"/>
  <c r="R75" i="4"/>
  <c r="R73" i="4"/>
  <c r="R76" i="4"/>
  <c r="G55" i="4"/>
  <c r="R74" i="4"/>
  <c r="G54" i="4"/>
  <c r="G75" i="4"/>
  <c r="G96" i="4"/>
  <c r="G73" i="4"/>
  <c r="R93" i="4"/>
  <c r="R67" i="4"/>
  <c r="P63" i="10"/>
  <c r="G47" i="4"/>
  <c r="F45" i="10"/>
  <c r="I107" i="10"/>
  <c r="H107" i="10"/>
  <c r="J107" i="10"/>
  <c r="O58" i="12"/>
  <c r="P67" i="14"/>
  <c r="O40" i="12"/>
  <c r="H39" i="20"/>
  <c r="F106" i="10"/>
  <c r="P81" i="10"/>
  <c r="R87" i="4"/>
  <c r="G37" i="22"/>
  <c r="F96" i="12" s="1"/>
  <c r="G38" i="22"/>
  <c r="F97" i="12" s="1"/>
  <c r="G36" i="22"/>
  <c r="Q63" i="10"/>
  <c r="T67" i="4"/>
  <c r="Q87" i="10"/>
  <c r="U87" i="4"/>
  <c r="P87" i="10"/>
  <c r="S87" i="4"/>
  <c r="P51" i="10"/>
  <c r="S47" i="4"/>
  <c r="F87" i="10"/>
  <c r="H87" i="4"/>
  <c r="T9" i="14"/>
  <c r="E32" i="14"/>
  <c r="P96" i="14" s="1"/>
  <c r="J95" i="4"/>
  <c r="J55" i="4"/>
  <c r="J54" i="4"/>
  <c r="U95" i="4"/>
  <c r="U75" i="4"/>
  <c r="J94" i="4"/>
  <c r="U93" i="4"/>
  <c r="J74" i="4"/>
  <c r="J56" i="4"/>
  <c r="J76" i="4"/>
  <c r="J96" i="4"/>
  <c r="U73" i="4"/>
  <c r="J53" i="4"/>
  <c r="J75" i="4"/>
  <c r="U96" i="4"/>
  <c r="U74" i="4"/>
  <c r="U76" i="4"/>
  <c r="U55" i="4"/>
  <c r="J93" i="4"/>
  <c r="U56" i="4"/>
  <c r="U94" i="4"/>
  <c r="U53" i="4"/>
  <c r="U54" i="4"/>
  <c r="J73" i="4"/>
  <c r="J67" i="4"/>
  <c r="G69" i="10"/>
  <c r="G51" i="10"/>
  <c r="J47" i="4"/>
  <c r="Q69" i="10"/>
  <c r="U67" i="4"/>
  <c r="I101" i="10"/>
  <c r="H101" i="10"/>
  <c r="G95" i="10"/>
  <c r="J101" i="10"/>
  <c r="G96" i="10"/>
  <c r="J102" i="10"/>
  <c r="I102" i="10"/>
  <c r="H102" i="10"/>
  <c r="J39" i="20"/>
  <c r="G106" i="10"/>
  <c r="I10" i="14"/>
  <c r="S10" i="14"/>
  <c r="E26" i="14"/>
  <c r="H83" i="14" s="1"/>
  <c r="F82" i="12" s="1"/>
  <c r="F100" i="10"/>
  <c r="G39" i="20"/>
  <c r="G40" i="12"/>
  <c r="H40" i="12"/>
  <c r="G73" i="14"/>
  <c r="G95" i="14"/>
  <c r="G96" i="14"/>
  <c r="P74" i="14"/>
  <c r="P95" i="14"/>
  <c r="P75" i="14"/>
  <c r="G74" i="14"/>
  <c r="P94" i="14"/>
  <c r="G75" i="14"/>
  <c r="P73" i="14"/>
  <c r="G94" i="14"/>
  <c r="G76" i="14"/>
  <c r="G53" i="14"/>
  <c r="F41" i="12" s="1"/>
  <c r="P76" i="14"/>
  <c r="T47" i="4"/>
  <c r="Q45" i="10"/>
  <c r="I47" i="4"/>
  <c r="G45" i="10"/>
  <c r="H46" i="14"/>
  <c r="H84" i="14"/>
  <c r="H65" i="14"/>
  <c r="Q66" i="14"/>
  <c r="Q65" i="14"/>
  <c r="H45" i="14"/>
  <c r="Q46" i="14"/>
  <c r="Q85" i="14"/>
  <c r="H66" i="14"/>
  <c r="Q64" i="14"/>
  <c r="Q84" i="14"/>
  <c r="H85" i="14"/>
  <c r="Q45" i="14"/>
  <c r="Q43" i="14"/>
  <c r="O46" i="12" s="1"/>
  <c r="Q86" i="14"/>
  <c r="H44" i="14"/>
  <c r="H64" i="14"/>
  <c r="H63" i="14"/>
  <c r="Q63" i="14"/>
  <c r="Q44" i="14"/>
  <c r="H43" i="14"/>
  <c r="H108" i="10"/>
  <c r="J108" i="10"/>
  <c r="I108" i="10"/>
  <c r="O29" i="12"/>
  <c r="S30" i="13"/>
  <c r="F96" i="10"/>
  <c r="F63" i="10"/>
  <c r="G67" i="4"/>
  <c r="F81" i="10"/>
  <c r="F75" i="10" s="1"/>
  <c r="G87" i="4"/>
  <c r="G63" i="10"/>
  <c r="I67" i="4"/>
  <c r="J87" i="4"/>
  <c r="G87" i="10"/>
  <c r="T8" i="14"/>
  <c r="E34" i="14"/>
  <c r="G100" i="10"/>
  <c r="I39" i="20"/>
  <c r="P69" i="10"/>
  <c r="S67" i="4"/>
  <c r="T12" i="14"/>
  <c r="I12" i="14"/>
  <c r="H76" i="4"/>
  <c r="H54" i="4"/>
  <c r="S74" i="4"/>
  <c r="H53" i="4"/>
  <c r="S76" i="4"/>
  <c r="H93" i="4"/>
  <c r="S53" i="4"/>
  <c r="H73" i="4"/>
  <c r="H94" i="4"/>
  <c r="S54" i="4"/>
  <c r="S73" i="4"/>
  <c r="H96" i="4"/>
  <c r="S56" i="4"/>
  <c r="H55" i="4"/>
  <c r="H95" i="4"/>
  <c r="S94" i="4"/>
  <c r="S95" i="4"/>
  <c r="S75" i="4"/>
  <c r="S96" i="4"/>
  <c r="H75" i="4"/>
  <c r="S93" i="4"/>
  <c r="H56" i="4"/>
  <c r="H74" i="4"/>
  <c r="S55" i="4"/>
  <c r="G83" i="14"/>
  <c r="G47" i="14"/>
  <c r="H29" i="12"/>
  <c r="G29" i="12"/>
  <c r="I87" i="4"/>
  <c r="G81" i="10"/>
  <c r="Q81" i="10"/>
  <c r="T87" i="4"/>
  <c r="G55" i="14" l="1"/>
  <c r="P54" i="14"/>
  <c r="P55" i="14"/>
  <c r="G56" i="14"/>
  <c r="P93" i="14"/>
  <c r="O77" i="12" s="1"/>
  <c r="G54" i="14"/>
  <c r="G93" i="14"/>
  <c r="F77" i="12" s="1"/>
  <c r="P53" i="14"/>
  <c r="O41" i="12" s="1"/>
  <c r="O42" i="12" s="1"/>
  <c r="P56" i="14"/>
  <c r="F94" i="10"/>
  <c r="J45" i="10"/>
  <c r="I45" i="10"/>
  <c r="H45" i="10"/>
  <c r="G39" i="10"/>
  <c r="G82" i="12"/>
  <c r="H82" i="12"/>
  <c r="I96" i="10"/>
  <c r="H96" i="10"/>
  <c r="J96" i="10"/>
  <c r="J51" i="10"/>
  <c r="I51" i="10"/>
  <c r="H51" i="10"/>
  <c r="G88" i="10"/>
  <c r="G89" i="10" s="1"/>
  <c r="J97" i="4"/>
  <c r="H97" i="12"/>
  <c r="G97" i="12"/>
  <c r="F91" i="12"/>
  <c r="H102" i="12"/>
  <c r="G102" i="12"/>
  <c r="G64" i="10"/>
  <c r="G65" i="10" s="1"/>
  <c r="I77" i="4"/>
  <c r="I97" i="4"/>
  <c r="G82" i="10"/>
  <c r="G83" i="10" s="1"/>
  <c r="G87" i="14"/>
  <c r="F76" i="12"/>
  <c r="H53" i="14"/>
  <c r="F47" i="12" s="1"/>
  <c r="F35" i="12" s="1"/>
  <c r="H73" i="14"/>
  <c r="Q75" i="14"/>
  <c r="H94" i="14"/>
  <c r="H95" i="14"/>
  <c r="H56" i="14"/>
  <c r="H55" i="14"/>
  <c r="Q55" i="14"/>
  <c r="H74" i="14"/>
  <c r="H75" i="14"/>
  <c r="Q53" i="14"/>
  <c r="O47" i="12" s="1"/>
  <c r="O48" i="12" s="1"/>
  <c r="Q94" i="14"/>
  <c r="Q54" i="14"/>
  <c r="H76" i="14"/>
  <c r="Q56" i="14"/>
  <c r="Q76" i="14"/>
  <c r="Q95" i="14"/>
  <c r="Q96" i="14"/>
  <c r="Q74" i="14"/>
  <c r="Q73" i="14"/>
  <c r="F46" i="12"/>
  <c r="H47" i="14"/>
  <c r="T10" i="14"/>
  <c r="E35" i="14"/>
  <c r="Q93" i="14" s="1"/>
  <c r="H69" i="10"/>
  <c r="I69" i="10"/>
  <c r="J69" i="10"/>
  <c r="G96" i="12"/>
  <c r="H96" i="12"/>
  <c r="F90" i="12"/>
  <c r="Q58" i="12"/>
  <c r="P58" i="12"/>
  <c r="R97" i="4"/>
  <c r="P82" i="10"/>
  <c r="P83" i="10" s="1"/>
  <c r="R77" i="4"/>
  <c r="P64" i="10"/>
  <c r="P65" i="10" s="1"/>
  <c r="H103" i="12"/>
  <c r="G103" i="12"/>
  <c r="T57" i="4"/>
  <c r="Q46" i="10"/>
  <c r="T77" i="4"/>
  <c r="Q64" i="10"/>
  <c r="S45" i="10"/>
  <c r="Q39" i="10"/>
  <c r="T45" i="10"/>
  <c r="R45" i="10"/>
  <c r="O59" i="12"/>
  <c r="P77" i="14"/>
  <c r="F59" i="12"/>
  <c r="G77" i="14"/>
  <c r="I95" i="10"/>
  <c r="H95" i="10"/>
  <c r="J95" i="10"/>
  <c r="F64" i="10"/>
  <c r="F65" i="10" s="1"/>
  <c r="G77" i="4"/>
  <c r="H39" i="22"/>
  <c r="F101" i="12"/>
  <c r="J100" i="10"/>
  <c r="I100" i="10"/>
  <c r="G94" i="10"/>
  <c r="H100" i="10"/>
  <c r="F70" i="10"/>
  <c r="F71" i="10" s="1"/>
  <c r="H77" i="4"/>
  <c r="F57" i="10"/>
  <c r="Q75" i="10"/>
  <c r="S81" i="10"/>
  <c r="R81" i="10"/>
  <c r="T81" i="10"/>
  <c r="P52" i="10"/>
  <c r="P53" i="10" s="1"/>
  <c r="S57" i="4"/>
  <c r="I87" i="10"/>
  <c r="H87" i="10"/>
  <c r="J87" i="10"/>
  <c r="Q67" i="14"/>
  <c r="O64" i="12"/>
  <c r="O52" i="12" s="1"/>
  <c r="H86" i="14"/>
  <c r="H87" i="14" s="1"/>
  <c r="J106" i="10"/>
  <c r="I106" i="10"/>
  <c r="H106" i="10"/>
  <c r="J77" i="4"/>
  <c r="G70" i="10"/>
  <c r="P75" i="10"/>
  <c r="F46" i="10"/>
  <c r="F47" i="10" s="1"/>
  <c r="G57" i="4"/>
  <c r="P87" i="14"/>
  <c r="O76" i="12"/>
  <c r="F64" i="12"/>
  <c r="F52" i="12" s="1"/>
  <c r="H67" i="14"/>
  <c r="Q88" i="10"/>
  <c r="U97" i="4"/>
  <c r="R87" i="10"/>
  <c r="T87" i="10"/>
  <c r="S87" i="10"/>
  <c r="F82" i="10"/>
  <c r="G97" i="4"/>
  <c r="S51" i="10"/>
  <c r="R51" i="10"/>
  <c r="T51" i="10"/>
  <c r="P88" i="10"/>
  <c r="P89" i="10" s="1"/>
  <c r="S97" i="4"/>
  <c r="P29" i="12"/>
  <c r="Q29" i="12"/>
  <c r="Q83" i="14"/>
  <c r="U57" i="4"/>
  <c r="Q52" i="10"/>
  <c r="Q53" i="10" s="1"/>
  <c r="F39" i="10"/>
  <c r="H58" i="12"/>
  <c r="G58" i="12"/>
  <c r="Q46" i="12"/>
  <c r="P46" i="12"/>
  <c r="G57" i="10"/>
  <c r="I63" i="10"/>
  <c r="H63" i="10"/>
  <c r="J63" i="10"/>
  <c r="F42" i="12"/>
  <c r="G41" i="12"/>
  <c r="H41" i="12"/>
  <c r="S69" i="10"/>
  <c r="R69" i="10"/>
  <c r="T69" i="10"/>
  <c r="G52" i="10"/>
  <c r="J57" i="4"/>
  <c r="R63" i="10"/>
  <c r="T63" i="10"/>
  <c r="S63" i="10"/>
  <c r="Q57" i="10"/>
  <c r="R57" i="4"/>
  <c r="P46" i="10"/>
  <c r="T97" i="4"/>
  <c r="Q82" i="10"/>
  <c r="I57" i="4"/>
  <c r="G46" i="10"/>
  <c r="H81" i="10"/>
  <c r="I81" i="10"/>
  <c r="G75" i="10"/>
  <c r="J81" i="10"/>
  <c r="F88" i="10"/>
  <c r="F89" i="10" s="1"/>
  <c r="H97" i="4"/>
  <c r="H57" i="4"/>
  <c r="F52" i="10"/>
  <c r="F53" i="10" s="1"/>
  <c r="S77" i="4"/>
  <c r="P70" i="10"/>
  <c r="P71" i="10" s="1"/>
  <c r="Q47" i="14"/>
  <c r="P97" i="14"/>
  <c r="U77" i="4"/>
  <c r="Q70" i="10"/>
  <c r="G39" i="22"/>
  <c r="F95" i="12"/>
  <c r="P40" i="12"/>
  <c r="Q40" i="12"/>
  <c r="O34" i="12"/>
  <c r="P57" i="10"/>
  <c r="P39" i="10"/>
  <c r="G57" i="14" l="1"/>
  <c r="P57" i="14"/>
  <c r="G97" i="14"/>
  <c r="H54" i="14"/>
  <c r="H57" i="14" s="1"/>
  <c r="Q57" i="14"/>
  <c r="P40" i="10"/>
  <c r="P47" i="10"/>
  <c r="P41" i="10" s="1"/>
  <c r="P52" i="12"/>
  <c r="Q52" i="12"/>
  <c r="H52" i="10"/>
  <c r="J52" i="10"/>
  <c r="I52" i="10"/>
  <c r="T57" i="10"/>
  <c r="S57" i="10"/>
  <c r="R57" i="10"/>
  <c r="Q89" i="10"/>
  <c r="T88" i="10"/>
  <c r="R88" i="10"/>
  <c r="S88" i="10"/>
  <c r="J94" i="10"/>
  <c r="H94" i="10"/>
  <c r="I94" i="10"/>
  <c r="O83" i="12"/>
  <c r="O71" i="12" s="1"/>
  <c r="Q97" i="14"/>
  <c r="G58" i="10"/>
  <c r="J64" i="10"/>
  <c r="H64" i="10"/>
  <c r="I64" i="10"/>
  <c r="G53" i="10"/>
  <c r="G77" i="10"/>
  <c r="I83" i="10"/>
  <c r="H83" i="10"/>
  <c r="G77" i="12"/>
  <c r="H77" i="12"/>
  <c r="P59" i="10"/>
  <c r="R70" i="10"/>
  <c r="T70" i="10"/>
  <c r="S70" i="10"/>
  <c r="F41" i="10"/>
  <c r="J70" i="10"/>
  <c r="H70" i="10"/>
  <c r="I70" i="10"/>
  <c r="J89" i="10"/>
  <c r="H89" i="10"/>
  <c r="I89" i="10"/>
  <c r="T39" i="10"/>
  <c r="S39" i="10"/>
  <c r="R39" i="10"/>
  <c r="P58" i="10"/>
  <c r="H90" i="12"/>
  <c r="G90" i="12"/>
  <c r="H77" i="14"/>
  <c r="F65" i="12"/>
  <c r="F53" i="12" s="1"/>
  <c r="H42" i="12"/>
  <c r="G42" i="12"/>
  <c r="J46" i="10"/>
  <c r="I46" i="10"/>
  <c r="G40" i="10"/>
  <c r="H46" i="10"/>
  <c r="I57" i="10"/>
  <c r="H57" i="10"/>
  <c r="J57" i="10"/>
  <c r="H64" i="12"/>
  <c r="G64" i="12"/>
  <c r="T75" i="10"/>
  <c r="S75" i="10"/>
  <c r="R75" i="10"/>
  <c r="G47" i="12"/>
  <c r="H47" i="12"/>
  <c r="Q42" i="12"/>
  <c r="P42" i="12"/>
  <c r="O36" i="12"/>
  <c r="G35" i="12"/>
  <c r="H35" i="12"/>
  <c r="P48" i="12"/>
  <c r="Q48" i="12"/>
  <c r="R52" i="10"/>
  <c r="S52" i="10"/>
  <c r="T52" i="10"/>
  <c r="F83" i="10"/>
  <c r="F77" i="10" s="1"/>
  <c r="F76" i="10"/>
  <c r="O78" i="12"/>
  <c r="Q76" i="12"/>
  <c r="P76" i="12"/>
  <c r="G101" i="12"/>
  <c r="H101" i="12"/>
  <c r="Q65" i="10"/>
  <c r="R64" i="10"/>
  <c r="S64" i="10"/>
  <c r="Q58" i="10"/>
  <c r="T64" i="10"/>
  <c r="P76" i="10"/>
  <c r="H46" i="12"/>
  <c r="F48" i="12"/>
  <c r="G46" i="12"/>
  <c r="F34" i="12"/>
  <c r="F70" i="12"/>
  <c r="F78" i="12"/>
  <c r="G76" i="12"/>
  <c r="H76" i="12"/>
  <c r="G91" i="12"/>
  <c r="H91" i="12"/>
  <c r="G47" i="10"/>
  <c r="P34" i="12"/>
  <c r="Q34" i="12"/>
  <c r="Q83" i="10"/>
  <c r="T82" i="10"/>
  <c r="Q76" i="10"/>
  <c r="S82" i="10"/>
  <c r="R82" i="10"/>
  <c r="F60" i="12"/>
  <c r="G59" i="12"/>
  <c r="H59" i="12"/>
  <c r="G71" i="10"/>
  <c r="H93" i="14"/>
  <c r="F83" i="12" s="1"/>
  <c r="F71" i="12" s="1"/>
  <c r="I39" i="10"/>
  <c r="J39" i="10"/>
  <c r="H39" i="10"/>
  <c r="Q47" i="10"/>
  <c r="T46" i="10"/>
  <c r="S46" i="10"/>
  <c r="R46" i="10"/>
  <c r="Q40" i="10"/>
  <c r="O65" i="12"/>
  <c r="O66" i="12" s="1"/>
  <c r="Q77" i="14"/>
  <c r="I82" i="10"/>
  <c r="G76" i="10"/>
  <c r="J82" i="10"/>
  <c r="H82" i="10"/>
  <c r="Q71" i="10"/>
  <c r="I65" i="10"/>
  <c r="J65" i="10"/>
  <c r="H65" i="10"/>
  <c r="H52" i="12"/>
  <c r="G52" i="12"/>
  <c r="P41" i="12"/>
  <c r="Q41" i="12"/>
  <c r="O35" i="12"/>
  <c r="S53" i="10"/>
  <c r="R53" i="10"/>
  <c r="T53" i="10"/>
  <c r="F40" i="10"/>
  <c r="F58" i="10"/>
  <c r="F59" i="10" s="1"/>
  <c r="P59" i="12"/>
  <c r="Q59" i="12"/>
  <c r="O60" i="12"/>
  <c r="P77" i="12"/>
  <c r="Q77" i="12"/>
  <c r="F89" i="12"/>
  <c r="G95" i="12"/>
  <c r="H95" i="12"/>
  <c r="I75" i="10"/>
  <c r="J75" i="10"/>
  <c r="H75" i="10"/>
  <c r="Q87" i="14"/>
  <c r="O82" i="12"/>
  <c r="P77" i="10"/>
  <c r="P64" i="12"/>
  <c r="Q64" i="12"/>
  <c r="H96" i="14"/>
  <c r="Q47" i="12"/>
  <c r="P47" i="12"/>
  <c r="I88" i="10"/>
  <c r="J88" i="10"/>
  <c r="H88" i="10"/>
  <c r="H97" i="14" l="1"/>
  <c r="H71" i="12"/>
  <c r="G71" i="12"/>
  <c r="G78" i="12"/>
  <c r="H78" i="12"/>
  <c r="S58" i="10"/>
  <c r="R58" i="10"/>
  <c r="T58" i="10"/>
  <c r="J77" i="10"/>
  <c r="I77" i="10"/>
  <c r="H77" i="10"/>
  <c r="H70" i="12"/>
  <c r="G70" i="12"/>
  <c r="P78" i="12"/>
  <c r="Q78" i="12"/>
  <c r="H40" i="10"/>
  <c r="I40" i="10"/>
  <c r="J40" i="10"/>
  <c r="H53" i="10"/>
  <c r="J53" i="10"/>
  <c r="I53" i="10"/>
  <c r="S47" i="10"/>
  <c r="T47" i="10"/>
  <c r="R47" i="10"/>
  <c r="H34" i="12"/>
  <c r="G34" i="12"/>
  <c r="O84" i="12"/>
  <c r="O72" i="12" s="1"/>
  <c r="Q82" i="12"/>
  <c r="P82" i="12"/>
  <c r="P71" i="12"/>
  <c r="Q71" i="12"/>
  <c r="S65" i="10"/>
  <c r="T65" i="10"/>
  <c r="R65" i="10"/>
  <c r="Q59" i="10"/>
  <c r="Q36" i="12"/>
  <c r="P36" i="12"/>
  <c r="H53" i="12"/>
  <c r="G53" i="12"/>
  <c r="H89" i="12"/>
  <c r="G89" i="12"/>
  <c r="G48" i="12"/>
  <c r="H48" i="12"/>
  <c r="F36" i="12"/>
  <c r="J76" i="10"/>
  <c r="H76" i="10"/>
  <c r="I76" i="10"/>
  <c r="G60" i="12"/>
  <c r="H60" i="12"/>
  <c r="J47" i="10"/>
  <c r="I47" i="10"/>
  <c r="G41" i="10"/>
  <c r="H47" i="10"/>
  <c r="P66" i="12"/>
  <c r="Q66" i="12"/>
  <c r="O54" i="12"/>
  <c r="P60" i="12"/>
  <c r="Q60" i="12"/>
  <c r="Q41" i="10"/>
  <c r="O53" i="12"/>
  <c r="Q65" i="12"/>
  <c r="P65" i="12"/>
  <c r="J83" i="10"/>
  <c r="G59" i="10"/>
  <c r="J58" i="10"/>
  <c r="H58" i="10"/>
  <c r="I58" i="10"/>
  <c r="R71" i="10"/>
  <c r="T71" i="10"/>
  <c r="S71" i="10"/>
  <c r="H83" i="12"/>
  <c r="G83" i="12"/>
  <c r="F84" i="12"/>
  <c r="S76" i="10"/>
  <c r="T76" i="10"/>
  <c r="R76" i="10"/>
  <c r="O70" i="12"/>
  <c r="Q77" i="10"/>
  <c r="R83" i="10"/>
  <c r="T83" i="10"/>
  <c r="S83" i="10"/>
  <c r="Q35" i="12"/>
  <c r="P35" i="12"/>
  <c r="S40" i="10"/>
  <c r="T40" i="10"/>
  <c r="R40" i="10"/>
  <c r="H71" i="10"/>
  <c r="I71" i="10"/>
  <c r="J71" i="10"/>
  <c r="F66" i="12"/>
  <c r="F54" i="12" s="1"/>
  <c r="H65" i="12"/>
  <c r="G65" i="12"/>
  <c r="P83" i="12"/>
  <c r="Q83" i="12"/>
  <c r="R89" i="10"/>
  <c r="S89" i="10"/>
  <c r="T89" i="10"/>
  <c r="H54" i="12" l="1"/>
  <c r="G54" i="12"/>
  <c r="Q70" i="12"/>
  <c r="P70" i="12"/>
  <c r="P72" i="12"/>
  <c r="Q72" i="12"/>
  <c r="T41" i="10"/>
  <c r="S41" i="10"/>
  <c r="R41" i="10"/>
  <c r="R77" i="10"/>
  <c r="S77" i="10"/>
  <c r="T77" i="10"/>
  <c r="P53" i="12"/>
  <c r="Q53" i="12"/>
  <c r="H36" i="12"/>
  <c r="G36" i="12"/>
  <c r="F72" i="12"/>
  <c r="H84" i="12"/>
  <c r="G84" i="12"/>
  <c r="S59" i="10"/>
  <c r="R59" i="10"/>
  <c r="T59" i="10"/>
  <c r="Q84" i="12"/>
  <c r="P84" i="12"/>
  <c r="H41" i="10"/>
  <c r="I41" i="10"/>
  <c r="J41" i="10"/>
  <c r="H59" i="10"/>
  <c r="J59" i="10"/>
  <c r="I59" i="10"/>
  <c r="Q54" i="12"/>
  <c r="P54" i="12"/>
  <c r="H66" i="12"/>
  <c r="G66" i="12"/>
  <c r="H72" i="12" l="1"/>
  <c r="G72" i="12"/>
</calcChain>
</file>

<file path=xl/sharedStrings.xml><?xml version="1.0" encoding="utf-8"?>
<sst xmlns="http://schemas.openxmlformats.org/spreadsheetml/2006/main" count="2661" uniqueCount="578">
  <si>
    <t>Filing Description</t>
  </si>
  <si>
    <t>Revenue Recovery Mechanism</t>
  </si>
  <si>
    <t>Safety Affordability Reliability Proceedings</t>
  </si>
  <si>
    <t>Generation</t>
  </si>
  <si>
    <t>Authority for Revenue Requirement</t>
  </si>
  <si>
    <t>Distribution</t>
  </si>
  <si>
    <t xml:space="preserve">   Subtotal Safety Affordability Reliability</t>
  </si>
  <si>
    <t>Public Policy Proceedings</t>
  </si>
  <si>
    <t xml:space="preserve">   Subtotal Public Policy </t>
  </si>
  <si>
    <t>Non-CPUC Jurisdictional Proceedings</t>
  </si>
  <si>
    <t>Transmission</t>
  </si>
  <si>
    <t xml:space="preserve">   Subtotal Non-CPUC Jurisidictional</t>
  </si>
  <si>
    <t>Total Authorized Revenue</t>
  </si>
  <si>
    <t>Notes:</t>
  </si>
  <si>
    <t>CTC</t>
  </si>
  <si>
    <t xml:space="preserve">Balancing Account </t>
  </si>
  <si>
    <t xml:space="preserve">Authorized Revenue Requirement       ($000) </t>
  </si>
  <si>
    <t>Revenue Requirement Date:</t>
  </si>
  <si>
    <t>Advice Letter:</t>
  </si>
  <si>
    <t>SDG&amp;E General Rate Case (GRC) Attrition Year</t>
  </si>
  <si>
    <t>Energy Efficiency Savings Performance Incentive (ESPI) Award</t>
  </si>
  <si>
    <t>Vehicle Grid Integration (VGI)</t>
  </si>
  <si>
    <t>Distributed Generation Renewable (DGR) Time Metered Under/(Over) Collection</t>
  </si>
  <si>
    <t>FF&amp;U Associated with Public Purpose Programs (PPP)</t>
  </si>
  <si>
    <t>N</t>
  </si>
  <si>
    <t>Electric Distribution Fixed Cost Account (EDFCA)</t>
  </si>
  <si>
    <t>Y</t>
  </si>
  <si>
    <t>Tree Trimming Balancing Account (TTBA)</t>
  </si>
  <si>
    <t xml:space="preserve">Advanced Metering and Demand Response (AMDRMA) </t>
  </si>
  <si>
    <t>Rewards and Penalties Balancing Account (RPBA) before Transfer</t>
  </si>
  <si>
    <t>Pension Balancing Account (PBA)</t>
  </si>
  <si>
    <t>Streamlining Residual Account (SRA)</t>
  </si>
  <si>
    <t>Baseline Balancing Account (BBA)</t>
  </si>
  <si>
    <t>Common Area Balancing Account (CABA)</t>
  </si>
  <si>
    <t>Hazardous Substance Cleanup Cost Account (HSCCA)</t>
  </si>
  <si>
    <t>Master Metering Balancing Account (MMBA)</t>
  </si>
  <si>
    <t>Direct Participation Demand Response Memorandum Account (DPDRMA)</t>
  </si>
  <si>
    <t>Clean Transportation Priority Balancing Account (CTPBA)</t>
  </si>
  <si>
    <t>Distribution Performance Based Ratemaking (PBR) Incentives Reward/ Penalty</t>
  </si>
  <si>
    <t>Post Retirement Benefits other than Pensions Balancing Account (PBOPBA)</t>
  </si>
  <si>
    <t>Energy Resource Recovery Account (ERRA) Revenue Requirement</t>
  </si>
  <si>
    <t>Energy Resource Recovery Account (ERRA) Trigger</t>
  </si>
  <si>
    <t>Department of Water Resources (DWR)  Power Charge Credit</t>
  </si>
  <si>
    <t>Critical Peak Pricing Default (CPP-D) Under/ (Over) Collection - Small Commercial</t>
  </si>
  <si>
    <t>Critical Peak Pricing Default (CPP-D) Under/ (Over) Collection - Medium/Large Commercial</t>
  </si>
  <si>
    <t>Critical Peak Pricing Default (CPP-D) Under/ (Over) Collection - Agriculture</t>
  </si>
  <si>
    <t>Distributed Generation Renewable (DGR) Time Metered Under/(Over) Collection - Commodity</t>
  </si>
  <si>
    <t>Smart Pricing Program (SPP) Under/Over Collection - Residential</t>
  </si>
  <si>
    <t>Smart Pricing Program (SPP) Under/Over Collection - Small Commercial</t>
  </si>
  <si>
    <t>Smart Pricing Program (SPP) Under/Over Collection - Agriculture</t>
  </si>
  <si>
    <t>San Onofre Nuclear Generating Station (SONGS)</t>
  </si>
  <si>
    <t>Solar Energy Project (SEP)</t>
  </si>
  <si>
    <t>Amortization - NGBA Balance</t>
  </si>
  <si>
    <t>Energy Resource Recovery Account (ERRA) Balancing Account</t>
  </si>
  <si>
    <t>GHG Small Business Volumetric Return</t>
  </si>
  <si>
    <t>GHG California Climate Credit (CCC)</t>
  </si>
  <si>
    <t>CTC Revenue Requirement</t>
  </si>
  <si>
    <t>Amortization - Transition Cost Balancing Account (TCBA)</t>
  </si>
  <si>
    <t>LG Revenue Requirement</t>
  </si>
  <si>
    <t>LGC</t>
  </si>
  <si>
    <t>Amortization - Local Generating Balancing Account (LGBA)</t>
  </si>
  <si>
    <t>Low Income Energy Efficiency (LIEE)/Energy Savings Assistance Programs (ESAP)</t>
  </si>
  <si>
    <t>Electric Program Investment Charge (EPIC)</t>
  </si>
  <si>
    <t>Family Electric Rate Assistance (FERA)</t>
  </si>
  <si>
    <t>Self-Generation Incentive Program (SGIP)</t>
  </si>
  <si>
    <t>California Solar Initiative (CSI)</t>
  </si>
  <si>
    <t>Food Bank</t>
  </si>
  <si>
    <t>California Alternative Rates for Energy Balancing Account (CAREBA)</t>
  </si>
  <si>
    <t>Low Income Energy Efficiency Balancing Account (LIEEBA)</t>
  </si>
  <si>
    <t>Post-1997 Electric Energy Efficiency Balancing Account (PEEEBA)</t>
  </si>
  <si>
    <t>Electric Program Investment Charge Balancing Account (EPICBA)</t>
  </si>
  <si>
    <t>Electric Procurement Energy Efficiency Bal. Acct. (EPEEBA)</t>
  </si>
  <si>
    <t>Family Electric Rate Assistance Balancing Account (FERABA)</t>
  </si>
  <si>
    <t>Energy Savings Assistance Programs Memo Account (ESAPMA)</t>
  </si>
  <si>
    <t>Self-Generation Program Memorandum Account (SGPMA)</t>
  </si>
  <si>
    <t>California Solar Initiative Balancing Account (CSIBA)</t>
  </si>
  <si>
    <t>Food Bank Balance Account (FBBA)</t>
  </si>
  <si>
    <t>Total Rate Adjustment Component (TRAC)</t>
  </si>
  <si>
    <t>TRAC</t>
  </si>
  <si>
    <t>ND Revenue Requirement</t>
  </si>
  <si>
    <t>ND</t>
  </si>
  <si>
    <t>Amortization - Nuclear Decommissioning Adjustment Mechanism</t>
  </si>
  <si>
    <t>Department of Water Resources Bond Charge (DWR-BC)</t>
  </si>
  <si>
    <t>Base Transmission Revenue Requirement (BTRR)</t>
  </si>
  <si>
    <t>Transmission Access Charge Balancing Account Adjustment (TACBAA)</t>
  </si>
  <si>
    <t>Transmission Revenue Balancing Account Adjustment (TRBAA)</t>
  </si>
  <si>
    <t>Reliability Services</t>
  </si>
  <si>
    <t>RS</t>
  </si>
  <si>
    <t>Current Revenue Requirement ($000):</t>
  </si>
  <si>
    <t>Current Revenue Requirement Effective:</t>
  </si>
  <si>
    <t>Approved Application(s), Implemented Since Jan 1 or To Be Implemented</t>
  </si>
  <si>
    <t>Proceeding</t>
  </si>
  <si>
    <t>Existing or New Item (if existing, use delta from prior for rate impact)</t>
  </si>
  <si>
    <t>General Rate Case</t>
  </si>
  <si>
    <t>Existing</t>
  </si>
  <si>
    <t>Nuclear Decommissioning (ND)</t>
  </si>
  <si>
    <t>SONGS</t>
  </si>
  <si>
    <t>DWR BC</t>
  </si>
  <si>
    <t>GHG Revenue</t>
  </si>
  <si>
    <t>Public Purpose Program</t>
  </si>
  <si>
    <t>Energy Efficiency</t>
  </si>
  <si>
    <t>SB 350 Priority Projects</t>
  </si>
  <si>
    <t>EPIC (Electric Program Investment Charge)</t>
  </si>
  <si>
    <t>Under/Over Collections</t>
  </si>
  <si>
    <t>Distributed Generation Renewable (DGR) Time Metered Under/(Over) Collection - Distribution</t>
  </si>
  <si>
    <t>Total Approved, Implemented Since Jan 1 or To Be Implemented</t>
  </si>
  <si>
    <t>Proposed Revenue Requirement ($000)</t>
  </si>
  <si>
    <t>Proposed Revenue Recovery Mechanism</t>
  </si>
  <si>
    <t>PYD 2.0</t>
  </si>
  <si>
    <t>AB 1054</t>
  </si>
  <si>
    <t>MDHD</t>
  </si>
  <si>
    <t>AB 1082/1083</t>
  </si>
  <si>
    <t>Total</t>
  </si>
  <si>
    <t>V2G Pilot</t>
  </si>
  <si>
    <t>Total Pending, Filed but not Approved</t>
  </si>
  <si>
    <t>Applications Projected to be Filed, Next 12 Months</t>
  </si>
  <si>
    <t>Estimated Filing Date</t>
  </si>
  <si>
    <t>Filing Basis</t>
  </si>
  <si>
    <t>FF&amp;U associated with PPP</t>
  </si>
  <si>
    <t>Authorized Revenue Requirement with FF&amp;U ($000)</t>
  </si>
  <si>
    <t>Proposed Revenue Requirement with FF&amp;U ($000)</t>
  </si>
  <si>
    <t>Inputs:</t>
  </si>
  <si>
    <t>Assumptions:</t>
  </si>
  <si>
    <t>Current Effective Rates</t>
  </si>
  <si>
    <t>Baseline Region - (Residential bill)</t>
  </si>
  <si>
    <t>Coastal</t>
  </si>
  <si>
    <t>Sales Forecast</t>
  </si>
  <si>
    <t>kWh per month</t>
  </si>
  <si>
    <t>Pending Proceedings</t>
  </si>
  <si>
    <t>Applicable Year(s)</t>
  </si>
  <si>
    <t>Summer season</t>
  </si>
  <si>
    <t>months</t>
  </si>
  <si>
    <t>Winter Season</t>
  </si>
  <si>
    <t>Outputs:</t>
  </si>
  <si>
    <t>(A)</t>
  </si>
  <si>
    <t>(B)</t>
  </si>
  <si>
    <t>(C)</t>
  </si>
  <si>
    <t>(D)</t>
  </si>
  <si>
    <t>(D)/(A)</t>
  </si>
  <si>
    <t>(D)/(B)</t>
  </si>
  <si>
    <t>(D)/(C)</t>
  </si>
  <si>
    <t>Bundled Average Rates - ¢/kWh</t>
  </si>
  <si>
    <t>Total System (Bundled and Unbundled) Average Rates - ¢/kWh</t>
  </si>
  <si>
    <t>Customer Group</t>
  </si>
  <si>
    <t>% Change over Authorized</t>
  </si>
  <si>
    <t>Residential</t>
  </si>
  <si>
    <t>Total Residential (RAR)</t>
  </si>
  <si>
    <t>System</t>
  </si>
  <si>
    <t>Total System (SAR)</t>
  </si>
  <si>
    <t>Non-CARE</t>
  </si>
  <si>
    <t>CARE</t>
  </si>
  <si>
    <t>AL 3500-E</t>
  </si>
  <si>
    <t>Basis of Revenue Requirement Forecast:  Application, Amended Application , Amended Testimony,  Proposed Settlement Agreement, Proposed Decision</t>
  </si>
  <si>
    <t>Include in Impact</t>
  </si>
  <si>
    <t>Authorized</t>
  </si>
  <si>
    <t>Authorized + Pending</t>
  </si>
  <si>
    <t>Incremental Revenues</t>
  </si>
  <si>
    <t>Revenue Change ($000)</t>
  </si>
  <si>
    <t>w/ Pending</t>
  </si>
  <si>
    <t>Allocation</t>
  </si>
  <si>
    <t>Revenue Change ($000) - System</t>
  </si>
  <si>
    <t>Total System</t>
  </si>
  <si>
    <t>w/Pending</t>
  </si>
  <si>
    <t>% of CARE Sales (Bundled)</t>
  </si>
  <si>
    <t>Revenue Split - Bundled</t>
  </si>
  <si>
    <t>Bundled Revenue Change</t>
  </si>
  <si>
    <t>CARE Effective Discount</t>
  </si>
  <si>
    <t>CARE Adj</t>
  </si>
  <si>
    <t>Bundled</t>
  </si>
  <si>
    <t>System (Bundled and Unbundled)</t>
  </si>
  <si>
    <t>Proposed Avg Rates (Authorized)</t>
  </si>
  <si>
    <t>Proposed Avg Rates (w/Pending)</t>
  </si>
  <si>
    <t>% Change (Authorized)</t>
  </si>
  <si>
    <t>% Change (w/Pending)</t>
  </si>
  <si>
    <t>Proposed</t>
  </si>
  <si>
    <t>Rates</t>
  </si>
  <si>
    <t>Revenue</t>
  </si>
  <si>
    <t>Authorized Rates</t>
  </si>
  <si>
    <t>Authorized Revenue</t>
  </si>
  <si>
    <t>w/Pending Rates</t>
  </si>
  <si>
    <t>w/Pending Revenue</t>
  </si>
  <si>
    <t>Baseline - Summer</t>
  </si>
  <si>
    <t xml:space="preserve">Bundled Residential Rev Req </t>
  </si>
  <si>
    <t>- Winter</t>
  </si>
  <si>
    <t>Current</t>
  </si>
  <si>
    <t>101% - 400% of Baseline - Summer</t>
  </si>
  <si>
    <t>Change (Authorized)</t>
  </si>
  <si>
    <t>Proposed (Authorized)</t>
  </si>
  <si>
    <t>401% of Baseline - Summer</t>
  </si>
  <si>
    <t>Change (w/Pending)</t>
  </si>
  <si>
    <t>Proposed (w/Pending)</t>
  </si>
  <si>
    <t>Climate Zone</t>
  </si>
  <si>
    <t>Summer</t>
  </si>
  <si>
    <t>Winter</t>
  </si>
  <si>
    <t>Tier 1</t>
  </si>
  <si>
    <t>Tier 2</t>
  </si>
  <si>
    <t>Population Weight</t>
  </si>
  <si>
    <t>Mountain</t>
  </si>
  <si>
    <t>Desert</t>
  </si>
  <si>
    <t>Inland</t>
  </si>
  <si>
    <t>AL 3514-E</t>
  </si>
  <si>
    <t>Tree Mortality Non-Bypassable Charge (TMNBC)</t>
  </si>
  <si>
    <t>Tree Mortality Non-Bypassable Charge Balancing Account (TMNBCBA)</t>
  </si>
  <si>
    <t>Power Adjustment Balancing Account (PABA) Balancing Account</t>
  </si>
  <si>
    <t>Tax Cut Job Act (TCJA)</t>
  </si>
  <si>
    <t>Officer Compensation Memorandum Account 2019 (OCMA2019)</t>
  </si>
  <si>
    <t>General Rate Case Memorandum Account (GRCMA)</t>
  </si>
  <si>
    <t>Pending Application(s) Not Yet Approved</t>
  </si>
  <si>
    <t>Schedule DR</t>
  </si>
  <si>
    <t>Schedule DR [CARE]</t>
  </si>
  <si>
    <t>131% - 400% of Baseline - Summer</t>
  </si>
  <si>
    <t>SCHEDULE DR RATES ($/kWh)</t>
  </si>
  <si>
    <t>SCHEDULE DR [CARE] ($/kWh)</t>
  </si>
  <si>
    <t>CARE Res Allocation Factor</t>
  </si>
  <si>
    <t>AL 3535-E</t>
  </si>
  <si>
    <t>(C)/(A)</t>
  </si>
  <si>
    <t>(C)/(B)</t>
  </si>
  <si>
    <t>w/Proposed</t>
  </si>
  <si>
    <t>Proposed Avg Rates</t>
  </si>
  <si>
    <t>% Change</t>
  </si>
  <si>
    <t>AL 3619-E</t>
  </si>
  <si>
    <t>Wildfire Fund NBC</t>
  </si>
  <si>
    <t>Desert - Hot</t>
  </si>
  <si>
    <t>Coastal - Mild</t>
  </si>
  <si>
    <t>Inland - Warm</t>
  </si>
  <si>
    <t>Mountain - Extreme</t>
  </si>
  <si>
    <t>Application</t>
  </si>
  <si>
    <t>System Usage</t>
  </si>
  <si>
    <t>Total kWh</t>
  </si>
  <si>
    <t>% of CARE Sales</t>
  </si>
  <si>
    <t>Res CARE Authorized kWh Usage*</t>
  </si>
  <si>
    <t>AL 3669-E-A</t>
  </si>
  <si>
    <t>21st Century Energy Systems Balancing Account (CES-21BA)</t>
  </si>
  <si>
    <t>Liability Insurance Premium Balancing Account (LIPBA)</t>
  </si>
  <si>
    <t>Rate Reform Memo Account - Commodity</t>
  </si>
  <si>
    <t>Rate Reform Memo Account - Distribution</t>
  </si>
  <si>
    <t>Port Energy Management Plan (PEMP)</t>
  </si>
  <si>
    <t>San Diego Unified Port District (SDUPD)</t>
  </si>
  <si>
    <t>Net Energy Metering Measurement and Evaluation (NEMME)</t>
  </si>
  <si>
    <t>Port Energy Management Plan Balancing Account (PEMPBA)</t>
  </si>
  <si>
    <t>San Diego Unified Port District Balancing Account (SDUPDBA)</t>
  </si>
  <si>
    <t>Net Energy Metering Measurement and Evaluation Balancing Account (NEMMEBA)</t>
  </si>
  <si>
    <t>New Environmental Regulatory Balancing Account (NERBA)</t>
  </si>
  <si>
    <t>Gains/Loss On Sale Memorandum Account</t>
  </si>
  <si>
    <t>Reliability Services (RSBA)</t>
  </si>
  <si>
    <t>CPUC Fee</t>
  </si>
  <si>
    <t>Total With CPUC Fee</t>
  </si>
  <si>
    <t>SCHEDULE DR-LI [CARE] ($/kWh)</t>
  </si>
  <si>
    <t>AL 3696-E-A-B</t>
  </si>
  <si>
    <t>Revenue Split - Bundled Customer</t>
  </si>
  <si>
    <t>Power Adjustment Balancing Account (PABA) Balancing Account - Departed Load</t>
  </si>
  <si>
    <t>PCIA</t>
  </si>
  <si>
    <t>ERRA Balancing Accounts (PABA) - Departed Load</t>
  </si>
  <si>
    <t>w/Pending Total UDC</t>
  </si>
  <si>
    <t>Authorized Commodity</t>
  </si>
  <si>
    <t>w/Pending Commodity</t>
  </si>
  <si>
    <t>Total Revenue Requirement</t>
  </si>
  <si>
    <t xml:space="preserve">Authorized </t>
  </si>
  <si>
    <t>Total UDC w/Proposed</t>
  </si>
  <si>
    <t>Commodity w/Proposed</t>
  </si>
  <si>
    <t>Note: Bill inserts include CPUC fee in the calculations</t>
  </si>
  <si>
    <t>System Sales Forecast</t>
  </si>
  <si>
    <t>Change (Proposed)</t>
  </si>
  <si>
    <t>Proposed (w/ Current Revenues)</t>
  </si>
  <si>
    <t>AL 3756-E</t>
  </si>
  <si>
    <t>CARE Surcharge and Administration</t>
  </si>
  <si>
    <t>Monthly Essential Baseline Allowance -ALL-ELECTRIC (kWh)</t>
  </si>
  <si>
    <t>Monthly Essential Baseline Allowance -BASIC (kWh)</t>
  </si>
  <si>
    <t>Essential Usage Basic Bundled Non-CARE Customer</t>
  </si>
  <si>
    <t>Essential Usage Basic Bundled CARE Customer</t>
  </si>
  <si>
    <t>Monthly Tier 1 Baseline Allowance -ALL-ELECTRIC (kWh)</t>
  </si>
  <si>
    <t>Monthly Tier 1 Baseline Allowance -BASIC (kWh)</t>
  </si>
  <si>
    <t>Monthly Tier 1 Baseline Allowance - ALL-ELECTRIC (kWh)</t>
  </si>
  <si>
    <t>Essential Usage All-Electric Bundled Non-CARE Customer</t>
  </si>
  <si>
    <t>Essential Usage All-Electric Bundled CARE Customer</t>
  </si>
  <si>
    <t xml:space="preserve">Typical Monthly Usage Basic Bundled Non-CARE Customer </t>
  </si>
  <si>
    <t xml:space="preserve">Typical Monthly Usage Basic Bundled CARE Customer </t>
  </si>
  <si>
    <t xml:space="preserve">Typical Monthly Usage All-Electric Bundled Non-CARE Customer </t>
  </si>
  <si>
    <t xml:space="preserve">Typical Monthly Usage All-Electric Bundled CARE Customer </t>
  </si>
  <si>
    <t>Basic Bundled Residential Monthly Average Bills</t>
  </si>
  <si>
    <t>Basic Bundled Residential Monthly Average Bills - Summer</t>
  </si>
  <si>
    <t>Basic Bundled Residential Monthly Average Bills - Winter</t>
  </si>
  <si>
    <t>All-Electric Bundled Residential Monthly Average Bills</t>
  </si>
  <si>
    <t>All-Electric Bundled Residential Monthly Average Bills - Summer</t>
  </si>
  <si>
    <t>Essential Usage Basic Bundled Non-CARE Customer Bill</t>
  </si>
  <si>
    <t>Essential Usage Basic Bundled CARE Customer Bill</t>
  </si>
  <si>
    <t>Essential Use  - Non-CARE</t>
  </si>
  <si>
    <t>Essential Use - CARE</t>
  </si>
  <si>
    <t>All-Electric Bundled Residential Monthly Average Bills - Winter</t>
  </si>
  <si>
    <t>Basic Bundled Essential Use Residential Monthly Average Bills - Winter</t>
  </si>
  <si>
    <t>Basic Bundled Essential Use Residential Monthly Average Bills - Summer</t>
  </si>
  <si>
    <t>Basic Bundled Typical Residential Monthly Average Bills - Summer</t>
  </si>
  <si>
    <t>Basic Bundled Typical Residential Monthly Average Bills - Winter</t>
  </si>
  <si>
    <t>All-Electric Bundled Typical Residential Monthly Average Bills - Winter</t>
  </si>
  <si>
    <t>All-Electric Bundled Typical Residential Monthly Average Bills - Summer</t>
  </si>
  <si>
    <t>All-Electric Bundled Typical Residential Monthly Average Bills</t>
  </si>
  <si>
    <t>All-Electric Bundled Essential Use Residential Monthly Average Bills - Summer</t>
  </si>
  <si>
    <t>All-Electric Bundled Essential Use Residential Monthly Average Bills - Winter</t>
  </si>
  <si>
    <t>All-Electric Bundled Essential Use Residential Monthly Average Bills</t>
  </si>
  <si>
    <t>Basic Bundled Essential Use Residential Monthly Average Bills</t>
  </si>
  <si>
    <t>Basic Bundled Typical Residential Monthly Average Bills</t>
  </si>
  <si>
    <t>AL 3855-E</t>
  </si>
  <si>
    <t>School Energy Efficiency Stimulus Program (SEESPBA)</t>
  </si>
  <si>
    <t>Wildfire and Natural Disaster Resiliency Rebuild Program (WNDRR)</t>
  </si>
  <si>
    <t>Residential Uncollectable Balancing Account (RUBA) - Distribution</t>
  </si>
  <si>
    <t>Cap Balancing Account Balance (CAPBA) Trigger -Departed Load</t>
  </si>
  <si>
    <t>CAPBA Undercollection Balancing Account - Departed Load - ERRA Trigger</t>
  </si>
  <si>
    <t>CAPBA Undercollection Balancing Account - Departed Load - ERRA Forecast</t>
  </si>
  <si>
    <t>Residential Uncollectible Balancing Account (RUBA)</t>
  </si>
  <si>
    <t>Flex Alert Balancing Account (FABA)</t>
  </si>
  <si>
    <t>Economic Development Rate (EDR)</t>
  </si>
  <si>
    <t>Advanced Metering and Demand Response (AMDRMA) - Generation</t>
  </si>
  <si>
    <t>Distribution Resources Plan Demonstration (DRPDBA)</t>
  </si>
  <si>
    <t>Emergency Load Reduction (ELRBA)</t>
  </si>
  <si>
    <t>Residential Uncollectible Balancing Account (RUBA) Amortization</t>
  </si>
  <si>
    <t>Flex Alert Balancing Account (FABA) Amortization</t>
  </si>
  <si>
    <t>School Energy Efficiency Stimulus Program Bal. Acct. (SEESPBA)</t>
  </si>
  <si>
    <t>Economic Development Rate Balancing Account (EDRBA)</t>
  </si>
  <si>
    <t>Residential Uncollectable Balancing Account (RUBA) - Generation</t>
  </si>
  <si>
    <t>PABA Revenue Requirement- Bundled Customers</t>
  </si>
  <si>
    <t>Cap Balancing Account Balance (CAPBA) Trigger - Bundled Customers</t>
  </si>
  <si>
    <t>Cap Balancing Account Balance (CAPBA) Revenue Requirement - Bundled Customers</t>
  </si>
  <si>
    <t>PABA Revenue Requirement - Departed Load</t>
  </si>
  <si>
    <t>AL 3928-E</t>
  </si>
  <si>
    <t>UDC</t>
  </si>
  <si>
    <t>Current Rate</t>
  </si>
  <si>
    <t>% Change in Authorized</t>
  </si>
  <si>
    <t xml:space="preserve">in Total Rate </t>
  </si>
  <si>
    <t>% Change in Pending</t>
  </si>
  <si>
    <t>AL 4004-E</t>
  </si>
  <si>
    <t>Power Adjustment Balancing Account (PABA) Revenue Requirement</t>
  </si>
  <si>
    <t>Power Adjustment Balancing Account (PABA) - Revenue Requirement Departed Load</t>
  </si>
  <si>
    <t>Catastrophic Events Memorandum Account (CEMA)</t>
  </si>
  <si>
    <t>SYSTEM NET</t>
  </si>
  <si>
    <t>SYSTEM DELIVERED</t>
  </si>
  <si>
    <t>BUNDLED</t>
  </si>
  <si>
    <t>* Methodology authorized in 2019 GRC Phase II; updated annually with new sales forecasts</t>
  </si>
  <si>
    <t>Incremental Rev Req</t>
  </si>
  <si>
    <t>Notes</t>
  </si>
  <si>
    <t>Customer Information System Balancing Account (CISBA)</t>
  </si>
  <si>
    <t>Transition, Stabilization, and Organizational Change Management Balancing Account (TSOBA)</t>
  </si>
  <si>
    <t>GRC Private Letter Ruling (GRC PLR)</t>
  </si>
  <si>
    <t>Disadvantaged Communities – Green Tariff Balancing Account (DACGTBA)</t>
  </si>
  <si>
    <t>Community Solar Green Tariff Balancing Account (CSGTBA)</t>
  </si>
  <si>
    <t>Advanced Metering and Demand Response - Targeted Summer Reliability Phase 2 Subaccount</t>
  </si>
  <si>
    <t>Wildfire and Natural Disaster Resiliency Rebuild Program (WNDRR) Amortization</t>
  </si>
  <si>
    <t>Power Your Drive Extension Program (PYD 2.0)</t>
  </si>
  <si>
    <t xml:space="preserve">Summary of Selected Data </t>
  </si>
  <si>
    <t xml:space="preserve"> Requirement</t>
  </si>
  <si>
    <t>Current total system-level revenue requirement that is used for defining the reporting threshold:</t>
  </si>
  <si>
    <t>A</t>
  </si>
  <si>
    <t>One-percent reporting threshold</t>
  </si>
  <si>
    <t>B</t>
  </si>
  <si>
    <t>C</t>
  </si>
  <si>
    <t>D</t>
  </si>
  <si>
    <t>E</t>
  </si>
  <si>
    <t>Total system-level revenue requirement if all pending revenue were granted in full:
requests were granted in full</t>
  </si>
  <si>
    <t>Bundled residential average rate (RAR) if all pending revenue were granted in full (from Cost and Rate Tracker (CRT) as submitted by utility):</t>
  </si>
  <si>
    <t>cents/kWh</t>
  </si>
  <si>
    <t>($000)</t>
  </si>
  <si>
    <t>YE 2026</t>
  </si>
  <si>
    <t>YE 2027</t>
  </si>
  <si>
    <t>Bundled Residential Rate (cents/kWh)</t>
  </si>
  <si>
    <t>Current - Calculated</t>
  </si>
  <si>
    <t>Bundled residential weighted average monthly bill corresponding to RAR above for typical customer in Coastal climate zone using 400 kWh on Basic service (from CRT as submitted by utility):</t>
  </si>
  <si>
    <t>Transportation Electrification Advisory Services (TEAS)</t>
  </si>
  <si>
    <t>ERRA Forecast + GHG Costs</t>
  </si>
  <si>
    <t>Residential Allocation</t>
  </si>
  <si>
    <t>Balancing Account Balances frozen at current values</t>
  </si>
  <si>
    <t>Percentage of Income Payment Plan Balancing Account (PIPPBA) - Bundled</t>
  </si>
  <si>
    <t>Percentage of Income Payment Plan Balancing Account (PIPPBA) - CCA</t>
  </si>
  <si>
    <t>BioMat Non-Bypassable Charge Balancing Account (BNBCBA)</t>
  </si>
  <si>
    <t>CT O&amp;M Advisory Program (TEAS)</t>
  </si>
  <si>
    <t>MCAM</t>
  </si>
  <si>
    <t>Microgrid Balancing Account (MGBA)</t>
  </si>
  <si>
    <t>Microgrid Reservation Capacity Component-Standby Charge Suspension Account (MSSA)</t>
  </si>
  <si>
    <t>Essential Use Study Balancing Account (EUSBA)</t>
  </si>
  <si>
    <t>2024 GRC Track 2 - Wildfire Mitigation Costs (WMPMA)</t>
  </si>
  <si>
    <t>AL 4344-E</t>
  </si>
  <si>
    <t>Small Commercial</t>
  </si>
  <si>
    <t>Schedule TOU-A</t>
  </si>
  <si>
    <t>On-Peak Summer - Secondary</t>
  </si>
  <si>
    <t xml:space="preserve">Bundled Small Commercial Rev Req </t>
  </si>
  <si>
    <t>Off-Peak Summer - Secondary</t>
  </si>
  <si>
    <t>On-Peak Winter - Secondary</t>
  </si>
  <si>
    <t>Off-Peak Winter - Secondary</t>
  </si>
  <si>
    <t>Bundled Small Commercial Rate (cents/kWh)</t>
  </si>
  <si>
    <t>SCHEDULE TOU-A RATES ($/kWh)</t>
  </si>
  <si>
    <t>NAICS</t>
  </si>
  <si>
    <t>On-Peak - Secondary</t>
  </si>
  <si>
    <t>kWh</t>
  </si>
  <si>
    <t>On-Peak</t>
  </si>
  <si>
    <t>Off-Peak</t>
  </si>
  <si>
    <t>Average Max Demand</t>
  </si>
  <si>
    <t>Off-Peak - Secondary</t>
  </si>
  <si>
    <t>NAICS 531</t>
  </si>
  <si>
    <t>NAICS 621</t>
  </si>
  <si>
    <t>NAICS 722</t>
  </si>
  <si>
    <t>Note: Bill estimates include CPUC fee in the calculations</t>
  </si>
  <si>
    <t>SCHEDULE TOU-A</t>
  </si>
  <si>
    <t>Basic Service Fee</t>
  </si>
  <si>
    <t xml:space="preserve">            0-5 kW</t>
  </si>
  <si>
    <t xml:space="preserve">          5-20 kW</t>
  </si>
  <si>
    <t xml:space="preserve">          20-50 kW</t>
  </si>
  <si>
    <t xml:space="preserve">          &gt;50 kW</t>
  </si>
  <si>
    <t>Small Commercial Allocation</t>
  </si>
  <si>
    <t>Small Commercial Monthly Average Bills</t>
  </si>
  <si>
    <t>Small Commercial Monthly Average Bills - Summer</t>
  </si>
  <si>
    <t>Small Commercial Monthly Average Bills - Winter</t>
  </si>
  <si>
    <t>Small Commercial (TOU-A)</t>
  </si>
  <si>
    <t>YE 2028</t>
  </si>
  <si>
    <t>ERRA BA/Trigger - Departed Load</t>
  </si>
  <si>
    <t>Energy Efficiency (EE) / (Post-1997 Electric Energy Efficiency (PEEE)</t>
  </si>
  <si>
    <t>D.22-12-042, AL 4344-E, A.23-05-013, AL 4300-E</t>
  </si>
  <si>
    <t>D.22-12-042, AL 4344-E, Resolution E-5217, AL 4300-E</t>
  </si>
  <si>
    <t>AL 4344-E, Resolution E-5217</t>
  </si>
  <si>
    <t>D.19-09-051, AL 3352-E, AL 3669-E-A, AL-3808-E, AL 4344-E, Resolution E-5217, A.22-12-008</t>
  </si>
  <si>
    <t>D.23-12-021, AL 4344-E, Resolution E-5217</t>
  </si>
  <si>
    <t>AL 4291-E, AL 4344-E, Resolution E-5217</t>
  </si>
  <si>
    <t>D.14-06-029, AL 4344-E, Resolution E-5217</t>
  </si>
  <si>
    <t>cpuc fee</t>
  </si>
  <si>
    <t>2023-2027 Demand Response (incremental to what is in current balancing accounts)</t>
  </si>
  <si>
    <t>D.23-12-005</t>
  </si>
  <si>
    <t>Bundled small commercial average rate (TOU-A) if all pending revenue were granted in full (from Cost and Rate Tracker (CRT) as submitted by utility):</t>
  </si>
  <si>
    <t>California Climate Credit</t>
  </si>
  <si>
    <t>2025 SALES DETERMINANTS</t>
  </si>
  <si>
    <t>SD REN</t>
  </si>
  <si>
    <t>AL 4366-E</t>
  </si>
  <si>
    <t>Catastrophic Event Memorandum Account (CEMA)</t>
  </si>
  <si>
    <t>San Diego Regional Energy Network (SDREN)</t>
  </si>
  <si>
    <t>Notable Cost and Rate Tracking Tool Assumptions</t>
  </si>
  <si>
    <t>No CCC</t>
  </si>
  <si>
    <t>With CCC</t>
  </si>
  <si>
    <t>Typical residential average usage kWh/month*</t>
  </si>
  <si>
    <t>*This field is editable for analysis purposes; however, SDG&amp;E's typical Residential usage is 400kWh</t>
  </si>
  <si>
    <t>Residential bills below calculated using Schedule DR, Bundled, Single-Family</t>
  </si>
  <si>
    <t>Basic</t>
  </si>
  <si>
    <t>All-Electric</t>
  </si>
  <si>
    <t>Average monthly usage assumptions:</t>
  </si>
  <si>
    <t>Residential Semi-annual Climate Credit</t>
  </si>
  <si>
    <r>
      <t xml:space="preserve">Average monthly usage below is calculated based on the Baseline Region selected in </t>
    </r>
    <r>
      <rPr>
        <b/>
        <sz val="11"/>
        <color theme="1"/>
        <rFont val="Garamond"/>
        <family val="1"/>
      </rPr>
      <t>D3</t>
    </r>
  </si>
  <si>
    <t>Include in Impact (Y/N)</t>
  </si>
  <si>
    <t>Include CA Climate Credit in Rates &amp; Res. Annual Avg Bills?</t>
  </si>
  <si>
    <t>AL 4507-E</t>
  </si>
  <si>
    <t xml:space="preserve">Diablo Canyon </t>
  </si>
  <si>
    <t>Liability Insurance Premium Balancing Account (LIPBA) Over Limits Sub-Account</t>
  </si>
  <si>
    <t>Statewide Energy Efficiency Bal. Acct. (SWEEBA)</t>
  </si>
  <si>
    <t>Distributed Generation Renewable (DGR) Storage Time Metered Under/(Over) Collection - Distribution</t>
  </si>
  <si>
    <t>Distributed Generation Renewable (DGR) Storage Time Metered Under/(Over) Collection - Commodity</t>
  </si>
  <si>
    <t>YE 2029</t>
  </si>
  <si>
    <t xml:space="preserve"> </t>
  </si>
  <si>
    <t>N/A</t>
  </si>
  <si>
    <t>CARE Line-Item Discount</t>
  </si>
  <si>
    <t>Present</t>
  </si>
  <si>
    <t>Adjustments (ex. CARE and FERA Discounts)</t>
  </si>
  <si>
    <t>Total Adj</t>
  </si>
  <si>
    <t>Adjustments</t>
  </si>
  <si>
    <t>Res. Allocation</t>
  </si>
  <si>
    <t>Small Comm. Allocation</t>
  </si>
  <si>
    <t>Bundled small commercial weighted average monthly bill corresponding to TOU-A above (from CRT as submitted by utility):</t>
  </si>
  <si>
    <t>New</t>
  </si>
  <si>
    <t>AL 4588-E</t>
  </si>
  <si>
    <t>A.25-04-014</t>
  </si>
  <si>
    <t>GRC P1 Track 3 - WMPMA</t>
  </si>
  <si>
    <t>A.22-05-015 / 016 Track 3</t>
  </si>
  <si>
    <t>AL 4628-E/3410-G, AL 4628-E-A / 3410-G-A</t>
  </si>
  <si>
    <t>2026 SALES DETERMINANTS</t>
  </si>
  <si>
    <t>2027-2032</t>
  </si>
  <si>
    <t>AL 4129-E</t>
  </si>
  <si>
    <t>AL 4701-E</t>
  </si>
  <si>
    <t>2024 GRC Adjustment - Paperless Billing</t>
  </si>
  <si>
    <t>BSC - $/Day</t>
  </si>
  <si>
    <t>BSC - $/Month</t>
  </si>
  <si>
    <t xml:space="preserve"> Assumes a 30-day month</t>
  </si>
  <si>
    <t>2026-2031</t>
  </si>
  <si>
    <t>AL 4653-E</t>
  </si>
  <si>
    <t>The last column represents the current authorized revenue requirements as of this submission.</t>
  </si>
  <si>
    <t>4757-E</t>
  </si>
  <si>
    <t>Concurrent Application System Bal.Acct. (CASBA)</t>
  </si>
  <si>
    <t>Statewide Energy Efficiency Bal. Acct. (SWEEBA) - Rev Req</t>
  </si>
  <si>
    <t>High Power Interim Rate Waiver Balancing Account (HPWBA)</t>
  </si>
  <si>
    <t>High Power Rate Balancing Account (HPRBA)</t>
  </si>
  <si>
    <t>High DER Consulting Funds Balancing Account (DERBA)</t>
  </si>
  <si>
    <t xml:space="preserve">Medium-Duty and Heavy-Duty Electric Vehicle Balancing Account (MDHDBA)  </t>
  </si>
  <si>
    <t>1/1/26</t>
  </si>
  <si>
    <t>Annual Period 2026</t>
  </si>
  <si>
    <t>Reporting Date: Quarter Ended March 31</t>
  </si>
  <si>
    <t>Submitted March 2, 2026</t>
  </si>
  <si>
    <t>D.24-12-074, D.25-12-008, AL 4757-E</t>
  </si>
  <si>
    <t>D.25-09-030, D.25-12-043, D.25-12-008, AL 4757-E</t>
  </si>
  <si>
    <t xml:space="preserve">AL 4717-E, AL 4757-E, Resolution E-5217 </t>
  </si>
  <si>
    <t>WMPMA (Track 2)</t>
  </si>
  <si>
    <t>Authorized Revenue Requirement with FF&amp;U ($000) - Breakout by Year
Year-End 2026; January 1 2027-2030</t>
  </si>
  <si>
    <t>TY2028 GRC</t>
  </si>
  <si>
    <t>Authorized Residential Sales</t>
  </si>
  <si>
    <t>Proposed 2027</t>
  </si>
  <si>
    <t>10/1/2025</t>
  </si>
  <si>
    <t>Rate Impact for Year (2026-2030)</t>
  </si>
  <si>
    <t>Rate by Component - Authorized</t>
  </si>
  <si>
    <t>Rate by Component - w/Pending</t>
  </si>
  <si>
    <r>
      <t xml:space="preserve">2026 SALES DETERMINANTS </t>
    </r>
    <r>
      <rPr>
        <sz val="11"/>
        <color rgb="FFFF0000"/>
        <rFont val="Garamond"/>
        <family val="1"/>
      </rPr>
      <t>(Placeholder for future)</t>
    </r>
  </si>
  <si>
    <t>Sm Commercial</t>
  </si>
  <si>
    <t>Smart Meter 2.0</t>
  </si>
  <si>
    <t>Palomar Decarbonization Demonstration Project</t>
  </si>
  <si>
    <t>Low-Income Application 2028-2033</t>
  </si>
  <si>
    <t>Low-Income Bridge Funding 2027</t>
  </si>
  <si>
    <t>A.25-12-012</t>
  </si>
  <si>
    <t>A.25-12-009</t>
  </si>
  <si>
    <t>A.25-06-022</t>
  </si>
  <si>
    <t>TY 2024 GRC Non-Officer Compensation</t>
  </si>
  <si>
    <t>Demand Flex</t>
  </si>
  <si>
    <t>2027-2031</t>
  </si>
  <si>
    <t>TY 2024 GRC P1 PFM</t>
  </si>
  <si>
    <t>A.22-05-015</t>
  </si>
  <si>
    <t>PFM*</t>
  </si>
  <si>
    <t>2027 DCPP</t>
  </si>
  <si>
    <t>2027 ERRA</t>
  </si>
  <si>
    <t>Recurring programs funding assumed to be flat at current levels</t>
  </si>
  <si>
    <t>*TY 2024 GRC PFM requests adjustments for Post-Test Years 2025, 2026 and 2027. Only 2026 and 2027 are included in this report, as 12-month amortizations in the respective years,  until a decision with an amortization proposal is adopted. The 2025 requested amounts are: Distribution: $67.557M, Generation: ($5.313M), PCIA: ($15.777M)</t>
  </si>
  <si>
    <t>2025 Recorded Data - Average Monthly Usage - BASIC kWh</t>
  </si>
  <si>
    <t>2025 Recorded Data - Average Monthly Usage - ALL-ELECTRIC kWh</t>
  </si>
  <si>
    <t>2025 Recorded Data</t>
  </si>
  <si>
    <r>
      <t>List of currently open proceedings for which affordability metrics have been filed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:</t>
    </r>
  </si>
  <si>
    <r>
      <rPr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D.25-12-044 changed the affordability metrics requirement to all initial General Rate Case Phase 1 applications where the revenue increase is estimated to exceed 1% of currently authorized revenyes systemwide for a single fuel.</t>
    </r>
  </si>
  <si>
    <t>YE 2030</t>
  </si>
  <si>
    <r>
      <t>GRC P1 Track 3 - WMPMA</t>
    </r>
    <r>
      <rPr>
        <vertAlign val="superscript"/>
        <sz val="11"/>
        <rFont val="Calibri"/>
        <family val="2"/>
        <scheme val="minor"/>
      </rPr>
      <t>2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</si>
  <si>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Incremental revenue requirement from 2027-2030. Actual revenue requirement goes through 2032.</t>
    </r>
  </si>
  <si>
    <t>2028-2031</t>
  </si>
  <si>
    <t>A.26-02-001</t>
  </si>
  <si>
    <t>2025-2027</t>
  </si>
  <si>
    <t>2028-2033</t>
  </si>
  <si>
    <t>Energy Efficiency - Revison of 2024-2031 Business Plan</t>
  </si>
  <si>
    <t>D.26-01-021; AL 4791-E</t>
  </si>
  <si>
    <t>A.26-01-010</t>
  </si>
  <si>
    <r>
      <t xml:space="preserve">Average monthly usage is for all customers based on seasonal usage in </t>
    </r>
    <r>
      <rPr>
        <b/>
        <sz val="11"/>
        <color theme="1"/>
        <rFont val="Garamond"/>
        <family val="1"/>
      </rPr>
      <t>2025</t>
    </r>
  </si>
  <si>
    <t>2025 Recorded Average Basic Bundled Non-CARE Customer Bill</t>
  </si>
  <si>
    <t xml:space="preserve">2025 Recorded Average All-Electric Bundled Non-CARE Customer </t>
  </si>
  <si>
    <t>2025 Recorded Average Basic Bundled CARE Customer Bill</t>
  </si>
  <si>
    <t xml:space="preserve">2025 Recorded Average All-Electric Bundled CARE Customer </t>
  </si>
  <si>
    <t>D.25-12-043, D.24-12-074, AL 4743-E</t>
  </si>
  <si>
    <t>D.24-12-074, AL 4758-E</t>
  </si>
  <si>
    <t>D.24-12-074, A.25-05-012, AL 4758-E</t>
  </si>
  <si>
    <t>D.25-12-008</t>
  </si>
  <si>
    <t xml:space="preserve"> D.25-12-008, AL 4757-E, Resolution E-5217</t>
  </si>
  <si>
    <t>D.25-12-008, Resolution E-5217, AL 4757-E</t>
  </si>
  <si>
    <t>A.25-05-012, A.25-03-013, D.25-09-030, AL 4758-E</t>
  </si>
  <si>
    <t>A.25-05-012, AL 4758-E, Resolution E-5217</t>
  </si>
  <si>
    <t>A.25-05-015, AL 4758-E, Resolution E-5217</t>
  </si>
  <si>
    <t>AL 4757-E, Resolution E-5217</t>
  </si>
  <si>
    <t>D.24-06-003</t>
  </si>
  <si>
    <t>D.25-09-030, AL 4737-E, 4758-E</t>
  </si>
  <si>
    <t>D.25-12-008, AL 4757-E, Resolution E-5217</t>
  </si>
  <si>
    <t>D.25-12-006</t>
  </si>
  <si>
    <t>D.21-07-028, AL 4233-E, AL 4233-E-A, Resolution E-5300</t>
  </si>
  <si>
    <t>D.24-02-010</t>
  </si>
  <si>
    <t>D.24-07-013</t>
  </si>
  <si>
    <t>AL 4483-E/3325-G, AL 4757-E</t>
  </si>
  <si>
    <t>D.25-09-006, AL 4757-E</t>
  </si>
  <si>
    <t>D.25-12-043, AL 4078-E, AL 4078-E-A, AL 4553-E</t>
  </si>
  <si>
    <t>D.25-12-043, D.19-08-026, AL 4553-E, AL 3489-E-A</t>
  </si>
  <si>
    <t>D.25-12-043, D.19-11-017, AL 3480-E-A, AL 4553-E, AL 4499-E</t>
  </si>
  <si>
    <t>AL 4717-E, AL 4757-E</t>
  </si>
  <si>
    <t>AL 4511-E/3342-G</t>
  </si>
  <si>
    <t>D.25-12-043, D.21-04-014, AL 4553-E, AL 3765-E, AL 3765-E-A</t>
  </si>
  <si>
    <t>D.08-02-034, AL 2209-E, AL 4757-E</t>
  </si>
  <si>
    <t>D.08-02-034, AL 2069-E, AL 4758-E</t>
  </si>
  <si>
    <t>D.14-01-002, AL 4758-E</t>
  </si>
  <si>
    <t>D.12-12-004, AL 2816-E, AL 4758-E</t>
  </si>
  <si>
    <t>AL 4717-E</t>
  </si>
  <si>
    <t>A.25-05-012</t>
  </si>
  <si>
    <t>D.14-06-029, AL 4757-E, Resolution E-5217</t>
  </si>
  <si>
    <t>D.25-12-007</t>
  </si>
  <si>
    <t>D.21-07-010, AL 2209-E, AL 4319-E, AL 4757-E</t>
  </si>
  <si>
    <t>ER26-632-000</t>
  </si>
  <si>
    <t>ER26-553-000</t>
  </si>
  <si>
    <t>ER26-336-000</t>
  </si>
  <si>
    <t>ER26-790-000</t>
  </si>
  <si>
    <t>SDG&amp;E Electric Revenue Requirement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</si>
</sst>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%"/>
    <numFmt numFmtId="166" formatCode="#.00"/>
    <numFmt numFmtId="167" formatCode="#,##0."/>
    <numFmt numFmtId="168" formatCode="&quot;$&quot;#."/>
    <numFmt numFmtId="169" formatCode="0.00_)"/>
    <numFmt numFmtId="170" formatCode="#,##0.00&quot; $&quot;;\-#,##0.00&quot; $&quot;"/>
    <numFmt numFmtId="171" formatCode="m\-d\-yy"/>
    <numFmt numFmtId="172" formatCode="_(* #,##0_);_(* \(#,##0\);_(* &quot;-&quot;??_);_(@_)"/>
    <numFmt numFmtId="173" formatCode="_(&quot;$&quot;* #,##0_);_(&quot;$&quot;* \(#,##0\);_(&quot;$&quot;* &quot;-&quot;??_);_(@_)"/>
    <numFmt numFmtId="174" formatCode="#,##0.0"/>
    <numFmt numFmtId="175" formatCode="_(* #,##0.000000_);_(* \(#,##0.000000\);_(* &quot;-&quot;??_);_(@_)"/>
    <numFmt numFmtId="176" formatCode="#,##0.00000_);[Red]\(#,##0.00000\)"/>
    <numFmt numFmtId="177" formatCode="0.00000"/>
    <numFmt numFmtId="178" formatCode="0.0"/>
    <numFmt numFmtId="179" formatCode="_(* #,##0.000_);_(* \(#,##0.000\);_(* &quot;-&quot;??_);_(@_)"/>
    <numFmt numFmtId="180" formatCode="General_)"/>
    <numFmt numFmtId="181" formatCode="&quot;$&quot;#,##0.00000"/>
    <numFmt numFmtId="182" formatCode="#,##0.00000_);\(#,##0.00000\)"/>
    <numFmt numFmtId="183" formatCode="_(* #,##0.00000_);_(* \(#,##0.00000\);_(* &quot;-&quot;??_);_(@_)"/>
    <numFmt numFmtId="184" formatCode="0.000"/>
    <numFmt numFmtId="185" formatCode="0.0000"/>
    <numFmt numFmtId="186" formatCode="0.00_);\(0.00\)"/>
    <numFmt numFmtId="187" formatCode="[$-F800]dddd\,\ mmmm\ dd\,\ yyyy"/>
    <numFmt numFmtId="188" formatCode="0.0000000000"/>
    <numFmt numFmtId="189" formatCode="_-* #,##0.0_-;\-* #,##0.0_-;_-* &quot;-&quot;??_-;_-@_-"/>
    <numFmt numFmtId="190" formatCode="&quot;$&quot;#,##0.00"/>
    <numFmt numFmtId="191" formatCode="#,##0.000_);[Red]\(#,##0.000\)"/>
    <numFmt numFmtId="192" formatCode="#,##0.000"/>
    <numFmt numFmtId="193" formatCode="&quot;$&quot;#,##0.0_);\(&quot;$&quot;#,##0.0\)"/>
    <numFmt numFmtId="194" formatCode="#,##0.000_);\(#,##0.000\)"/>
    <numFmt numFmtId="195" formatCode="#,##0.0_);[Red]\(#,##0.0\)"/>
    <numFmt numFmtId="196" formatCode="#,##0.0_);\(#,##0.0\)"/>
    <numFmt numFmtId="197" formatCode="0.00000_);\(0.00000\)"/>
    <numFmt numFmtId="198" formatCode="_(* #,##0.0000_);_(* \(#,##0.0000\);_(* &quot;-&quot;??_);_(@_)"/>
    <numFmt numFmtId="199" formatCode="_(* #,##0.0_);_(* \(#,##0.0\);_(* &quot;-&quot;??_);_(@_)"/>
  </numFmts>
  <fonts count="7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8"/>
      <color indexed="12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sz val="10"/>
      <name val="Garamond"/>
      <family val="1"/>
    </font>
    <font>
      <sz val="11"/>
      <color theme="1"/>
      <name val="Garamond"/>
      <family val="1"/>
    </font>
    <font>
      <b/>
      <sz val="10"/>
      <name val="Garamond"/>
      <family val="1"/>
    </font>
    <font>
      <sz val="10"/>
      <color indexed="10"/>
      <name val="Garamond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Garamond"/>
      <family val="1"/>
    </font>
    <font>
      <b/>
      <sz val="11"/>
      <name val="Garamond"/>
      <family val="1"/>
    </font>
    <font>
      <b/>
      <sz val="11"/>
      <color theme="1"/>
      <name val="Garamond"/>
      <family val="1"/>
    </font>
    <font>
      <sz val="11"/>
      <color rgb="FF3333FF"/>
      <name val="Garamond"/>
      <family val="1"/>
    </font>
    <font>
      <b/>
      <sz val="11"/>
      <color rgb="FF008AF2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2"/>
      <color rgb="FFFF0000"/>
      <name val="Garamond"/>
      <family val="1"/>
    </font>
    <font>
      <b/>
      <sz val="12"/>
      <color rgb="FF3333FF"/>
      <name val="Garamond"/>
      <family val="1"/>
    </font>
    <font>
      <sz val="12"/>
      <color theme="1"/>
      <name val="Garamond"/>
      <family val="1"/>
    </font>
    <font>
      <b/>
      <sz val="11"/>
      <color rgb="FF3333FF"/>
      <name val="Garamond"/>
      <family val="1"/>
    </font>
    <font>
      <sz val="12"/>
      <color rgb="FFFF0000"/>
      <name val="Garamond"/>
      <family val="1"/>
    </font>
    <font>
      <u/>
      <sz val="10"/>
      <name val="Garamond"/>
      <family val="1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Garamond"/>
      <family val="1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rgb="FF0000FF"/>
      <name val="Arial"/>
      <family val="2"/>
    </font>
    <font>
      <sz val="14"/>
      <color rgb="FFFF0000"/>
      <name val="Garamond"/>
      <family val="1"/>
    </font>
    <font>
      <sz val="10"/>
      <color theme="1"/>
      <name val="Arial"/>
      <family val="2"/>
    </font>
    <font>
      <b/>
      <i/>
      <sz val="16"/>
      <name val="Helv"/>
      <family val="2"/>
    </font>
    <font>
      <sz val="10"/>
      <name val="Geneva"/>
      <family val="2"/>
    </font>
    <font>
      <sz val="11"/>
      <name val="??"/>
      <family val="3"/>
      <charset val="129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b/>
      <sz val="11"/>
      <color theme="9" tint="-0.249977111117893"/>
      <name val="Garamond"/>
      <family val="1"/>
    </font>
    <font>
      <sz val="11"/>
      <color theme="9" tint="-0.249977111117893"/>
      <name val="Garamond"/>
      <family val="1"/>
    </font>
    <font>
      <b/>
      <sz val="12"/>
      <color theme="9" tint="-0.249977111117893"/>
      <name val="Garamond"/>
      <family val="1"/>
    </font>
    <font>
      <sz val="11"/>
      <color theme="2" tint="-9.9978637043366805E-2"/>
      <name val="Garamond"/>
      <family val="1"/>
    </font>
    <font>
      <sz val="11"/>
      <color theme="2" tint="-9.9978637043366805E-2"/>
      <name val="Calibri"/>
      <family val="2"/>
      <scheme val="minor"/>
    </font>
    <font>
      <b/>
      <sz val="8"/>
      <name val="Arial"/>
      <family val="2"/>
    </font>
    <font>
      <sz val="10"/>
      <color rgb="FFFF0000"/>
      <name val="Garamond"/>
      <family val="1"/>
    </font>
    <font>
      <b/>
      <sz val="11"/>
      <color rgb="FFFF0000"/>
      <name val="Garamond"/>
      <family val="1"/>
    </font>
    <font>
      <sz val="11"/>
      <color theme="0" tint="-0.34998626667073579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42424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71">
    <xf numFmtId="0" fontId="0" fillId="0" borderId="0"/>
    <xf numFmtId="0" fontId="2" fillId="0" borderId="0"/>
    <xf numFmtId="171" fontId="3" fillId="2" borderId="2">
      <alignment horizontal="center" vertical="center"/>
    </xf>
    <xf numFmtId="43" fontId="2" fillId="0" borderId="0" applyFont="0" applyFill="0" applyBorder="0" applyAlignment="0" applyProtection="0"/>
    <xf numFmtId="167" fontId="5" fillId="0" borderId="0"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8" fontId="5" fillId="0" borderId="0">
      <protection locked="0"/>
    </xf>
    <xf numFmtId="0" fontId="5" fillId="0" borderId="0">
      <protection locked="0"/>
    </xf>
    <xf numFmtId="166" fontId="5" fillId="0" borderId="0">
      <protection locked="0"/>
    </xf>
    <xf numFmtId="38" fontId="6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5" fillId="0" borderId="0">
      <protection locked="0"/>
    </xf>
    <xf numFmtId="0" fontId="5" fillId="0" borderId="0">
      <protection locked="0"/>
    </xf>
    <xf numFmtId="170" fontId="2" fillId="0" borderId="0">
      <protection locked="0"/>
    </xf>
    <xf numFmtId="170" fontId="2" fillId="0" borderId="0">
      <protection locked="0"/>
    </xf>
    <xf numFmtId="0" fontId="8" fillId="0" borderId="3" applyNumberFormat="0" applyFill="0" applyAlignment="0" applyProtection="0"/>
    <xf numFmtId="10" fontId="6" fillId="4" borderId="4" applyNumberFormat="0" applyBorder="0" applyAlignment="0" applyProtection="0"/>
    <xf numFmtId="37" fontId="9" fillId="0" borderId="0"/>
    <xf numFmtId="169" fontId="1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5">
      <protection locked="0"/>
    </xf>
    <xf numFmtId="37" fontId="6" fillId="5" borderId="0" applyNumberFormat="0" applyBorder="0" applyAlignment="0" applyProtection="0"/>
    <xf numFmtId="37" fontId="6" fillId="0" borderId="0"/>
    <xf numFmtId="37" fontId="6" fillId="5" borderId="0" applyNumberFormat="0" applyBorder="0" applyAlignment="0" applyProtection="0"/>
    <xf numFmtId="3" fontId="11" fillId="0" borderId="3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/>
    <xf numFmtId="0" fontId="2" fillId="0" borderId="0"/>
    <xf numFmtId="180" fontId="6" fillId="0" borderId="0"/>
    <xf numFmtId="9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43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4" applyNumberFormat="0" applyBorder="0" applyAlignment="0" applyProtection="0"/>
    <xf numFmtId="169" fontId="44" fillId="0" borderId="0"/>
    <xf numFmtId="0" fontId="6" fillId="5" borderId="0" applyNumberFormat="0" applyBorder="0" applyAlignment="0" applyProtection="0"/>
    <xf numFmtId="0" fontId="18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188" fontId="45" fillId="2" borderId="2">
      <alignment horizontal="center" vertical="center"/>
    </xf>
    <xf numFmtId="6" fontId="46" fillId="0" borderId="0">
      <protection locked="0"/>
    </xf>
    <xf numFmtId="189" fontId="2" fillId="0" borderId="0">
      <protection locked="0"/>
    </xf>
    <xf numFmtId="0" fontId="2" fillId="0" borderId="0"/>
    <xf numFmtId="0" fontId="2" fillId="0" borderId="0"/>
    <xf numFmtId="180" fontId="6" fillId="0" borderId="0"/>
    <xf numFmtId="188" fontId="45" fillId="2" borderId="2">
      <alignment horizontal="center" vertical="center"/>
    </xf>
    <xf numFmtId="0" fontId="2" fillId="0" borderId="0"/>
    <xf numFmtId="0" fontId="61" fillId="0" borderId="0"/>
    <xf numFmtId="0" fontId="18" fillId="0" borderId="0"/>
    <xf numFmtId="0" fontId="62" fillId="0" borderId="0" applyNumberFormat="0" applyFill="0" applyBorder="0" applyAlignment="0" applyProtection="0"/>
    <xf numFmtId="0" fontId="18" fillId="0" borderId="0"/>
    <xf numFmtId="0" fontId="60" fillId="0" borderId="0"/>
    <xf numFmtId="43" fontId="2" fillId="0" borderId="0" applyFont="0" applyFill="0" applyBorder="0" applyAlignment="0" applyProtection="0"/>
  </cellStyleXfs>
  <cellXfs count="801">
    <xf numFmtId="0" fontId="0" fillId="0" borderId="0" xfId="0"/>
    <xf numFmtId="0" fontId="12" fillId="0" borderId="0" xfId="0" applyFont="1"/>
    <xf numFmtId="43" fontId="12" fillId="0" borderId="0" xfId="0" applyNumberFormat="1" applyFont="1"/>
    <xf numFmtId="3" fontId="12" fillId="0" borderId="0" xfId="0" applyNumberFormat="1" applyFont="1" applyAlignment="1">
      <alignment horizontal="center"/>
    </xf>
    <xf numFmtId="38" fontId="12" fillId="0" borderId="0" xfId="0" applyNumberFormat="1" applyFont="1" applyAlignment="1">
      <alignment horizontal="center"/>
    </xf>
    <xf numFmtId="10" fontId="12" fillId="0" borderId="0" xfId="25" applyNumberFormat="1" applyFont="1" applyAlignment="1">
      <alignment horizontal="center"/>
    </xf>
    <xf numFmtId="0" fontId="15" fillId="0" borderId="0" xfId="0" applyFont="1"/>
    <xf numFmtId="0" fontId="14" fillId="0" borderId="0" xfId="20" applyFont="1"/>
    <xf numFmtId="44" fontId="15" fillId="0" borderId="0" xfId="6" applyFont="1" applyBorder="1"/>
    <xf numFmtId="165" fontId="15" fillId="0" borderId="0" xfId="24" applyNumberFormat="1" applyFont="1" applyBorder="1"/>
    <xf numFmtId="0" fontId="15" fillId="0" borderId="0" xfId="0" applyFont="1" applyAlignment="1">
      <alignment horizontal="left" vertical="top"/>
    </xf>
    <xf numFmtId="37" fontId="0" fillId="0" borderId="0" xfId="0" applyNumberFormat="1"/>
    <xf numFmtId="5" fontId="0" fillId="0" borderId="0" xfId="0" applyNumberFormat="1"/>
    <xf numFmtId="5" fontId="19" fillId="0" borderId="0" xfId="0" applyNumberFormat="1" applyFont="1"/>
    <xf numFmtId="3" fontId="0" fillId="0" borderId="0" xfId="0" applyNumberFormat="1"/>
    <xf numFmtId="164" fontId="0" fillId="0" borderId="0" xfId="0" applyNumberFormat="1" applyAlignment="1">
      <alignment horizontal="left"/>
    </xf>
    <xf numFmtId="164" fontId="0" fillId="0" borderId="0" xfId="0" applyNumberFormat="1"/>
    <xf numFmtId="0" fontId="1" fillId="0" borderId="0" xfId="0" applyFont="1"/>
    <xf numFmtId="0" fontId="0" fillId="0" borderId="1" xfId="0" applyBorder="1"/>
    <xf numFmtId="0" fontId="12" fillId="0" borderId="0" xfId="0" applyFont="1" applyAlignment="1">
      <alignment horizontal="center"/>
    </xf>
    <xf numFmtId="3" fontId="1" fillId="0" borderId="0" xfId="0" applyNumberFormat="1" applyFont="1"/>
    <xf numFmtId="172" fontId="0" fillId="0" borderId="0" xfId="0" applyNumberFormat="1"/>
    <xf numFmtId="172" fontId="0" fillId="0" borderId="0" xfId="39" applyNumberFormat="1" applyFont="1"/>
    <xf numFmtId="172" fontId="0" fillId="0" borderId="0" xfId="39" applyNumberFormat="1" applyFont="1" applyFill="1"/>
    <xf numFmtId="0" fontId="0" fillId="0" borderId="0" xfId="0" applyAlignment="1">
      <alignment horizontal="right"/>
    </xf>
    <xf numFmtId="173" fontId="0" fillId="0" borderId="0" xfId="35" applyNumberFormat="1" applyFont="1"/>
    <xf numFmtId="41" fontId="0" fillId="0" borderId="0" xfId="39" applyNumberFormat="1" applyFont="1" applyBorder="1"/>
    <xf numFmtId="172" fontId="0" fillId="0" borderId="0" xfId="39" applyNumberFormat="1" applyFont="1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1" fontId="0" fillId="0" borderId="0" xfId="0" applyNumberFormat="1" applyAlignment="1">
      <alignment horizontal="center"/>
    </xf>
    <xf numFmtId="173" fontId="0" fillId="0" borderId="0" xfId="35" applyNumberFormat="1" applyFont="1" applyBorder="1"/>
    <xf numFmtId="37" fontId="1" fillId="0" borderId="0" xfId="0" applyNumberFormat="1" applyFont="1"/>
    <xf numFmtId="0" fontId="23" fillId="0" borderId="0" xfId="1" applyFont="1" applyAlignment="1">
      <alignment horizontal="center"/>
    </xf>
    <xf numFmtId="0" fontId="24" fillId="0" borderId="0" xfId="1" applyFont="1"/>
    <xf numFmtId="0" fontId="23" fillId="0" borderId="0" xfId="1" applyFont="1"/>
    <xf numFmtId="0" fontId="23" fillId="0" borderId="0" xfId="1" applyFont="1" applyAlignment="1">
      <alignment horizontal="right"/>
    </xf>
    <xf numFmtId="15" fontId="23" fillId="0" borderId="0" xfId="1" applyNumberFormat="1" applyFont="1"/>
    <xf numFmtId="0" fontId="23" fillId="0" borderId="0" xfId="0" applyFont="1"/>
    <xf numFmtId="0" fontId="23" fillId="0" borderId="0" xfId="0" applyFont="1" applyAlignment="1">
      <alignment horizontal="right"/>
    </xf>
    <xf numFmtId="1" fontId="23" fillId="7" borderId="4" xfId="1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25" fillId="0" borderId="7" xfId="0" applyFont="1" applyBorder="1"/>
    <xf numFmtId="0" fontId="0" fillId="0" borderId="0" xfId="0" applyAlignment="1">
      <alignment horizontal="left"/>
    </xf>
    <xf numFmtId="9" fontId="15" fillId="0" borderId="0" xfId="40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4" xfId="0" applyFont="1" applyBorder="1"/>
    <xf numFmtId="0" fontId="26" fillId="0" borderId="0" xfId="0" applyFont="1" applyAlignment="1">
      <alignment horizontal="center"/>
    </xf>
    <xf numFmtId="14" fontId="23" fillId="0" borderId="4" xfId="1" quotePrefix="1" applyNumberFormat="1" applyFont="1" applyBorder="1" applyAlignment="1">
      <alignment horizontal="center" wrapText="1"/>
    </xf>
    <xf numFmtId="0" fontId="23" fillId="0" borderId="4" xfId="1" applyFont="1" applyBorder="1" applyAlignment="1">
      <alignment horizontal="center" wrapText="1"/>
    </xf>
    <xf numFmtId="0" fontId="23" fillId="0" borderId="17" xfId="1" applyFont="1" applyBorder="1" applyAlignment="1">
      <alignment horizontal="center" wrapText="1"/>
    </xf>
    <xf numFmtId="174" fontId="23" fillId="0" borderId="21" xfId="1" applyNumberFormat="1" applyFont="1" applyBorder="1" applyAlignment="1">
      <alignment horizontal="center"/>
    </xf>
    <xf numFmtId="165" fontId="23" fillId="0" borderId="22" xfId="25" applyNumberFormat="1" applyFont="1" applyFill="1" applyBorder="1" applyAlignment="1">
      <alignment horizontal="center"/>
    </xf>
    <xf numFmtId="165" fontId="23" fillId="0" borderId="23" xfId="25" applyNumberFormat="1" applyFont="1" applyFill="1" applyBorder="1" applyAlignment="1">
      <alignment horizontal="center"/>
    </xf>
    <xf numFmtId="174" fontId="23" fillId="0" borderId="27" xfId="1" applyNumberFormat="1" applyFont="1" applyBorder="1" applyAlignment="1">
      <alignment horizontal="center"/>
    </xf>
    <xf numFmtId="165" fontId="23" fillId="0" borderId="27" xfId="25" applyNumberFormat="1" applyFont="1" applyFill="1" applyBorder="1" applyAlignment="1">
      <alignment horizontal="center"/>
    </xf>
    <xf numFmtId="165" fontId="23" fillId="0" borderId="28" xfId="25" applyNumberFormat="1" applyFont="1" applyFill="1" applyBorder="1" applyAlignment="1">
      <alignment horizontal="center"/>
    </xf>
    <xf numFmtId="174" fontId="15" fillId="0" borderId="0" xfId="0" applyNumberFormat="1" applyFont="1"/>
    <xf numFmtId="0" fontId="23" fillId="0" borderId="18" xfId="1" applyFont="1" applyBorder="1" applyAlignment="1">
      <alignment horizontal="center"/>
    </xf>
    <xf numFmtId="0" fontId="23" fillId="0" borderId="1" xfId="1" applyFont="1" applyBorder="1" applyAlignment="1">
      <alignment horizontal="center"/>
    </xf>
    <xf numFmtId="165" fontId="23" fillId="0" borderId="22" xfId="22" applyNumberFormat="1" applyFont="1" applyFill="1" applyBorder="1" applyAlignment="1">
      <alignment horizontal="center"/>
    </xf>
    <xf numFmtId="165" fontId="23" fillId="0" borderId="21" xfId="22" applyNumberFormat="1" applyFont="1" applyFill="1" applyBorder="1" applyAlignment="1">
      <alignment horizontal="center"/>
    </xf>
    <xf numFmtId="165" fontId="23" fillId="0" borderId="23" xfId="22" applyNumberFormat="1" applyFont="1" applyFill="1" applyBorder="1" applyAlignment="1">
      <alignment horizontal="center"/>
    </xf>
    <xf numFmtId="165" fontId="23" fillId="0" borderId="27" xfId="22" applyNumberFormat="1" applyFont="1" applyFill="1" applyBorder="1" applyAlignment="1">
      <alignment horizontal="center"/>
    </xf>
    <xf numFmtId="165" fontId="23" fillId="0" borderId="28" xfId="22" applyNumberFormat="1" applyFont="1" applyFill="1" applyBorder="1" applyAlignment="1">
      <alignment horizontal="center"/>
    </xf>
    <xf numFmtId="0" fontId="0" fillId="8" borderId="0" xfId="0" applyFill="1"/>
    <xf numFmtId="0" fontId="1" fillId="8" borderId="0" xfId="0" applyFont="1" applyFill="1"/>
    <xf numFmtId="3" fontId="1" fillId="8" borderId="6" xfId="0" applyNumberFormat="1" applyFont="1" applyFill="1" applyBorder="1"/>
    <xf numFmtId="37" fontId="0" fillId="7" borderId="0" xfId="0" applyNumberFormat="1" applyFill="1"/>
    <xf numFmtId="0" fontId="0" fillId="7" borderId="0" xfId="0" applyFill="1"/>
    <xf numFmtId="5" fontId="19" fillId="7" borderId="0" xfId="0" applyNumberFormat="1" applyFont="1" applyFill="1"/>
    <xf numFmtId="0" fontId="28" fillId="7" borderId="0" xfId="0" applyFont="1" applyFill="1" applyAlignment="1">
      <alignment horizontal="right"/>
    </xf>
    <xf numFmtId="0" fontId="29" fillId="0" borderId="0" xfId="0" applyFont="1" applyAlignment="1">
      <alignment horizontal="center" wrapText="1"/>
    </xf>
    <xf numFmtId="0" fontId="24" fillId="0" borderId="0" xfId="1" applyFont="1" applyAlignment="1">
      <alignment horizontal="right"/>
    </xf>
    <xf numFmtId="0" fontId="24" fillId="0" borderId="7" xfId="1" applyFont="1" applyBorder="1" applyAlignment="1">
      <alignment horizontal="center"/>
    </xf>
    <xf numFmtId="0" fontId="15" fillId="0" borderId="0" xfId="0" applyFont="1" applyAlignment="1">
      <alignment vertical="top" wrapText="1"/>
    </xf>
    <xf numFmtId="172" fontId="23" fillId="0" borderId="0" xfId="3" applyNumberFormat="1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31" xfId="0" applyFont="1" applyBorder="1" applyAlignment="1">
      <alignment horizontal="center" wrapText="1"/>
    </xf>
    <xf numFmtId="10" fontId="12" fillId="9" borderId="0" xfId="24" applyNumberFormat="1" applyFont="1" applyFill="1" applyAlignment="1">
      <alignment horizontal="center"/>
    </xf>
    <xf numFmtId="165" fontId="12" fillId="0" borderId="0" xfId="24" applyNumberFormat="1" applyFont="1" applyAlignment="1">
      <alignment horizontal="center"/>
    </xf>
    <xf numFmtId="0" fontId="14" fillId="0" borderId="0" xfId="1" applyFont="1"/>
    <xf numFmtId="0" fontId="30" fillId="0" borderId="0" xfId="0" applyFont="1"/>
    <xf numFmtId="172" fontId="12" fillId="0" borderId="0" xfId="0" applyNumberFormat="1" applyFont="1" applyAlignment="1">
      <alignment horizontal="center"/>
    </xf>
    <xf numFmtId="172" fontId="12" fillId="0" borderId="0" xfId="3" applyNumberFormat="1" applyFont="1" applyFill="1"/>
    <xf numFmtId="172" fontId="23" fillId="0" borderId="0" xfId="3" applyNumberFormat="1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9" fontId="31" fillId="0" borderId="0" xfId="40" applyFont="1" applyAlignment="1">
      <alignment horizontal="right"/>
    </xf>
    <xf numFmtId="0" fontId="12" fillId="0" borderId="32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172" fontId="12" fillId="0" borderId="32" xfId="3" applyNumberFormat="1" applyFont="1" applyBorder="1"/>
    <xf numFmtId="172" fontId="12" fillId="0" borderId="30" xfId="3" applyNumberFormat="1" applyFont="1" applyBorder="1"/>
    <xf numFmtId="172" fontId="12" fillId="9" borderId="0" xfId="0" applyNumberFormat="1" applyFont="1" applyFill="1" applyAlignment="1">
      <alignment horizontal="center"/>
    </xf>
    <xf numFmtId="43" fontId="15" fillId="0" borderId="0" xfId="0" applyNumberFormat="1" applyFont="1"/>
    <xf numFmtId="172" fontId="12" fillId="0" borderId="0" xfId="3" applyNumberFormat="1" applyFont="1" applyFill="1" applyBorder="1"/>
    <xf numFmtId="175" fontId="15" fillId="0" borderId="0" xfId="0" applyNumberFormat="1" applyFont="1"/>
    <xf numFmtId="43" fontId="12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4" fontId="14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/>
    </xf>
    <xf numFmtId="10" fontId="12" fillId="0" borderId="0" xfId="24" applyNumberFormat="1" applyFont="1"/>
    <xf numFmtId="172" fontId="12" fillId="0" borderId="0" xfId="3" applyNumberFormat="1" applyFont="1"/>
    <xf numFmtId="0" fontId="14" fillId="0" borderId="0" xfId="0" applyFont="1" applyAlignment="1">
      <alignment horizontal="right" vertical="center"/>
    </xf>
    <xf numFmtId="0" fontId="25" fillId="0" borderId="0" xfId="0" applyFont="1"/>
    <xf numFmtId="0" fontId="2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176" fontId="23" fillId="0" borderId="0" xfId="41" applyNumberFormat="1" applyFont="1" applyAlignment="1" applyProtection="1">
      <alignment horizontal="left"/>
      <protection locked="0"/>
    </xf>
    <xf numFmtId="176" fontId="24" fillId="0" borderId="0" xfId="42" applyNumberFormat="1" applyFont="1" applyAlignment="1">
      <alignment horizontal="right"/>
    </xf>
    <xf numFmtId="177" fontId="12" fillId="9" borderId="0" xfId="0" applyNumberFormat="1" applyFont="1" applyFill="1"/>
    <xf numFmtId="173" fontId="12" fillId="0" borderId="0" xfId="35" applyNumberFormat="1" applyFont="1"/>
    <xf numFmtId="178" fontId="12" fillId="0" borderId="0" xfId="0" applyNumberFormat="1" applyFont="1" applyAlignment="1">
      <alignment horizontal="center"/>
    </xf>
    <xf numFmtId="176" fontId="23" fillId="0" borderId="0" xfId="42" quotePrefix="1" applyNumberFormat="1" applyFont="1" applyAlignment="1">
      <alignment horizontal="right"/>
    </xf>
    <xf numFmtId="3" fontId="15" fillId="0" borderId="0" xfId="0" applyNumberFormat="1" applyFont="1"/>
    <xf numFmtId="178" fontId="33" fillId="0" borderId="0" xfId="0" applyNumberFormat="1" applyFont="1"/>
    <xf numFmtId="177" fontId="12" fillId="0" borderId="0" xfId="0" applyNumberFormat="1" applyFont="1"/>
    <xf numFmtId="178" fontId="12" fillId="0" borderId="0" xfId="0" applyNumberFormat="1" applyFont="1"/>
    <xf numFmtId="177" fontId="12" fillId="0" borderId="0" xfId="0" applyNumberFormat="1" applyFont="1" applyAlignment="1">
      <alignment horizontal="center"/>
    </xf>
    <xf numFmtId="176" fontId="23" fillId="0" borderId="0" xfId="41" applyNumberFormat="1" applyFont="1" applyAlignment="1" applyProtection="1">
      <alignment horizontal="right"/>
      <protection locked="0"/>
    </xf>
    <xf numFmtId="178" fontId="15" fillId="0" borderId="0" xfId="0" applyNumberFormat="1" applyFont="1"/>
    <xf numFmtId="0" fontId="34" fillId="0" borderId="0" xfId="20" applyFont="1"/>
    <xf numFmtId="17" fontId="16" fillId="0" borderId="0" xfId="20" applyNumberFormat="1" applyFont="1" applyAlignment="1">
      <alignment horizontal="center" wrapText="1"/>
    </xf>
    <xf numFmtId="0" fontId="15" fillId="0" borderId="4" xfId="0" applyFont="1" applyBorder="1" applyAlignment="1">
      <alignment wrapText="1"/>
    </xf>
    <xf numFmtId="0" fontId="15" fillId="0" borderId="4" xfId="0" applyFont="1" applyBorder="1" applyAlignment="1">
      <alignment horizontal="center" vertical="top" wrapText="1"/>
    </xf>
    <xf numFmtId="0" fontId="14" fillId="0" borderId="7" xfId="20" applyFont="1" applyBorder="1" applyAlignment="1">
      <alignment horizontal="right"/>
    </xf>
    <xf numFmtId="14" fontId="16" fillId="0" borderId="7" xfId="20" quotePrefix="1" applyNumberFormat="1" applyFont="1" applyBorder="1" applyAlignment="1">
      <alignment horizontal="right"/>
    </xf>
    <xf numFmtId="17" fontId="16" fillId="0" borderId="7" xfId="20" applyNumberFormat="1" applyFont="1" applyBorder="1" applyAlignment="1">
      <alignment horizontal="center" wrapText="1"/>
    </xf>
    <xf numFmtId="0" fontId="15" fillId="0" borderId="7" xfId="0" applyFont="1" applyBorder="1"/>
    <xf numFmtId="0" fontId="14" fillId="0" borderId="0" xfId="20" applyFont="1" applyAlignment="1">
      <alignment horizontal="right"/>
    </xf>
    <xf numFmtId="177" fontId="15" fillId="9" borderId="0" xfId="6" applyNumberFormat="1" applyFont="1" applyFill="1"/>
    <xf numFmtId="177" fontId="15" fillId="0" borderId="0" xfId="6" applyNumberFormat="1" applyFont="1" applyFill="1"/>
    <xf numFmtId="177" fontId="15" fillId="0" borderId="0" xfId="6" applyNumberFormat="1" applyFont="1"/>
    <xf numFmtId="0" fontId="15" fillId="0" borderId="21" xfId="0" applyFont="1" applyBorder="1"/>
    <xf numFmtId="1" fontId="15" fillId="9" borderId="22" xfId="0" applyNumberFormat="1" applyFont="1" applyFill="1" applyBorder="1"/>
    <xf numFmtId="165" fontId="0" fillId="0" borderId="0" xfId="40" applyNumberFormat="1" applyFont="1" applyFill="1"/>
    <xf numFmtId="0" fontId="15" fillId="0" borderId="22" xfId="0" applyFont="1" applyBorder="1"/>
    <xf numFmtId="165" fontId="0" fillId="0" borderId="0" xfId="40" applyNumberFormat="1" applyFont="1" applyFill="1" applyBorder="1"/>
    <xf numFmtId="44" fontId="15" fillId="0" borderId="0" xfId="6" applyFont="1" applyFill="1" applyBorder="1"/>
    <xf numFmtId="0" fontId="15" fillId="0" borderId="9" xfId="0" applyFont="1" applyBorder="1"/>
    <xf numFmtId="1" fontId="15" fillId="9" borderId="9" xfId="0" applyNumberFormat="1" applyFont="1" applyFill="1" applyBorder="1"/>
    <xf numFmtId="1" fontId="17" fillId="0" borderId="0" xfId="20" applyNumberFormat="1" applyFont="1"/>
    <xf numFmtId="1" fontId="14" fillId="0" borderId="0" xfId="20" applyNumberFormat="1" applyFont="1"/>
    <xf numFmtId="1" fontId="24" fillId="0" borderId="0" xfId="0" applyNumberFormat="1" applyFont="1" applyAlignment="1">
      <alignment horizontal="center" wrapText="1"/>
    </xf>
    <xf numFmtId="1" fontId="15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0" fontId="12" fillId="0" borderId="0" xfId="24" applyNumberFormat="1" applyFont="1" applyAlignment="1">
      <alignment horizontal="center"/>
    </xf>
    <xf numFmtId="9" fontId="15" fillId="0" borderId="0" xfId="40" applyFont="1"/>
    <xf numFmtId="172" fontId="23" fillId="11" borderId="0" xfId="3" applyNumberFormat="1" applyFont="1" applyFill="1" applyBorder="1" applyAlignment="1">
      <alignment horizontal="center"/>
    </xf>
    <xf numFmtId="3" fontId="15" fillId="11" borderId="0" xfId="0" applyNumberFormat="1" applyFont="1" applyFill="1"/>
    <xf numFmtId="1" fontId="15" fillId="11" borderId="0" xfId="0" applyNumberFormat="1" applyFont="1" applyFill="1"/>
    <xf numFmtId="44" fontId="25" fillId="0" borderId="0" xfId="6" applyFont="1" applyFill="1" applyBorder="1"/>
    <xf numFmtId="165" fontId="15" fillId="0" borderId="0" xfId="24" applyNumberFormat="1" applyFont="1" applyFill="1" applyBorder="1"/>
    <xf numFmtId="44" fontId="15" fillId="12" borderId="0" xfId="6" applyFont="1" applyFill="1" applyBorder="1"/>
    <xf numFmtId="44" fontId="23" fillId="0" borderId="22" xfId="1" applyNumberFormat="1" applyFont="1" applyBorder="1" applyAlignment="1">
      <alignment horizontal="center"/>
    </xf>
    <xf numFmtId="44" fontId="23" fillId="0" borderId="30" xfId="1" applyNumberFormat="1" applyFont="1" applyBorder="1" applyAlignment="1">
      <alignment horizontal="center"/>
    </xf>
    <xf numFmtId="44" fontId="23" fillId="0" borderId="27" xfId="1" applyNumberFormat="1" applyFont="1" applyBorder="1" applyAlignment="1">
      <alignment horizontal="center"/>
    </xf>
    <xf numFmtId="44" fontId="23" fillId="0" borderId="25" xfId="1" applyNumberFormat="1" applyFont="1" applyBorder="1" applyAlignment="1">
      <alignment horizontal="center"/>
    </xf>
    <xf numFmtId="1" fontId="15" fillId="0" borderId="9" xfId="0" applyNumberFormat="1" applyFont="1" applyBorder="1"/>
    <xf numFmtId="1" fontId="15" fillId="0" borderId="4" xfId="0" applyNumberFormat="1" applyFont="1" applyBorder="1"/>
    <xf numFmtId="10" fontId="12" fillId="9" borderId="0" xfId="40" applyNumberFormat="1" applyFont="1" applyFill="1" applyAlignment="1">
      <alignment horizontal="center"/>
    </xf>
    <xf numFmtId="10" fontId="15" fillId="0" borderId="0" xfId="40" applyNumberFormat="1" applyFont="1"/>
    <xf numFmtId="6" fontId="12" fillId="0" borderId="0" xfId="0" applyNumberFormat="1" applyFont="1"/>
    <xf numFmtId="0" fontId="15" fillId="10" borderId="0" xfId="0" applyFont="1" applyFill="1"/>
    <xf numFmtId="179" fontId="12" fillId="0" borderId="0" xfId="3" applyNumberFormat="1" applyFont="1" applyFill="1"/>
    <xf numFmtId="0" fontId="0" fillId="13" borderId="0" xfId="0" applyFill="1"/>
    <xf numFmtId="172" fontId="15" fillId="0" borderId="0" xfId="39" applyNumberFormat="1" applyFont="1" applyFill="1"/>
    <xf numFmtId="177" fontId="12" fillId="0" borderId="0" xfId="0" applyNumberFormat="1" applyFont="1" applyAlignment="1">
      <alignment horizontal="right"/>
    </xf>
    <xf numFmtId="0" fontId="14" fillId="10" borderId="0" xfId="20" applyFont="1" applyFill="1" applyAlignment="1">
      <alignment horizontal="right"/>
    </xf>
    <xf numFmtId="177" fontId="15" fillId="10" borderId="0" xfId="6" applyNumberFormat="1" applyFont="1" applyFill="1"/>
    <xf numFmtId="172" fontId="38" fillId="0" borderId="0" xfId="0" applyNumberFormat="1" applyFont="1"/>
    <xf numFmtId="0" fontId="38" fillId="0" borderId="0" xfId="0" applyFont="1" applyAlignment="1">
      <alignment horizontal="center"/>
    </xf>
    <xf numFmtId="14" fontId="24" fillId="0" borderId="0" xfId="0" applyNumberFormat="1" applyFont="1" applyAlignment="1">
      <alignment horizontal="center" wrapText="1"/>
    </xf>
    <xf numFmtId="49" fontId="23" fillId="0" borderId="4" xfId="1" quotePrefix="1" applyNumberFormat="1" applyFont="1" applyBorder="1" applyAlignment="1">
      <alignment horizontal="center" wrapText="1"/>
    </xf>
    <xf numFmtId="0" fontId="24" fillId="0" borderId="0" xfId="1" applyFont="1" applyAlignment="1">
      <alignment horizontal="center"/>
    </xf>
    <xf numFmtId="172" fontId="15" fillId="0" borderId="0" xfId="0" applyNumberFormat="1" applyFont="1"/>
    <xf numFmtId="14" fontId="0" fillId="0" borderId="0" xfId="0" applyNumberFormat="1" applyAlignment="1">
      <alignment horizontal="left"/>
    </xf>
    <xf numFmtId="3" fontId="1" fillId="0" borderId="6" xfId="0" applyNumberFormat="1" applyFont="1" applyBorder="1"/>
    <xf numFmtId="173" fontId="0" fillId="0" borderId="0" xfId="35" applyNumberFormat="1" applyFont="1" applyFill="1"/>
    <xf numFmtId="172" fontId="18" fillId="0" borderId="0" xfId="39" applyNumberFormat="1" applyFont="1" applyFill="1"/>
    <xf numFmtId="43" fontId="0" fillId="7" borderId="0" xfId="39" applyFont="1" applyFill="1" applyAlignment="1">
      <alignment horizontal="right"/>
    </xf>
    <xf numFmtId="0" fontId="0" fillId="7" borderId="0" xfId="0" applyFill="1" applyAlignment="1">
      <alignment horizontal="right"/>
    </xf>
    <xf numFmtId="5" fontId="19" fillId="7" borderId="0" xfId="0" applyNumberFormat="1" applyFont="1" applyFill="1" applyAlignment="1">
      <alignment horizontal="right"/>
    </xf>
    <xf numFmtId="172" fontId="23" fillId="0" borderId="0" xfId="3" applyNumberFormat="1" applyFont="1" applyAlignment="1">
      <alignment horizontal="center"/>
    </xf>
    <xf numFmtId="9" fontId="15" fillId="0" borderId="0" xfId="40" applyFont="1" applyAlignment="1">
      <alignment horizontal="center"/>
    </xf>
    <xf numFmtId="0" fontId="26" fillId="0" borderId="26" xfId="0" applyFont="1" applyBorder="1" applyAlignment="1">
      <alignment horizontal="center"/>
    </xf>
    <xf numFmtId="172" fontId="23" fillId="0" borderId="7" xfId="3" applyNumberFormat="1" applyFont="1" applyBorder="1" applyAlignment="1">
      <alignment horizontal="center"/>
    </xf>
    <xf numFmtId="172" fontId="23" fillId="0" borderId="0" xfId="3" applyNumberFormat="1" applyFont="1" applyAlignment="1">
      <alignment horizontal="center" wrapText="1"/>
    </xf>
    <xf numFmtId="10" fontId="12" fillId="9" borderId="32" xfId="40" applyNumberFormat="1" applyFont="1" applyFill="1" applyBorder="1" applyAlignment="1">
      <alignment horizontal="center"/>
    </xf>
    <xf numFmtId="0" fontId="15" fillId="14" borderId="0" xfId="0" applyFont="1" applyFill="1"/>
    <xf numFmtId="43" fontId="12" fillId="0" borderId="0" xfId="3" applyFont="1"/>
    <xf numFmtId="0" fontId="12" fillId="0" borderId="32" xfId="0" applyFont="1" applyBorder="1"/>
    <xf numFmtId="172" fontId="15" fillId="0" borderId="0" xfId="39" applyNumberFormat="1" applyFont="1"/>
    <xf numFmtId="165" fontId="0" fillId="0" borderId="0" xfId="40" applyNumberFormat="1" applyFont="1" applyAlignment="1">
      <alignment horizontal="right"/>
    </xf>
    <xf numFmtId="0" fontId="14" fillId="14" borderId="0" xfId="20" applyFont="1" applyFill="1" applyAlignment="1">
      <alignment horizontal="right"/>
    </xf>
    <xf numFmtId="177" fontId="15" fillId="14" borderId="0" xfId="6" applyNumberFormat="1" applyFont="1" applyFill="1"/>
    <xf numFmtId="165" fontId="0" fillId="0" borderId="0" xfId="40" applyNumberFormat="1" applyFont="1"/>
    <xf numFmtId="44" fontId="15" fillId="0" borderId="0" xfId="6" applyFont="1"/>
    <xf numFmtId="165" fontId="15" fillId="0" borderId="0" xfId="24" applyNumberFormat="1" applyFont="1"/>
    <xf numFmtId="44" fontId="15" fillId="12" borderId="0" xfId="6" applyFont="1" applyFill="1"/>
    <xf numFmtId="44" fontId="25" fillId="0" borderId="0" xfId="6" applyFont="1"/>
    <xf numFmtId="9" fontId="31" fillId="0" borderId="0" xfId="40" applyFont="1" applyFill="1" applyAlignment="1">
      <alignment horizontal="right"/>
    </xf>
    <xf numFmtId="174" fontId="23" fillId="0" borderId="20" xfId="1" applyNumberFormat="1" applyFont="1" applyBorder="1" applyAlignment="1">
      <alignment horizontal="center"/>
    </xf>
    <xf numFmtId="174" fontId="23" fillId="0" borderId="25" xfId="1" applyNumberFormat="1" applyFont="1" applyBorder="1" applyAlignment="1">
      <alignment horizontal="center"/>
    </xf>
    <xf numFmtId="14" fontId="23" fillId="0" borderId="21" xfId="1" quotePrefix="1" applyNumberFormat="1" applyFont="1" applyBorder="1" applyAlignment="1">
      <alignment horizontal="center" wrapText="1"/>
    </xf>
    <xf numFmtId="0" fontId="15" fillId="0" borderId="21" xfId="0" applyFont="1" applyBorder="1" applyAlignment="1">
      <alignment horizontal="right"/>
    </xf>
    <xf numFmtId="0" fontId="15" fillId="0" borderId="22" xfId="0" applyFont="1" applyBorder="1" applyAlignment="1">
      <alignment horizontal="right"/>
    </xf>
    <xf numFmtId="0" fontId="15" fillId="0" borderId="9" xfId="0" applyFont="1" applyBorder="1" applyAlignment="1">
      <alignment horizontal="right"/>
    </xf>
    <xf numFmtId="37" fontId="15" fillId="0" borderId="0" xfId="0" applyNumberFormat="1" applyFont="1"/>
    <xf numFmtId="17" fontId="0" fillId="0" borderId="0" xfId="0" applyNumberFormat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72" fontId="41" fillId="0" borderId="9" xfId="3" applyNumberFormat="1" applyFont="1" applyFill="1" applyBorder="1" applyAlignment="1">
      <alignment horizontal="right"/>
    </xf>
    <xf numFmtId="43" fontId="0" fillId="0" borderId="0" xfId="39" applyFont="1" applyFill="1"/>
    <xf numFmtId="10" fontId="12" fillId="9" borderId="0" xfId="40" applyNumberFormat="1" applyFont="1" applyFill="1" applyAlignment="1">
      <alignment horizontal="right"/>
    </xf>
    <xf numFmtId="177" fontId="15" fillId="9" borderId="31" xfId="6" applyNumberFormat="1" applyFont="1" applyFill="1" applyBorder="1"/>
    <xf numFmtId="2" fontId="15" fillId="0" borderId="0" xfId="24" applyNumberFormat="1" applyFont="1" applyFill="1" applyBorder="1"/>
    <xf numFmtId="181" fontId="15" fillId="0" borderId="0" xfId="0" applyNumberFormat="1" applyFont="1"/>
    <xf numFmtId="37" fontId="1" fillId="8" borderId="6" xfId="0" applyNumberFormat="1" applyFont="1" applyFill="1" applyBorder="1"/>
    <xf numFmtId="182" fontId="0" fillId="0" borderId="0" xfId="0" applyNumberFormat="1"/>
    <xf numFmtId="183" fontId="12" fillId="0" borderId="0" xfId="0" applyNumberFormat="1" applyFont="1"/>
    <xf numFmtId="177" fontId="15" fillId="0" borderId="0" xfId="0" applyNumberFormat="1" applyFont="1"/>
    <xf numFmtId="0" fontId="15" fillId="15" borderId="0" xfId="0" applyFont="1" applyFill="1"/>
    <xf numFmtId="9" fontId="31" fillId="15" borderId="0" xfId="40" applyFont="1" applyFill="1" applyAlignment="1">
      <alignment horizontal="right"/>
    </xf>
    <xf numFmtId="172" fontId="12" fillId="0" borderId="0" xfId="39" applyNumberFormat="1" applyFont="1" applyFill="1" applyAlignment="1">
      <alignment horizontal="center"/>
    </xf>
    <xf numFmtId="0" fontId="12" fillId="0" borderId="21" xfId="0" applyFont="1" applyBorder="1" applyAlignment="1">
      <alignment horizontal="center"/>
    </xf>
    <xf numFmtId="172" fontId="12" fillId="0" borderId="22" xfId="3" applyNumberFormat="1" applyFont="1" applyFill="1" applyBorder="1"/>
    <xf numFmtId="43" fontId="15" fillId="7" borderId="0" xfId="39" applyFont="1" applyFill="1"/>
    <xf numFmtId="0" fontId="15" fillId="7" borderId="0" xfId="0" applyFont="1" applyFill="1"/>
    <xf numFmtId="5" fontId="23" fillId="7" borderId="0" xfId="0" applyNumberFormat="1" applyFont="1" applyFill="1"/>
    <xf numFmtId="0" fontId="23" fillId="0" borderId="8" xfId="1" applyFont="1" applyBorder="1" applyAlignment="1">
      <alignment horizontal="center"/>
    </xf>
    <xf numFmtId="14" fontId="23" fillId="0" borderId="4" xfId="1" applyNumberFormat="1" applyFont="1" applyBorder="1" applyAlignment="1">
      <alignment horizontal="center" wrapText="1"/>
    </xf>
    <xf numFmtId="165" fontId="23" fillId="0" borderId="27" xfId="40" applyNumberFormat="1" applyFont="1" applyBorder="1" applyAlignment="1">
      <alignment horizontal="center"/>
    </xf>
    <xf numFmtId="0" fontId="42" fillId="0" borderId="0" xfId="0" applyFont="1"/>
    <xf numFmtId="0" fontId="42" fillId="0" borderId="0" xfId="20" applyFont="1"/>
    <xf numFmtId="184" fontId="12" fillId="0" borderId="0" xfId="0" applyNumberFormat="1" applyFont="1"/>
    <xf numFmtId="185" fontId="12" fillId="0" borderId="0" xfId="0" applyNumberFormat="1" applyFont="1"/>
    <xf numFmtId="172" fontId="12" fillId="0" borderId="0" xfId="39" applyNumberFormat="1" applyFont="1" applyFill="1"/>
    <xf numFmtId="38" fontId="15" fillId="0" borderId="0" xfId="0" applyNumberFormat="1" applyFont="1"/>
    <xf numFmtId="165" fontId="23" fillId="0" borderId="30" xfId="40" applyNumberFormat="1" applyFont="1" applyBorder="1" applyAlignment="1">
      <alignment horizontal="center"/>
    </xf>
    <xf numFmtId="165" fontId="23" fillId="0" borderId="25" xfId="40" applyNumberFormat="1" applyFont="1" applyBorder="1" applyAlignment="1">
      <alignment horizontal="center"/>
    </xf>
    <xf numFmtId="0" fontId="32" fillId="0" borderId="0" xfId="0" applyFont="1"/>
    <xf numFmtId="177" fontId="15" fillId="0" borderId="0" xfId="6" applyNumberFormat="1" applyFont="1" applyFill="1" applyBorder="1"/>
    <xf numFmtId="44" fontId="15" fillId="0" borderId="0" xfId="6" applyFont="1" applyFill="1"/>
    <xf numFmtId="44" fontId="25" fillId="0" borderId="0" xfId="6" applyFont="1" applyFill="1"/>
    <xf numFmtId="0" fontId="25" fillId="0" borderId="0" xfId="0" applyFont="1" applyAlignment="1">
      <alignment wrapText="1"/>
    </xf>
    <xf numFmtId="181" fontId="15" fillId="0" borderId="0" xfId="0" applyNumberFormat="1" applyFont="1" applyAlignment="1">
      <alignment horizontal="center"/>
    </xf>
    <xf numFmtId="37" fontId="0" fillId="6" borderId="0" xfId="0" applyNumberFormat="1" applyFill="1"/>
    <xf numFmtId="0" fontId="23" fillId="0" borderId="29" xfId="1" applyFont="1" applyBorder="1" applyAlignment="1">
      <alignment horizontal="right"/>
    </xf>
    <xf numFmtId="0" fontId="23" fillId="0" borderId="30" xfId="1" applyFont="1" applyBorder="1" applyAlignment="1">
      <alignment horizontal="right"/>
    </xf>
    <xf numFmtId="17" fontId="15" fillId="0" borderId="0" xfId="6" applyNumberFormat="1" applyFont="1" applyAlignment="1">
      <alignment horizontal="center"/>
    </xf>
    <xf numFmtId="17" fontId="15" fillId="0" borderId="0" xfId="6" quotePrefix="1" applyNumberFormat="1" applyFont="1" applyAlignment="1">
      <alignment horizontal="center"/>
    </xf>
    <xf numFmtId="44" fontId="15" fillId="0" borderId="0" xfId="0" applyNumberFormat="1" applyFont="1"/>
    <xf numFmtId="165" fontId="23" fillId="0" borderId="40" xfId="22" applyNumberFormat="1" applyFont="1" applyFill="1" applyBorder="1" applyAlignment="1">
      <alignment horizontal="center"/>
    </xf>
    <xf numFmtId="0" fontId="23" fillId="0" borderId="41" xfId="1" applyFont="1" applyBorder="1" applyAlignment="1">
      <alignment horizontal="center" wrapText="1"/>
    </xf>
    <xf numFmtId="165" fontId="23" fillId="0" borderId="30" xfId="40" applyNumberFormat="1" applyFont="1" applyFill="1" applyBorder="1" applyAlignment="1">
      <alignment horizontal="center"/>
    </xf>
    <xf numFmtId="165" fontId="23" fillId="0" borderId="42" xfId="22" applyNumberFormat="1" applyFont="1" applyFill="1" applyBorder="1" applyAlignment="1">
      <alignment horizontal="center"/>
    </xf>
    <xf numFmtId="165" fontId="23" fillId="0" borderId="25" xfId="40" applyNumberFormat="1" applyFont="1" applyFill="1" applyBorder="1" applyAlignment="1">
      <alignment horizontal="center"/>
    </xf>
    <xf numFmtId="165" fontId="23" fillId="0" borderId="38" xfId="22" applyNumberFormat="1" applyFont="1" applyFill="1" applyBorder="1" applyAlignment="1">
      <alignment horizontal="center"/>
    </xf>
    <xf numFmtId="165" fontId="23" fillId="0" borderId="27" xfId="40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2" fontId="15" fillId="0" borderId="0" xfId="0" applyNumberFormat="1" applyFont="1"/>
    <xf numFmtId="186" fontId="15" fillId="0" borderId="0" xfId="0" applyNumberFormat="1" applyFont="1"/>
    <xf numFmtId="39" fontId="15" fillId="0" borderId="0" xfId="0" applyNumberFormat="1" applyFont="1"/>
    <xf numFmtId="9" fontId="12" fillId="0" borderId="0" xfId="40" applyFont="1"/>
    <xf numFmtId="10" fontId="12" fillId="0" borderId="0" xfId="40" applyNumberFormat="1" applyFont="1"/>
    <xf numFmtId="10" fontId="14" fillId="0" borderId="0" xfId="40" applyNumberFormat="1" applyFont="1"/>
    <xf numFmtId="2" fontId="15" fillId="0" borderId="0" xfId="40" applyNumberFormat="1" applyFont="1" applyBorder="1"/>
    <xf numFmtId="10" fontId="15" fillId="0" borderId="0" xfId="40" applyNumberFormat="1" applyFont="1" applyBorder="1"/>
    <xf numFmtId="43" fontId="12" fillId="0" borderId="0" xfId="0" applyNumberFormat="1" applyFont="1" applyAlignment="1">
      <alignment horizontal="right"/>
    </xf>
    <xf numFmtId="43" fontId="15" fillId="0" borderId="0" xfId="39" applyFont="1"/>
    <xf numFmtId="184" fontId="15" fillId="0" borderId="0" xfId="0" applyNumberFormat="1" applyFont="1"/>
    <xf numFmtId="0" fontId="13" fillId="0" borderId="0" xfId="0" applyFont="1"/>
    <xf numFmtId="0" fontId="23" fillId="11" borderId="4" xfId="1" applyFont="1" applyFill="1" applyBorder="1" applyAlignment="1">
      <alignment horizontal="center"/>
    </xf>
    <xf numFmtId="0" fontId="15" fillId="11" borderId="0" xfId="0" applyFont="1" applyFill="1" applyAlignment="1">
      <alignment horizontal="right"/>
    </xf>
    <xf numFmtId="0" fontId="15" fillId="11" borderId="7" xfId="0" applyFont="1" applyFill="1" applyBorder="1" applyAlignment="1">
      <alignment horizontal="right"/>
    </xf>
    <xf numFmtId="172" fontId="12" fillId="11" borderId="0" xfId="3" applyNumberFormat="1" applyFont="1" applyFill="1"/>
    <xf numFmtId="0" fontId="39" fillId="0" borderId="0" xfId="0" applyFont="1" applyAlignment="1">
      <alignment horizontal="center"/>
    </xf>
    <xf numFmtId="44" fontId="39" fillId="0" borderId="0" xfId="0" applyNumberFormat="1" applyFont="1" applyAlignment="1">
      <alignment horizontal="center"/>
    </xf>
    <xf numFmtId="0" fontId="0" fillId="0" borderId="7" xfId="0" applyBorder="1" applyAlignment="1">
      <alignment horizontal="left" wrapText="1"/>
    </xf>
    <xf numFmtId="3" fontId="39" fillId="0" borderId="0" xfId="0" applyNumberFormat="1" applyFont="1"/>
    <xf numFmtId="0" fontId="36" fillId="0" borderId="0" xfId="0" applyFont="1" applyAlignment="1">
      <alignment vertical="center"/>
    </xf>
    <xf numFmtId="172" fontId="35" fillId="0" borderId="0" xfId="0" applyNumberFormat="1" applyFont="1" applyAlignment="1">
      <alignment vertical="center"/>
    </xf>
    <xf numFmtId="187" fontId="23" fillId="0" borderId="4" xfId="1" applyNumberFormat="1" applyFont="1" applyBorder="1" applyAlignment="1">
      <alignment horizontal="center" wrapText="1"/>
    </xf>
    <xf numFmtId="164" fontId="47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6" fontId="1" fillId="0" borderId="7" xfId="0" quotePrefix="1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/>
    </xf>
    <xf numFmtId="0" fontId="39" fillId="0" borderId="0" xfId="0" applyFont="1"/>
    <xf numFmtId="0" fontId="48" fillId="0" borderId="0" xfId="0" applyFont="1"/>
    <xf numFmtId="10" fontId="12" fillId="0" borderId="0" xfId="24" applyNumberFormat="1" applyFont="1" applyFill="1" applyAlignment="1">
      <alignment horizontal="center"/>
    </xf>
    <xf numFmtId="10" fontId="12" fillId="0" borderId="0" xfId="40" applyNumberFormat="1" applyFont="1" applyFill="1" applyAlignment="1">
      <alignment horizontal="right"/>
    </xf>
    <xf numFmtId="172" fontId="12" fillId="0" borderId="0" xfId="39" applyNumberFormat="1" applyFont="1" applyFill="1" applyBorder="1" applyAlignment="1">
      <alignment horizontal="center"/>
    </xf>
    <xf numFmtId="191" fontId="12" fillId="0" borderId="0" xfId="0" applyNumberFormat="1" applyFont="1" applyAlignment="1">
      <alignment horizontal="center"/>
    </xf>
    <xf numFmtId="191" fontId="12" fillId="0" borderId="0" xfId="0" applyNumberFormat="1" applyFont="1"/>
    <xf numFmtId="192" fontId="15" fillId="0" borderId="0" xfId="0" applyNumberFormat="1" applyFont="1"/>
    <xf numFmtId="43" fontId="12" fillId="0" borderId="0" xfId="0" applyNumberFormat="1" applyFont="1" applyAlignment="1">
      <alignment horizontal="center" wrapText="1"/>
    </xf>
    <xf numFmtId="10" fontId="15" fillId="0" borderId="0" xfId="40" applyNumberFormat="1" applyFont="1" applyFill="1"/>
    <xf numFmtId="184" fontId="15" fillId="0" borderId="0" xfId="40" applyNumberFormat="1" applyFont="1" applyBorder="1"/>
    <xf numFmtId="0" fontId="12" fillId="0" borderId="35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0" fontId="12" fillId="9" borderId="0" xfId="24" applyNumberFormat="1" applyFont="1" applyFill="1" applyBorder="1" applyAlignment="1">
      <alignment horizontal="center"/>
    </xf>
    <xf numFmtId="10" fontId="12" fillId="9" borderId="30" xfId="24" applyNumberFormat="1" applyFont="1" applyFill="1" applyBorder="1" applyAlignment="1">
      <alignment horizontal="center"/>
    </xf>
    <xf numFmtId="10" fontId="12" fillId="9" borderId="32" xfId="24" applyNumberFormat="1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10" fontId="20" fillId="0" borderId="0" xfId="40" applyNumberFormat="1" applyFont="1" applyFill="1" applyBorder="1" applyAlignment="1">
      <alignment horizontal="center"/>
    </xf>
    <xf numFmtId="9" fontId="0" fillId="0" borderId="0" xfId="40" applyFont="1"/>
    <xf numFmtId="9" fontId="0" fillId="0" borderId="0" xfId="35" applyNumberFormat="1" applyFont="1"/>
    <xf numFmtId="9" fontId="49" fillId="0" borderId="0" xfId="35" applyNumberFormat="1" applyFont="1"/>
    <xf numFmtId="9" fontId="49" fillId="0" borderId="0" xfId="40" applyFont="1"/>
    <xf numFmtId="175" fontId="12" fillId="0" borderId="0" xfId="0" applyNumberFormat="1" applyFont="1"/>
    <xf numFmtId="37" fontId="39" fillId="0" borderId="0" xfId="0" applyNumberFormat="1" applyFont="1"/>
    <xf numFmtId="37" fontId="39" fillId="0" borderId="0" xfId="0" applyNumberFormat="1" applyFont="1" applyAlignment="1">
      <alignment horizontal="center"/>
    </xf>
    <xf numFmtId="0" fontId="23" fillId="0" borderId="26" xfId="1" applyFont="1" applyBorder="1" applyAlignment="1">
      <alignment horizontal="right"/>
    </xf>
    <xf numFmtId="172" fontId="0" fillId="0" borderId="0" xfId="39" applyNumberFormat="1" applyFont="1" applyFill="1" applyBorder="1"/>
    <xf numFmtId="49" fontId="16" fillId="0" borderId="7" xfId="20" quotePrefix="1" applyNumberFormat="1" applyFont="1" applyBorder="1" applyAlignment="1">
      <alignment horizontal="right"/>
    </xf>
    <xf numFmtId="0" fontId="50" fillId="0" borderId="0" xfId="0" applyFont="1"/>
    <xf numFmtId="10" fontId="12" fillId="0" borderId="0" xfId="40" applyNumberFormat="1" applyFont="1" applyFill="1" applyAlignment="1">
      <alignment horizontal="center"/>
    </xf>
    <xf numFmtId="0" fontId="15" fillId="0" borderId="36" xfId="0" applyFont="1" applyBorder="1"/>
    <xf numFmtId="172" fontId="12" fillId="0" borderId="0" xfId="39" applyNumberFormat="1" applyFont="1" applyFill="1" applyBorder="1"/>
    <xf numFmtId="173" fontId="12" fillId="0" borderId="0" xfId="35" applyNumberFormat="1" applyFont="1" applyFill="1" applyBorder="1"/>
    <xf numFmtId="176" fontId="51" fillId="0" borderId="0" xfId="42" quotePrefix="1" applyNumberFormat="1" applyFont="1" applyAlignment="1">
      <alignment horizontal="right"/>
    </xf>
    <xf numFmtId="0" fontId="52" fillId="0" borderId="0" xfId="0" applyFont="1"/>
    <xf numFmtId="0" fontId="53" fillId="0" borderId="0" xfId="0" applyFont="1"/>
    <xf numFmtId="0" fontId="53" fillId="0" borderId="0" xfId="0" applyFont="1" applyAlignment="1">
      <alignment wrapText="1"/>
    </xf>
    <xf numFmtId="0" fontId="53" fillId="0" borderId="0" xfId="0" applyFont="1" applyAlignment="1">
      <alignment horizontal="center" vertical="top" wrapText="1"/>
    </xf>
    <xf numFmtId="0" fontId="53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53" fillId="0" borderId="0" xfId="0" applyFont="1" applyAlignment="1">
      <alignment horizontal="right"/>
    </xf>
    <xf numFmtId="1" fontId="53" fillId="0" borderId="0" xfId="0" applyNumberFormat="1" applyFont="1"/>
    <xf numFmtId="165" fontId="54" fillId="0" borderId="0" xfId="40" applyNumberFormat="1" applyFont="1" applyFill="1" applyBorder="1" applyAlignment="1">
      <alignment horizontal="right"/>
    </xf>
    <xf numFmtId="0" fontId="15" fillId="0" borderId="32" xfId="0" applyFont="1" applyBorder="1"/>
    <xf numFmtId="1" fontId="15" fillId="11" borderId="21" xfId="6" applyNumberFormat="1" applyFont="1" applyFill="1" applyBorder="1"/>
    <xf numFmtId="165" fontId="0" fillId="0" borderId="22" xfId="40" applyNumberFormat="1" applyFont="1" applyFill="1" applyBorder="1"/>
    <xf numFmtId="1" fontId="0" fillId="0" borderId="22" xfId="40" applyNumberFormat="1" applyFont="1" applyFill="1" applyBorder="1"/>
    <xf numFmtId="1" fontId="15" fillId="11" borderId="22" xfId="6" applyNumberFormat="1" applyFont="1" applyFill="1" applyBorder="1"/>
    <xf numFmtId="0" fontId="15" fillId="0" borderId="33" xfId="0" applyFont="1" applyBorder="1"/>
    <xf numFmtId="1" fontId="15" fillId="11" borderId="9" xfId="6" applyNumberFormat="1" applyFont="1" applyFill="1" applyBorder="1"/>
    <xf numFmtId="165" fontId="0" fillId="0" borderId="9" xfId="40" applyNumberFormat="1" applyFont="1" applyFill="1" applyBorder="1"/>
    <xf numFmtId="1" fontId="0" fillId="0" borderId="9" xfId="40" applyNumberFormat="1" applyFont="1" applyFill="1" applyBorder="1"/>
    <xf numFmtId="0" fontId="14" fillId="0" borderId="0" xfId="20" quotePrefix="1" applyFont="1" applyAlignment="1">
      <alignment horizontal="right"/>
    </xf>
    <xf numFmtId="180" fontId="2" fillId="0" borderId="0" xfId="62" applyFont="1"/>
    <xf numFmtId="180" fontId="6" fillId="0" borderId="0" xfId="62" applyAlignment="1">
      <alignment horizontal="left"/>
    </xf>
    <xf numFmtId="180" fontId="55" fillId="0" borderId="0" xfId="62" applyFont="1" applyAlignment="1">
      <alignment horizontal="center"/>
    </xf>
    <xf numFmtId="14" fontId="24" fillId="0" borderId="7" xfId="0" applyNumberFormat="1" applyFont="1" applyBorder="1" applyAlignment="1">
      <alignment horizontal="center" wrapText="1"/>
    </xf>
    <xf numFmtId="37" fontId="6" fillId="0" borderId="0" xfId="62" applyNumberFormat="1"/>
    <xf numFmtId="165" fontId="6" fillId="0" borderId="0" xfId="24" applyNumberFormat="1" applyFont="1" applyFill="1" applyBorder="1"/>
    <xf numFmtId="165" fontId="6" fillId="0" borderId="0" xfId="24" applyNumberFormat="1" applyFont="1" applyFill="1" applyBorder="1" applyAlignment="1">
      <alignment horizontal="right"/>
    </xf>
    <xf numFmtId="40" fontId="15" fillId="0" borderId="0" xfId="0" applyNumberFormat="1" applyFont="1"/>
    <xf numFmtId="180" fontId="6" fillId="0" borderId="0" xfId="62"/>
    <xf numFmtId="9" fontId="6" fillId="0" borderId="0" xfId="24" applyFont="1" applyFill="1" applyBorder="1" applyProtection="1"/>
    <xf numFmtId="14" fontId="16" fillId="0" borderId="0" xfId="0" applyNumberFormat="1" applyFont="1" applyAlignment="1">
      <alignment horizontal="center" wrapText="1"/>
    </xf>
    <xf numFmtId="9" fontId="31" fillId="0" borderId="0" xfId="40" applyFont="1" applyFill="1" applyBorder="1" applyAlignment="1">
      <alignment horizontal="right"/>
    </xf>
    <xf numFmtId="10" fontId="12" fillId="0" borderId="0" xfId="40" applyNumberFormat="1" applyFont="1" applyFill="1" applyBorder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top" wrapText="1"/>
    </xf>
    <xf numFmtId="0" fontId="15" fillId="0" borderId="30" xfId="0" applyFont="1" applyBorder="1"/>
    <xf numFmtId="0" fontId="15" fillId="0" borderId="1" xfId="0" applyFont="1" applyBorder="1"/>
    <xf numFmtId="165" fontId="0" fillId="0" borderId="0" xfId="40" applyNumberFormat="1" applyFont="1" applyFill="1" applyBorder="1" applyAlignment="1">
      <alignment horizontal="right"/>
    </xf>
    <xf numFmtId="14" fontId="16" fillId="0" borderId="0" xfId="20" quotePrefix="1" applyNumberFormat="1" applyFont="1" applyAlignment="1">
      <alignment horizontal="right"/>
    </xf>
    <xf numFmtId="0" fontId="56" fillId="0" borderId="0" xfId="20" applyFont="1" applyAlignment="1">
      <alignment horizontal="right"/>
    </xf>
    <xf numFmtId="44" fontId="38" fillId="0" borderId="0" xfId="6" applyFont="1"/>
    <xf numFmtId="0" fontId="23" fillId="0" borderId="29" xfId="1" applyFont="1" applyBorder="1"/>
    <xf numFmtId="0" fontId="23" fillId="0" borderId="24" xfId="1" applyFont="1" applyBorder="1"/>
    <xf numFmtId="0" fontId="57" fillId="0" borderId="0" xfId="0" applyFont="1" applyAlignment="1">
      <alignment horizontal="right"/>
    </xf>
    <xf numFmtId="44" fontId="38" fillId="0" borderId="0" xfId="0" applyNumberFormat="1" applyFont="1"/>
    <xf numFmtId="174" fontId="23" fillId="0" borderId="22" xfId="1" applyNumberFormat="1" applyFont="1" applyBorder="1" applyAlignment="1">
      <alignment horizontal="center"/>
    </xf>
    <xf numFmtId="174" fontId="23" fillId="0" borderId="30" xfId="1" applyNumberFormat="1" applyFont="1" applyBorder="1" applyAlignment="1">
      <alignment horizontal="center"/>
    </xf>
    <xf numFmtId="0" fontId="23" fillId="0" borderId="19" xfId="1" applyFont="1" applyBorder="1"/>
    <xf numFmtId="165" fontId="23" fillId="0" borderId="42" xfId="22" applyNumberFormat="1" applyFont="1" applyBorder="1" applyAlignment="1">
      <alignment horizontal="center"/>
    </xf>
    <xf numFmtId="165" fontId="23" fillId="0" borderId="40" xfId="22" applyNumberFormat="1" applyFont="1" applyBorder="1" applyAlignment="1">
      <alignment horizontal="center"/>
    </xf>
    <xf numFmtId="165" fontId="23" fillId="0" borderId="38" xfId="22" applyNumberFormat="1" applyFont="1" applyBorder="1" applyAlignment="1">
      <alignment horizontal="center"/>
    </xf>
    <xf numFmtId="0" fontId="1" fillId="0" borderId="36" xfId="0" applyFont="1" applyBorder="1"/>
    <xf numFmtId="43" fontId="15" fillId="7" borderId="0" xfId="39" applyFont="1" applyFill="1" applyAlignment="1"/>
    <xf numFmtId="0" fontId="15" fillId="7" borderId="0" xfId="0" applyFont="1" applyFill="1" applyAlignment="1">
      <alignment vertical="center"/>
    </xf>
    <xf numFmtId="178" fontId="0" fillId="0" borderId="0" xfId="0" applyNumberFormat="1" applyAlignment="1">
      <alignment horizontal="center"/>
    </xf>
    <xf numFmtId="44" fontId="49" fillId="0" borderId="0" xfId="35" applyFont="1"/>
    <xf numFmtId="44" fontId="15" fillId="0" borderId="4" xfId="0" applyNumberFormat="1" applyFont="1" applyBorder="1"/>
    <xf numFmtId="10" fontId="12" fillId="9" borderId="35" xfId="24" applyNumberFormat="1" applyFont="1" applyFill="1" applyBorder="1" applyAlignment="1">
      <alignment horizontal="center"/>
    </xf>
    <xf numFmtId="10" fontId="12" fillId="9" borderId="31" xfId="24" applyNumberFormat="1" applyFont="1" applyFill="1" applyBorder="1" applyAlignment="1">
      <alignment horizontal="center"/>
    </xf>
    <xf numFmtId="10" fontId="12" fillId="9" borderId="20" xfId="24" applyNumberFormat="1" applyFont="1" applyFill="1" applyBorder="1" applyAlignment="1">
      <alignment horizontal="center"/>
    </xf>
    <xf numFmtId="10" fontId="12" fillId="9" borderId="33" xfId="24" applyNumberFormat="1" applyFont="1" applyFill="1" applyBorder="1" applyAlignment="1">
      <alignment horizontal="center"/>
    </xf>
    <xf numFmtId="10" fontId="12" fillId="9" borderId="7" xfId="24" applyNumberFormat="1" applyFont="1" applyFill="1" applyBorder="1" applyAlignment="1">
      <alignment horizontal="center"/>
    </xf>
    <xf numFmtId="10" fontId="12" fillId="9" borderId="34" xfId="24" applyNumberFormat="1" applyFont="1" applyFill="1" applyBorder="1" applyAlignment="1">
      <alignment horizontal="center"/>
    </xf>
    <xf numFmtId="9" fontId="19" fillId="0" borderId="0" xfId="40" applyFont="1" applyFill="1" applyBorder="1" applyAlignment="1">
      <alignment horizontal="center"/>
    </xf>
    <xf numFmtId="9" fontId="0" fillId="0" borderId="0" xfId="40" applyFont="1" applyAlignment="1">
      <alignment horizontal="center"/>
    </xf>
    <xf numFmtId="165" fontId="0" fillId="0" borderId="0" xfId="40" applyNumberFormat="1" applyFont="1" applyAlignment="1">
      <alignment horizontal="center"/>
    </xf>
    <xf numFmtId="180" fontId="37" fillId="0" borderId="29" xfId="43" applyFont="1" applyBorder="1" applyAlignment="1">
      <alignment vertical="top" wrapText="1"/>
    </xf>
    <xf numFmtId="180" fontId="37" fillId="0" borderId="0" xfId="43" applyFont="1" applyAlignment="1">
      <alignment vertical="top" wrapText="1"/>
    </xf>
    <xf numFmtId="49" fontId="1" fillId="0" borderId="0" xfId="0" applyNumberFormat="1" applyFont="1" applyAlignment="1">
      <alignment horizontal="right"/>
    </xf>
    <xf numFmtId="172" fontId="39" fillId="0" borderId="0" xfId="0" applyNumberFormat="1" applyFont="1"/>
    <xf numFmtId="49" fontId="24" fillId="0" borderId="0" xfId="0" applyNumberFormat="1" applyFont="1" applyAlignment="1">
      <alignment horizontal="center" wrapText="1"/>
    </xf>
    <xf numFmtId="190" fontId="0" fillId="0" borderId="0" xfId="0" applyNumberFormat="1"/>
    <xf numFmtId="0" fontId="63" fillId="0" borderId="0" xfId="0" applyFont="1" applyAlignment="1">
      <alignment horizontal="left" vertical="center" wrapText="1"/>
    </xf>
    <xf numFmtId="0" fontId="64" fillId="11" borderId="0" xfId="0" applyFont="1" applyFill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top" indent="1"/>
    </xf>
    <xf numFmtId="14" fontId="12" fillId="0" borderId="4" xfId="0" applyNumberFormat="1" applyFont="1" applyBorder="1" applyAlignment="1">
      <alignment horizontal="center" wrapText="1"/>
    </xf>
    <xf numFmtId="14" fontId="15" fillId="0" borderId="4" xfId="0" applyNumberFormat="1" applyFont="1" applyBorder="1" applyAlignment="1">
      <alignment horizontal="center"/>
    </xf>
    <xf numFmtId="184" fontId="12" fillId="0" borderId="4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184" fontId="15" fillId="0" borderId="4" xfId="0" applyNumberFormat="1" applyFont="1" applyBorder="1" applyAlignment="1">
      <alignment horizontal="center"/>
    </xf>
    <xf numFmtId="0" fontId="25" fillId="0" borderId="4" xfId="0" applyFont="1" applyBorder="1"/>
    <xf numFmtId="0" fontId="25" fillId="0" borderId="4" xfId="0" applyFont="1" applyBorder="1" applyAlignment="1">
      <alignment horizontal="center"/>
    </xf>
    <xf numFmtId="0" fontId="25" fillId="0" borderId="7" xfId="0" applyFont="1" applyBorder="1" applyAlignment="1">
      <alignment horizontal="center" wrapText="1"/>
    </xf>
    <xf numFmtId="0" fontId="24" fillId="11" borderId="0" xfId="1" applyFont="1" applyFill="1"/>
    <xf numFmtId="0" fontId="15" fillId="11" borderId="0" xfId="0" applyFont="1" applyFill="1" applyAlignment="1">
      <alignment horizontal="center"/>
    </xf>
    <xf numFmtId="0" fontId="33" fillId="0" borderId="0" xfId="0" applyFont="1"/>
    <xf numFmtId="10" fontId="12" fillId="0" borderId="0" xfId="3" applyNumberFormat="1" applyFont="1"/>
    <xf numFmtId="0" fontId="19" fillId="0" borderId="0" xfId="0" applyFont="1"/>
    <xf numFmtId="5" fontId="2" fillId="0" borderId="0" xfId="38" applyNumberFormat="1" applyFont="1" applyAlignment="1">
      <alignment horizontal="left" vertical="center"/>
    </xf>
    <xf numFmtId="3" fontId="65" fillId="0" borderId="0" xfId="0" applyNumberFormat="1" applyFont="1"/>
    <xf numFmtId="0" fontId="66" fillId="0" borderId="0" xfId="0" applyFont="1"/>
    <xf numFmtId="0" fontId="19" fillId="0" borderId="0" xfId="0" applyFont="1" applyAlignment="1">
      <alignment horizontal="right" vertical="center"/>
    </xf>
    <xf numFmtId="172" fontId="19" fillId="0" borderId="0" xfId="0" applyNumberFormat="1" applyFont="1"/>
    <xf numFmtId="197" fontId="0" fillId="0" borderId="0" xfId="0" applyNumberFormat="1"/>
    <xf numFmtId="0" fontId="30" fillId="0" borderId="0" xfId="0" applyFont="1" applyAlignment="1">
      <alignment horizontal="left"/>
    </xf>
    <xf numFmtId="1" fontId="12" fillId="0" borderId="0" xfId="39" applyNumberFormat="1" applyFont="1" applyAlignment="1">
      <alignment horizontal="center"/>
    </xf>
    <xf numFmtId="37" fontId="31" fillId="0" borderId="0" xfId="0" applyNumberFormat="1" applyFont="1" applyAlignment="1">
      <alignment horizontal="center"/>
    </xf>
    <xf numFmtId="9" fontId="31" fillId="11" borderId="0" xfId="40" applyFont="1" applyFill="1" applyAlignment="1">
      <alignment horizontal="center"/>
    </xf>
    <xf numFmtId="0" fontId="31" fillId="0" borderId="0" xfId="0" applyFont="1" applyAlignment="1">
      <alignment horizontal="center"/>
    </xf>
    <xf numFmtId="0" fontId="31" fillId="11" borderId="0" xfId="0" applyFont="1" applyFill="1" applyAlignment="1">
      <alignment horizontal="center"/>
    </xf>
    <xf numFmtId="0" fontId="31" fillId="11" borderId="0" xfId="0" applyFont="1" applyFill="1" applyAlignment="1">
      <alignment horizontal="left"/>
    </xf>
    <xf numFmtId="10" fontId="38" fillId="0" borderId="0" xfId="40" applyNumberFormat="1" applyFont="1"/>
    <xf numFmtId="192" fontId="15" fillId="11" borderId="0" xfId="0" applyNumberFormat="1" applyFont="1" applyFill="1"/>
    <xf numFmtId="192" fontId="38" fillId="0" borderId="0" xfId="0" applyNumberFormat="1" applyFont="1"/>
    <xf numFmtId="192" fontId="38" fillId="0" borderId="0" xfId="0" applyNumberFormat="1" applyFont="1" applyAlignment="1">
      <alignment horizontal="center"/>
    </xf>
    <xf numFmtId="165" fontId="15" fillId="0" borderId="0" xfId="40" applyNumberFormat="1" applyFont="1"/>
    <xf numFmtId="179" fontId="15" fillId="0" borderId="0" xfId="39" applyNumberFormat="1" applyFont="1"/>
    <xf numFmtId="198" fontId="15" fillId="0" borderId="0" xfId="39" applyNumberFormat="1" applyFont="1"/>
    <xf numFmtId="198" fontId="15" fillId="0" borderId="0" xfId="0" applyNumberFormat="1" applyFont="1"/>
    <xf numFmtId="179" fontId="38" fillId="0" borderId="0" xfId="0" applyNumberFormat="1" applyFont="1"/>
    <xf numFmtId="14" fontId="23" fillId="0" borderId="4" xfId="0" applyNumberFormat="1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184" fontId="23" fillId="0" borderId="4" xfId="0" applyNumberFormat="1" applyFont="1" applyBorder="1" applyAlignment="1">
      <alignment horizontal="center" wrapText="1"/>
    </xf>
    <xf numFmtId="199" fontId="12" fillId="0" borderId="0" xfId="3" applyNumberFormat="1" applyFont="1" applyFill="1"/>
    <xf numFmtId="199" fontId="12" fillId="9" borderId="0" xfId="0" applyNumberFormat="1" applyFont="1" applyFill="1" applyAlignment="1">
      <alignment horizontal="center"/>
    </xf>
    <xf numFmtId="9" fontId="38" fillId="0" borderId="0" xfId="40" applyFont="1"/>
    <xf numFmtId="165" fontId="38" fillId="0" borderId="29" xfId="22" applyNumberFormat="1" applyFont="1" applyBorder="1" applyAlignment="1">
      <alignment horizontal="center"/>
    </xf>
    <xf numFmtId="0" fontId="38" fillId="0" borderId="0" xfId="0" applyFont="1"/>
    <xf numFmtId="0" fontId="38" fillId="0" borderId="0" xfId="1" applyFont="1" applyAlignment="1">
      <alignment wrapText="1"/>
    </xf>
    <xf numFmtId="3" fontId="38" fillId="0" borderId="0" xfId="0" applyNumberFormat="1" applyFont="1"/>
    <xf numFmtId="3" fontId="38" fillId="0" borderId="0" xfId="0" applyNumberFormat="1" applyFont="1" applyAlignment="1">
      <alignment horizontal="right"/>
    </xf>
    <xf numFmtId="174" fontId="23" fillId="0" borderId="0" xfId="1" applyNumberFormat="1" applyFont="1" applyAlignment="1">
      <alignment horizontal="center"/>
    </xf>
    <xf numFmtId="174" fontId="23" fillId="0" borderId="26" xfId="1" applyNumberFormat="1" applyFont="1" applyBorder="1" applyAlignment="1">
      <alignment horizontal="center"/>
    </xf>
    <xf numFmtId="37" fontId="19" fillId="0" borderId="0" xfId="0" applyNumberFormat="1" applyFont="1"/>
    <xf numFmtId="172" fontId="0" fillId="0" borderId="0" xfId="39" applyNumberFormat="1" applyFont="1" applyFill="1" applyAlignment="1">
      <alignment horizontal="center"/>
    </xf>
    <xf numFmtId="14" fontId="1" fillId="0" borderId="1" xfId="0" applyNumberFormat="1" applyFont="1" applyBorder="1"/>
    <xf numFmtId="37" fontId="0" fillId="0" borderId="1" xfId="0" applyNumberFormat="1" applyBorder="1"/>
    <xf numFmtId="178" fontId="67" fillId="0" borderId="0" xfId="0" applyNumberFormat="1" applyFont="1"/>
    <xf numFmtId="190" fontId="67" fillId="0" borderId="0" xfId="35" applyNumberFormat="1" applyFont="1"/>
    <xf numFmtId="165" fontId="1" fillId="0" borderId="0" xfId="40" applyNumberFormat="1" applyFont="1" applyFill="1" applyAlignment="1">
      <alignment horizontal="center"/>
    </xf>
    <xf numFmtId="38" fontId="0" fillId="0" borderId="0" xfId="0" applyNumberFormat="1"/>
    <xf numFmtId="14" fontId="23" fillId="7" borderId="4" xfId="1" quotePrefix="1" applyNumberFormat="1" applyFont="1" applyFill="1" applyBorder="1" applyAlignment="1">
      <alignment horizontal="center" wrapText="1"/>
    </xf>
    <xf numFmtId="176" fontId="23" fillId="0" borderId="0" xfId="42" quotePrefix="1" applyNumberFormat="1" applyFont="1" applyAlignment="1">
      <alignment horizontal="left"/>
    </xf>
    <xf numFmtId="41" fontId="0" fillId="0" borderId="0" xfId="39" applyNumberFormat="1" applyFont="1" applyFill="1" applyBorder="1"/>
    <xf numFmtId="0" fontId="25" fillId="0" borderId="10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18" borderId="10" xfId="0" applyFont="1" applyFill="1" applyBorder="1" applyAlignment="1">
      <alignment horizontal="center"/>
    </xf>
    <xf numFmtId="0" fontId="25" fillId="18" borderId="11" xfId="0" applyFont="1" applyFill="1" applyBorder="1" applyAlignment="1">
      <alignment horizontal="center"/>
    </xf>
    <xf numFmtId="0" fontId="25" fillId="18" borderId="12" xfId="0" applyFont="1" applyFill="1" applyBorder="1" applyAlignment="1">
      <alignment horizontal="center"/>
    </xf>
    <xf numFmtId="0" fontId="24" fillId="0" borderId="10" xfId="1" applyFont="1" applyBorder="1" applyAlignment="1">
      <alignment horizontal="center"/>
    </xf>
    <xf numFmtId="0" fontId="24" fillId="0" borderId="11" xfId="1" applyFont="1" applyBorder="1" applyAlignment="1">
      <alignment horizontal="center"/>
    </xf>
    <xf numFmtId="0" fontId="24" fillId="0" borderId="12" xfId="1" applyFont="1" applyBorder="1" applyAlignment="1">
      <alignment horizontal="center"/>
    </xf>
    <xf numFmtId="17" fontId="0" fillId="0" borderId="0" xfId="0" applyNumberFormat="1"/>
    <xf numFmtId="0" fontId="15" fillId="0" borderId="8" xfId="0" applyFont="1" applyBorder="1"/>
    <xf numFmtId="0" fontId="15" fillId="0" borderId="36" xfId="0" applyFont="1" applyBorder="1" applyAlignment="1">
      <alignment horizontal="left" indent="20"/>
    </xf>
    <xf numFmtId="0" fontId="15" fillId="0" borderId="36" xfId="0" applyFont="1" applyBorder="1" applyAlignment="1">
      <alignment horizontal="left" indent="28"/>
    </xf>
    <xf numFmtId="0" fontId="15" fillId="0" borderId="1" xfId="0" applyFont="1" applyBorder="1" applyAlignment="1">
      <alignment horizontal="left" indent="28"/>
    </xf>
    <xf numFmtId="0" fontId="15" fillId="0" borderId="8" xfId="0" applyFont="1" applyBorder="1" applyAlignment="1">
      <alignment horizontal="left" indent="28"/>
    </xf>
    <xf numFmtId="0" fontId="15" fillId="0" borderId="0" xfId="0" applyFont="1" applyAlignment="1">
      <alignment horizontal="left" indent="23"/>
    </xf>
    <xf numFmtId="0" fontId="15" fillId="0" borderId="36" xfId="0" applyFont="1" applyBorder="1" applyAlignment="1">
      <alignment horizontal="left" indent="13"/>
    </xf>
    <xf numFmtId="0" fontId="15" fillId="0" borderId="1" xfId="0" applyFont="1" applyBorder="1" applyAlignment="1">
      <alignment horizontal="left" indent="13"/>
    </xf>
    <xf numFmtId="0" fontId="15" fillId="0" borderId="8" xfId="0" applyFont="1" applyBorder="1" applyAlignment="1">
      <alignment horizontal="left" indent="13"/>
    </xf>
    <xf numFmtId="0" fontId="20" fillId="0" borderId="1" xfId="0" applyFont="1" applyBorder="1" applyAlignment="1">
      <alignment horizontal="center" wrapText="1"/>
    </xf>
    <xf numFmtId="173" fontId="39" fillId="0" borderId="0" xfId="35" applyNumberFormat="1" applyFont="1" applyFill="1"/>
    <xf numFmtId="1" fontId="12" fillId="0" borderId="0" xfId="39" applyNumberFormat="1" applyFont="1" applyFill="1" applyAlignment="1">
      <alignment horizontal="center"/>
    </xf>
    <xf numFmtId="0" fontId="15" fillId="17" borderId="35" xfId="0" applyFont="1" applyFill="1" applyBorder="1"/>
    <xf numFmtId="0" fontId="15" fillId="17" borderId="32" xfId="0" applyFont="1" applyFill="1" applyBorder="1"/>
    <xf numFmtId="0" fontId="25" fillId="17" borderId="0" xfId="0" applyFont="1" applyFill="1"/>
    <xf numFmtId="0" fontId="24" fillId="17" borderId="0" xfId="0" applyFont="1" applyFill="1" applyAlignment="1">
      <alignment horizontal="center" wrapText="1"/>
    </xf>
    <xf numFmtId="0" fontId="24" fillId="17" borderId="30" xfId="0" applyFont="1" applyFill="1" applyBorder="1" applyAlignment="1">
      <alignment horizontal="center" wrapText="1"/>
    </xf>
    <xf numFmtId="0" fontId="25" fillId="17" borderId="32" xfId="0" applyFont="1" applyFill="1" applyBorder="1" applyAlignment="1">
      <alignment horizontal="right"/>
    </xf>
    <xf numFmtId="0" fontId="25" fillId="17" borderId="33" xfId="0" applyFont="1" applyFill="1" applyBorder="1" applyAlignment="1">
      <alignment horizontal="right"/>
    </xf>
    <xf numFmtId="179" fontId="15" fillId="17" borderId="0" xfId="39" applyNumberFormat="1" applyFont="1" applyFill="1" applyBorder="1"/>
    <xf numFmtId="179" fontId="15" fillId="17" borderId="7" xfId="39" applyNumberFormat="1" applyFont="1" applyFill="1" applyBorder="1"/>
    <xf numFmtId="179" fontId="12" fillId="17" borderId="30" xfId="39" applyNumberFormat="1" applyFont="1" applyFill="1" applyBorder="1"/>
    <xf numFmtId="179" fontId="12" fillId="17" borderId="34" xfId="39" applyNumberFormat="1" applyFont="1" applyFill="1" applyBorder="1"/>
    <xf numFmtId="179" fontId="33" fillId="0" borderId="0" xfId="0" applyNumberFormat="1" applyFont="1"/>
    <xf numFmtId="0" fontId="39" fillId="0" borderId="8" xfId="0" applyFont="1" applyBorder="1" applyAlignment="1">
      <alignment wrapText="1"/>
    </xf>
    <xf numFmtId="0" fontId="20" fillId="0" borderId="8" xfId="0" applyFont="1" applyBorder="1"/>
    <xf numFmtId="0" fontId="39" fillId="0" borderId="0" xfId="0" applyFont="1" applyAlignment="1">
      <alignment wrapText="1"/>
    </xf>
    <xf numFmtId="0" fontId="69" fillId="0" borderId="0" xfId="0" applyFont="1"/>
    <xf numFmtId="43" fontId="12" fillId="9" borderId="0" xfId="0" applyNumberFormat="1" applyFont="1" applyFill="1" applyAlignment="1">
      <alignment horizontal="center"/>
    </xf>
    <xf numFmtId="17" fontId="15" fillId="0" borderId="0" xfId="6" quotePrefix="1" applyNumberFormat="1" applyFont="1" applyFill="1" applyAlignment="1">
      <alignment horizontal="center"/>
    </xf>
    <xf numFmtId="17" fontId="15" fillId="0" borderId="0" xfId="6" applyNumberFormat="1" applyFont="1" applyFill="1" applyAlignment="1">
      <alignment horizontal="center"/>
    </xf>
    <xf numFmtId="44" fontId="38" fillId="0" borderId="0" xfId="6" applyFont="1" applyBorder="1"/>
    <xf numFmtId="0" fontId="38" fillId="0" borderId="0" xfId="1" applyFont="1"/>
    <xf numFmtId="0" fontId="38" fillId="0" borderId="0" xfId="0" applyFont="1" applyAlignment="1">
      <alignment horizontal="left"/>
    </xf>
    <xf numFmtId="165" fontId="38" fillId="0" borderId="0" xfId="40" applyNumberFormat="1" applyFont="1" applyBorder="1"/>
    <xf numFmtId="9" fontId="33" fillId="0" borderId="0" xfId="40" applyFont="1" applyAlignment="1">
      <alignment horizontal="center"/>
    </xf>
    <xf numFmtId="0" fontId="23" fillId="0" borderId="19" xfId="1" applyFont="1" applyBorder="1" applyAlignment="1">
      <alignment horizontal="right"/>
    </xf>
    <xf numFmtId="0" fontId="23" fillId="0" borderId="20" xfId="1" applyFont="1" applyBorder="1" applyAlignment="1">
      <alignment horizontal="right"/>
    </xf>
    <xf numFmtId="0" fontId="23" fillId="0" borderId="24" xfId="1" applyFont="1" applyBorder="1" applyAlignment="1">
      <alignment horizontal="right"/>
    </xf>
    <xf numFmtId="0" fontId="23" fillId="0" borderId="25" xfId="1" applyFont="1" applyBorder="1" applyAlignment="1">
      <alignment horizontal="right"/>
    </xf>
    <xf numFmtId="0" fontId="23" fillId="0" borderId="29" xfId="1" applyFont="1" applyBorder="1" applyAlignment="1">
      <alignment horizontal="right"/>
    </xf>
    <xf numFmtId="0" fontId="23" fillId="0" borderId="0" xfId="1" applyFont="1" applyAlignment="1">
      <alignment horizontal="right"/>
    </xf>
    <xf numFmtId="0" fontId="15" fillId="16" borderId="0" xfId="0" applyFont="1" applyFill="1" applyAlignment="1">
      <alignment horizontal="center" wrapText="1"/>
    </xf>
    <xf numFmtId="0" fontId="25" fillId="0" borderId="36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3" fillId="0" borderId="30" xfId="1" applyFont="1" applyBorder="1" applyAlignment="1">
      <alignment horizontal="right"/>
    </xf>
    <xf numFmtId="0" fontId="23" fillId="0" borderId="26" xfId="1" applyFont="1" applyBorder="1" applyAlignment="1">
      <alignment horizontal="right"/>
    </xf>
    <xf numFmtId="0" fontId="25" fillId="0" borderId="10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4" fillId="0" borderId="13" xfId="1" applyFont="1" applyBorder="1" applyAlignment="1">
      <alignment horizontal="center"/>
    </xf>
    <xf numFmtId="0" fontId="24" fillId="0" borderId="14" xfId="1" applyFont="1" applyBorder="1" applyAlignment="1">
      <alignment horizontal="center"/>
    </xf>
    <xf numFmtId="0" fontId="24" fillId="0" borderId="15" xfId="1" applyFont="1" applyBorder="1" applyAlignment="1">
      <alignment horizontal="center"/>
    </xf>
    <xf numFmtId="0" fontId="23" fillId="0" borderId="16" xfId="1" applyFont="1" applyBorder="1" applyAlignment="1">
      <alignment horizontal="right"/>
    </xf>
    <xf numFmtId="0" fontId="23" fillId="0" borderId="4" xfId="1" applyFont="1" applyBorder="1" applyAlignment="1">
      <alignment horizontal="right"/>
    </xf>
    <xf numFmtId="0" fontId="23" fillId="0" borderId="18" xfId="1" applyFont="1" applyBorder="1" applyAlignment="1">
      <alignment horizontal="center"/>
    </xf>
    <xf numFmtId="0" fontId="23" fillId="0" borderId="8" xfId="1" applyFont="1" applyBorder="1" applyAlignment="1">
      <alignment horizontal="center"/>
    </xf>
    <xf numFmtId="0" fontId="23" fillId="0" borderId="31" xfId="1" applyFont="1" applyBorder="1" applyAlignment="1">
      <alignment horizontal="right"/>
    </xf>
    <xf numFmtId="0" fontId="25" fillId="0" borderId="1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left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27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1" fillId="0" borderId="35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30" fillId="0" borderId="32" xfId="0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25" fillId="17" borderId="31" xfId="0" applyFont="1" applyFill="1" applyBorder="1" applyAlignment="1">
      <alignment horizontal="center"/>
    </xf>
    <xf numFmtId="0" fontId="25" fillId="17" borderId="20" xfId="0" applyFont="1" applyFill="1" applyBorder="1" applyAlignment="1">
      <alignment horizontal="center"/>
    </xf>
    <xf numFmtId="0" fontId="24" fillId="0" borderId="0" xfId="1" applyFont="1" applyAlignment="1">
      <alignment horizontal="center"/>
    </xf>
    <xf numFmtId="0" fontId="30" fillId="0" borderId="32" xfId="0" applyFont="1" applyBorder="1" applyAlignment="1">
      <alignment horizontal="center" wrapText="1"/>
    </xf>
    <xf numFmtId="0" fontId="30" fillId="0" borderId="33" xfId="0" applyFont="1" applyBorder="1" applyAlignment="1">
      <alignment horizontal="center" wrapText="1"/>
    </xf>
    <xf numFmtId="0" fontId="15" fillId="0" borderId="3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17" fontId="15" fillId="0" borderId="0" xfId="6" applyNumberFormat="1" applyFont="1" applyBorder="1" applyAlignment="1">
      <alignment horizontal="center"/>
    </xf>
    <xf numFmtId="17" fontId="15" fillId="0" borderId="0" xfId="6" quotePrefix="1" applyNumberFormat="1" applyFont="1" applyBorder="1" applyAlignment="1">
      <alignment horizontal="center"/>
    </xf>
    <xf numFmtId="17" fontId="15" fillId="0" borderId="0" xfId="6" applyNumberFormat="1" applyFont="1" applyFill="1" applyBorder="1" applyAlignment="1">
      <alignment horizontal="center"/>
    </xf>
    <xf numFmtId="17" fontId="15" fillId="0" borderId="0" xfId="6" quotePrefix="1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24" fillId="0" borderId="0" xfId="1" applyFont="1" applyAlignment="1">
      <alignment horizontal="right"/>
    </xf>
    <xf numFmtId="0" fontId="32" fillId="0" borderId="7" xfId="0" applyFont="1" applyBorder="1" applyAlignment="1">
      <alignment horizontal="center"/>
    </xf>
    <xf numFmtId="0" fontId="42" fillId="0" borderId="0" xfId="20" applyFont="1" applyAlignment="1">
      <alignment horizontal="center"/>
    </xf>
    <xf numFmtId="0" fontId="53" fillId="0" borderId="0" xfId="0" applyFont="1" applyAlignment="1">
      <alignment horizontal="center"/>
    </xf>
    <xf numFmtId="0" fontId="15" fillId="0" borderId="36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17" fontId="15" fillId="0" borderId="0" xfId="6" quotePrefix="1" applyNumberFormat="1" applyFont="1" applyFill="1" applyAlignment="1">
      <alignment horizontal="center"/>
    </xf>
    <xf numFmtId="17" fontId="15" fillId="0" borderId="0" xfId="6" applyNumberFormat="1" applyFont="1" applyFill="1" applyAlignment="1">
      <alignment horizontal="center"/>
    </xf>
    <xf numFmtId="17" fontId="15" fillId="0" borderId="0" xfId="6" applyNumberFormat="1" applyFont="1" applyAlignment="1">
      <alignment horizontal="center"/>
    </xf>
    <xf numFmtId="17" fontId="15" fillId="0" borderId="0" xfId="6" quotePrefix="1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0" fillId="0" borderId="0" xfId="0" applyFill="1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49" fontId="23" fillId="0" borderId="4" xfId="1" quotePrefix="1" applyNumberFormat="1" applyFont="1" applyFill="1" applyBorder="1" applyAlignment="1">
      <alignment horizontal="center"/>
    </xf>
    <xf numFmtId="1" fontId="23" fillId="0" borderId="4" xfId="1" applyNumberFormat="1" applyFont="1" applyFill="1" applyBorder="1" applyAlignment="1">
      <alignment horizontal="center"/>
    </xf>
    <xf numFmtId="174" fontId="23" fillId="0" borderId="21" xfId="1" applyNumberFormat="1" applyFont="1" applyFill="1" applyBorder="1" applyAlignment="1">
      <alignment horizontal="center"/>
    </xf>
    <xf numFmtId="174" fontId="23" fillId="0" borderId="22" xfId="1" applyNumberFormat="1" applyFont="1" applyFill="1" applyBorder="1" applyAlignment="1">
      <alignment horizontal="center"/>
    </xf>
    <xf numFmtId="174" fontId="23" fillId="0" borderId="27" xfId="1" applyNumberFormat="1" applyFont="1" applyFill="1" applyBorder="1" applyAlignment="1">
      <alignment horizontal="center"/>
    </xf>
    <xf numFmtId="174" fontId="15" fillId="0" borderId="0" xfId="0" applyNumberFormat="1" applyFont="1" applyFill="1"/>
    <xf numFmtId="0" fontId="25" fillId="0" borderId="11" xfId="0" applyFont="1" applyFill="1" applyBorder="1" applyAlignment="1">
      <alignment horizontal="center"/>
    </xf>
    <xf numFmtId="0" fontId="23" fillId="0" borderId="4" xfId="1" applyFont="1" applyFill="1" applyBorder="1" applyAlignment="1">
      <alignment horizontal="center" wrapText="1"/>
    </xf>
    <xf numFmtId="44" fontId="23" fillId="0" borderId="30" xfId="1" applyNumberFormat="1" applyFont="1" applyFill="1" applyBorder="1" applyAlignment="1">
      <alignment horizontal="center"/>
    </xf>
    <xf numFmtId="44" fontId="23" fillId="0" borderId="25" xfId="1" applyNumberFormat="1" applyFont="1" applyFill="1" applyBorder="1" applyAlignment="1">
      <alignment horizontal="center"/>
    </xf>
    <xf numFmtId="9" fontId="38" fillId="0" borderId="0" xfId="40" applyFont="1" applyFill="1"/>
    <xf numFmtId="44" fontId="23" fillId="0" borderId="27" xfId="1" applyNumberFormat="1" applyFont="1" applyFill="1" applyBorder="1" applyAlignment="1">
      <alignment horizontal="center"/>
    </xf>
    <xf numFmtId="44" fontId="23" fillId="0" borderId="22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2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5" fontId="59" fillId="0" borderId="0" xfId="0" applyNumberFormat="1" applyFont="1" applyFill="1" applyBorder="1" applyAlignment="1">
      <alignment horizontal="center"/>
    </xf>
    <xf numFmtId="165" fontId="59" fillId="0" borderId="0" xfId="40" applyNumberFormat="1" applyFont="1" applyFill="1" applyBorder="1" applyAlignment="1">
      <alignment horizontal="center"/>
    </xf>
    <xf numFmtId="5" fontId="0" fillId="0" borderId="0" xfId="40" applyNumberFormat="1" applyFont="1" applyFill="1" applyBorder="1" applyAlignment="1">
      <alignment horizontal="center"/>
    </xf>
    <xf numFmtId="9" fontId="0" fillId="0" borderId="0" xfId="40" applyFont="1" applyFill="1" applyBorder="1" applyAlignment="1">
      <alignment horizontal="center"/>
    </xf>
    <xf numFmtId="195" fontId="19" fillId="0" borderId="0" xfId="39" applyNumberFormat="1" applyFont="1" applyFill="1" applyBorder="1" applyAlignment="1">
      <alignment horizontal="center"/>
    </xf>
    <xf numFmtId="165" fontId="19" fillId="0" borderId="0" xfId="40" applyNumberFormat="1" applyFont="1" applyFill="1" applyBorder="1" applyAlignment="1">
      <alignment horizontal="center"/>
    </xf>
    <xf numFmtId="10" fontId="20" fillId="0" borderId="0" xfId="40" applyNumberFormat="1" applyFont="1" applyFill="1" applyBorder="1"/>
    <xf numFmtId="178" fontId="0" fillId="0" borderId="0" xfId="4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7" fontId="19" fillId="0" borderId="0" xfId="0" applyNumberFormat="1" applyFont="1" applyFill="1" applyBorder="1" applyAlignment="1">
      <alignment horizontal="center"/>
    </xf>
    <xf numFmtId="165" fontId="20" fillId="0" borderId="0" xfId="40" applyNumberFormat="1" applyFont="1" applyFill="1" applyBorder="1" applyAlignment="1">
      <alignment horizontal="center"/>
    </xf>
    <xf numFmtId="190" fontId="19" fillId="0" borderId="0" xfId="40" applyNumberFormat="1" applyFont="1" applyFill="1" applyBorder="1" applyAlignment="1">
      <alignment horizontal="center"/>
    </xf>
    <xf numFmtId="7" fontId="0" fillId="0" borderId="0" xfId="40" applyNumberFormat="1" applyFont="1" applyFill="1" applyBorder="1" applyAlignment="1">
      <alignment horizontal="center"/>
    </xf>
    <xf numFmtId="196" fontId="19" fillId="0" borderId="0" xfId="39" applyNumberFormat="1" applyFont="1" applyFill="1" applyBorder="1" applyAlignment="1">
      <alignment horizontal="center"/>
    </xf>
    <xf numFmtId="193" fontId="0" fillId="0" borderId="0" xfId="4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22" fillId="0" borderId="0" xfId="0" applyFont="1" applyFill="1" applyBorder="1" applyAlignment="1">
      <alignment horizontal="center"/>
    </xf>
    <xf numFmtId="165" fontId="0" fillId="0" borderId="0" xfId="40" applyNumberFormat="1" applyFont="1" applyFill="1" applyBorder="1" applyAlignment="1">
      <alignment horizontal="center"/>
    </xf>
    <xf numFmtId="5" fontId="1" fillId="0" borderId="0" xfId="0" applyNumberFormat="1" applyFont="1" applyFill="1"/>
    <xf numFmtId="5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9" fillId="0" borderId="0" xfId="0" applyFont="1" applyFill="1"/>
    <xf numFmtId="172" fontId="39" fillId="0" borderId="0" xfId="39" applyNumberFormat="1" applyFont="1" applyFill="1"/>
    <xf numFmtId="0" fontId="0" fillId="0" borderId="1" xfId="0" applyFill="1" applyBorder="1"/>
    <xf numFmtId="0" fontId="0" fillId="0" borderId="1" xfId="0" quotePrefix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39" fillId="0" borderId="0" xfId="0" applyFont="1" applyFill="1" applyAlignment="1">
      <alignment horizontal="center"/>
    </xf>
    <xf numFmtId="0" fontId="1" fillId="0" borderId="0" xfId="0" applyFont="1" applyFill="1"/>
    <xf numFmtId="37" fontId="0" fillId="0" borderId="0" xfId="0" applyNumberFormat="1" applyFill="1"/>
    <xf numFmtId="44" fontId="39" fillId="0" borderId="0" xfId="0" applyNumberFormat="1" applyFont="1" applyFill="1" applyAlignment="1">
      <alignment horizontal="center"/>
    </xf>
    <xf numFmtId="194" fontId="0" fillId="0" borderId="0" xfId="0" applyNumberFormat="1" applyFill="1"/>
    <xf numFmtId="5" fontId="0" fillId="0" borderId="0" xfId="0" applyNumberFormat="1" applyFill="1"/>
    <xf numFmtId="37" fontId="39" fillId="0" borderId="0" xfId="0" applyNumberFormat="1" applyFont="1" applyFill="1" applyAlignment="1">
      <alignment horizontal="center"/>
    </xf>
    <xf numFmtId="172" fontId="39" fillId="0" borderId="0" xfId="39" applyNumberFormat="1" applyFont="1" applyFill="1" applyAlignment="1">
      <alignment horizontal="center"/>
    </xf>
    <xf numFmtId="194" fontId="39" fillId="0" borderId="0" xfId="0" applyNumberFormat="1" applyFont="1" applyFill="1"/>
    <xf numFmtId="3" fontId="1" fillId="0" borderId="0" xfId="0" applyNumberFormat="1" applyFont="1" applyFill="1"/>
    <xf numFmtId="3" fontId="0" fillId="0" borderId="0" xfId="0" applyNumberFormat="1" applyFill="1"/>
    <xf numFmtId="5" fontId="2" fillId="0" borderId="0" xfId="38" applyNumberFormat="1" applyFont="1" applyFill="1" applyAlignment="1">
      <alignment horizontal="left" vertical="center"/>
    </xf>
    <xf numFmtId="0" fontId="2" fillId="0" borderId="0" xfId="38" applyFont="1" applyFill="1" applyAlignment="1">
      <alignment horizontal="left"/>
    </xf>
    <xf numFmtId="5" fontId="19" fillId="0" borderId="0" xfId="0" applyNumberFormat="1" applyFont="1" applyFill="1"/>
    <xf numFmtId="14" fontId="0" fillId="0" borderId="0" xfId="0" applyNumberFormat="1" applyFill="1" applyAlignment="1">
      <alignment horizontal="left"/>
    </xf>
    <xf numFmtId="172" fontId="0" fillId="0" borderId="0" xfId="0" applyNumberFormat="1" applyFill="1"/>
    <xf numFmtId="172" fontId="39" fillId="0" borderId="0" xfId="0" applyNumberFormat="1" applyFont="1" applyFill="1"/>
    <xf numFmtId="172" fontId="19" fillId="0" borderId="0" xfId="0" applyNumberFormat="1" applyFont="1" applyFill="1"/>
    <xf numFmtId="5" fontId="22" fillId="0" borderId="0" xfId="0" applyNumberFormat="1" applyFont="1" applyFill="1"/>
    <xf numFmtId="37" fontId="0" fillId="0" borderId="0" xfId="0" applyNumberFormat="1" applyFill="1" applyAlignment="1">
      <alignment horizontal="center"/>
    </xf>
    <xf numFmtId="17" fontId="0" fillId="0" borderId="0" xfId="0" applyNumberFormat="1" applyFill="1" applyAlignment="1">
      <alignment horizontal="left"/>
    </xf>
    <xf numFmtId="0" fontId="27" fillId="0" borderId="1" xfId="0" applyFont="1" applyFill="1" applyBorder="1" applyAlignment="1">
      <alignment horizontal="left"/>
    </xf>
    <xf numFmtId="0" fontId="19" fillId="0" borderId="0" xfId="0" applyFont="1" applyFill="1"/>
    <xf numFmtId="37" fontId="19" fillId="0" borderId="0" xfId="0" applyNumberFormat="1" applyFont="1" applyFill="1"/>
    <xf numFmtId="172" fontId="19" fillId="0" borderId="0" xfId="39" applyNumberFormat="1" applyFont="1" applyFill="1"/>
    <xf numFmtId="172" fontId="19" fillId="0" borderId="0" xfId="39" applyNumberFormat="1" applyFont="1" applyFill="1" applyBorder="1"/>
    <xf numFmtId="0" fontId="19" fillId="0" borderId="0" xfId="0" applyFont="1" applyFill="1" applyAlignment="1">
      <alignment wrapText="1"/>
    </xf>
    <xf numFmtId="37" fontId="19" fillId="0" borderId="0" xfId="0" applyNumberFormat="1" applyFont="1" applyFill="1" applyAlignment="1">
      <alignment horizontal="center"/>
    </xf>
    <xf numFmtId="37" fontId="19" fillId="0" borderId="0" xfId="0" applyNumberFormat="1" applyFont="1" applyFill="1" applyAlignment="1">
      <alignment horizontal="center" wrapText="1"/>
    </xf>
    <xf numFmtId="177" fontId="19" fillId="0" borderId="0" xfId="0" applyNumberFormat="1" applyFont="1" applyFill="1"/>
    <xf numFmtId="43" fontId="19" fillId="0" borderId="0" xfId="0" applyNumberFormat="1" applyFont="1" applyFill="1"/>
    <xf numFmtId="41" fontId="19" fillId="0" borderId="0" xfId="0" applyNumberFormat="1" applyFont="1" applyFill="1"/>
    <xf numFmtId="173" fontId="19" fillId="0" borderId="0" xfId="35" applyNumberFormat="1" applyFont="1" applyFill="1"/>
    <xf numFmtId="173" fontId="19" fillId="0" borderId="0" xfId="35" applyNumberFormat="1" applyFont="1" applyFill="1" applyBorder="1"/>
    <xf numFmtId="16" fontId="19" fillId="0" borderId="0" xfId="0" applyNumberFormat="1" applyFont="1" applyFill="1"/>
    <xf numFmtId="172" fontId="19" fillId="0" borderId="0" xfId="0" applyNumberFormat="1" applyFont="1" applyFill="1" applyAlignment="1">
      <alignment wrapText="1"/>
    </xf>
    <xf numFmtId="0" fontId="19" fillId="7" borderId="0" xfId="0" applyFont="1" applyFill="1"/>
    <xf numFmtId="6" fontId="19" fillId="0" borderId="0" xfId="0" applyNumberFormat="1" applyFont="1" applyFill="1"/>
    <xf numFmtId="0" fontId="19" fillId="0" borderId="7" xfId="0" applyFont="1" applyFill="1" applyBorder="1"/>
    <xf numFmtId="172" fontId="19" fillId="0" borderId="7" xfId="39" applyNumberFormat="1" applyFont="1" applyFill="1" applyBorder="1"/>
    <xf numFmtId="172" fontId="19" fillId="0" borderId="7" xfId="0" applyNumberFormat="1" applyFont="1" applyFill="1" applyBorder="1"/>
    <xf numFmtId="37" fontId="19" fillId="0" borderId="7" xfId="0" applyNumberFormat="1" applyFont="1" applyFill="1" applyBorder="1"/>
    <xf numFmtId="3" fontId="19" fillId="0" borderId="0" xfId="0" applyNumberFormat="1" applyFont="1" applyFill="1"/>
    <xf numFmtId="0" fontId="19" fillId="0" borderId="0" xfId="0" applyFont="1" applyFill="1" applyAlignment="1">
      <alignment horizontal="center"/>
    </xf>
    <xf numFmtId="3" fontId="22" fillId="0" borderId="0" xfId="0" applyNumberFormat="1" applyFont="1" applyFill="1"/>
    <xf numFmtId="3" fontId="22" fillId="0" borderId="6" xfId="0" applyNumberFormat="1" applyFont="1" applyFill="1" applyBorder="1"/>
    <xf numFmtId="0" fontId="19" fillId="0" borderId="0" xfId="0" applyFont="1" applyFill="1" applyAlignment="1">
      <alignment horizontal="right"/>
    </xf>
    <xf numFmtId="177" fontId="22" fillId="0" borderId="0" xfId="0" applyNumberFormat="1" applyFont="1" applyFill="1"/>
    <xf numFmtId="3" fontId="71" fillId="0" borderId="0" xfId="0" applyNumberFormat="1" applyFont="1" applyFill="1" applyAlignment="1">
      <alignment horizontal="right"/>
    </xf>
    <xf numFmtId="3" fontId="71" fillId="0" borderId="0" xfId="0" applyNumberFormat="1" applyFont="1" applyFill="1"/>
    <xf numFmtId="9" fontId="19" fillId="0" borderId="0" xfId="40" applyFont="1" applyFill="1"/>
    <xf numFmtId="0" fontId="72" fillId="0" borderId="1" xfId="0" applyFont="1" applyFill="1" applyBorder="1" applyAlignment="1">
      <alignment horizontal="center" vertical="center"/>
    </xf>
    <xf numFmtId="0" fontId="19" fillId="0" borderId="8" xfId="0" applyFont="1" applyFill="1" applyBorder="1"/>
    <xf numFmtId="0" fontId="19" fillId="0" borderId="7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 wrapText="1"/>
    </xf>
    <xf numFmtId="0" fontId="19" fillId="0" borderId="7" xfId="0" applyFont="1" applyFill="1" applyBorder="1" applyAlignment="1">
      <alignment horizontal="center" wrapText="1"/>
    </xf>
    <xf numFmtId="0" fontId="19" fillId="0" borderId="8" xfId="0" applyFont="1" applyFill="1" applyBorder="1" applyAlignment="1">
      <alignment horizontal="left" wrapText="1"/>
    </xf>
    <xf numFmtId="0" fontId="19" fillId="0" borderId="0" xfId="0" applyFont="1" applyFill="1" applyAlignment="1">
      <alignment horizontal="center" wrapText="1"/>
    </xf>
    <xf numFmtId="37" fontId="19" fillId="0" borderId="0" xfId="0" applyNumberFormat="1" applyFont="1" applyFill="1" applyAlignment="1">
      <alignment wrapText="1"/>
    </xf>
    <xf numFmtId="0" fontId="22" fillId="0" borderId="1" xfId="0" applyFont="1" applyFill="1" applyBorder="1"/>
    <xf numFmtId="0" fontId="19" fillId="0" borderId="1" xfId="0" applyFont="1" applyFill="1" applyBorder="1"/>
    <xf numFmtId="0" fontId="19" fillId="0" borderId="1" xfId="0" applyFont="1" applyFill="1" applyBorder="1" applyAlignment="1">
      <alignment wrapText="1"/>
    </xf>
    <xf numFmtId="9" fontId="19" fillId="0" borderId="0" xfId="40" applyFont="1" applyFill="1" applyBorder="1" applyAlignment="1">
      <alignment horizontal="right"/>
    </xf>
    <xf numFmtId="9" fontId="19" fillId="0" borderId="0" xfId="40" applyFont="1" applyFill="1" applyBorder="1"/>
    <xf numFmtId="165" fontId="19" fillId="0" borderId="0" xfId="40" applyNumberFormat="1" applyFont="1" applyFill="1" applyBorder="1"/>
    <xf numFmtId="17" fontId="19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center" wrapText="1"/>
    </xf>
    <xf numFmtId="199" fontId="12" fillId="0" borderId="0" xfId="39" applyNumberFormat="1" applyFont="1" applyFill="1" applyAlignment="1">
      <alignment horizontal="center"/>
    </xf>
    <xf numFmtId="199" fontId="12" fillId="0" borderId="0" xfId="0" applyNumberFormat="1" applyFont="1" applyFill="1" applyAlignment="1">
      <alignment horizontal="center"/>
    </xf>
    <xf numFmtId="172" fontId="12" fillId="11" borderId="0" xfId="39" applyNumberFormat="1" applyFont="1" applyFill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14" fontId="24" fillId="0" borderId="0" xfId="0" applyNumberFormat="1" applyFont="1" applyFill="1" applyAlignment="1">
      <alignment horizontal="center" wrapText="1"/>
    </xf>
    <xf numFmtId="0" fontId="24" fillId="0" borderId="0" xfId="0" applyFont="1" applyFill="1" applyAlignment="1">
      <alignment horizontal="center" wrapText="1"/>
    </xf>
    <xf numFmtId="176" fontId="23" fillId="0" borderId="0" xfId="42" quotePrefix="1" applyNumberFormat="1" applyFont="1" applyFill="1" applyAlignment="1">
      <alignment horizontal="right"/>
    </xf>
    <xf numFmtId="2" fontId="12" fillId="11" borderId="0" xfId="0" applyNumberFormat="1" applyFont="1" applyFill="1"/>
    <xf numFmtId="0" fontId="15" fillId="0" borderId="0" xfId="0" applyFont="1" applyFill="1"/>
    <xf numFmtId="0" fontId="15" fillId="0" borderId="33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165" fontId="0" fillId="0" borderId="0" xfId="40" applyNumberFormat="1" applyFont="1" applyFill="1" applyAlignment="1">
      <alignment horizontal="right"/>
    </xf>
    <xf numFmtId="0" fontId="14" fillId="0" borderId="39" xfId="2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3" fontId="15" fillId="0" borderId="0" xfId="0" applyNumberFormat="1" applyFont="1" applyFill="1"/>
    <xf numFmtId="199" fontId="12" fillId="11" borderId="0" xfId="39" applyNumberFormat="1" applyFont="1" applyFill="1" applyAlignment="1">
      <alignment horizontal="center"/>
    </xf>
    <xf numFmtId="0" fontId="12" fillId="0" borderId="35" xfId="0" applyFont="1" applyFill="1" applyBorder="1" applyAlignment="1">
      <alignment horizontal="center"/>
    </xf>
    <xf numFmtId="0" fontId="15" fillId="0" borderId="4" xfId="0" applyFont="1" applyFill="1" applyBorder="1" applyAlignment="1">
      <alignment wrapText="1"/>
    </xf>
    <xf numFmtId="0" fontId="15" fillId="0" borderId="36" xfId="0" applyFont="1" applyFill="1" applyBorder="1" applyAlignment="1">
      <alignment horizontal="center" vertical="top" wrapText="1"/>
    </xf>
    <xf numFmtId="0" fontId="15" fillId="0" borderId="8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/>
    </xf>
    <xf numFmtId="192" fontId="15" fillId="0" borderId="0" xfId="0" applyNumberFormat="1" applyFont="1" applyFill="1"/>
    <xf numFmtId="0" fontId="34" fillId="0" borderId="0" xfId="20" applyFont="1" applyFill="1"/>
    <xf numFmtId="0" fontId="32" fillId="0" borderId="7" xfId="0" applyFont="1" applyFill="1" applyBorder="1" applyAlignment="1">
      <alignment horizontal="center"/>
    </xf>
    <xf numFmtId="0" fontId="23" fillId="0" borderId="0" xfId="0" applyFont="1" applyFill="1"/>
    <xf numFmtId="44" fontId="15" fillId="0" borderId="4" xfId="0" applyNumberFormat="1" applyFont="1" applyFill="1" applyBorder="1"/>
    <xf numFmtId="0" fontId="15" fillId="0" borderId="0" xfId="0" applyFont="1" applyFill="1" applyAlignment="1">
      <alignment horizontal="right"/>
    </xf>
    <xf numFmtId="0" fontId="15" fillId="0" borderId="4" xfId="0" applyFont="1" applyFill="1" applyBorder="1"/>
    <xf numFmtId="0" fontId="24" fillId="0" borderId="10" xfId="1" applyFont="1" applyFill="1" applyBorder="1" applyAlignment="1">
      <alignment horizontal="center"/>
    </xf>
    <xf numFmtId="0" fontId="24" fillId="0" borderId="11" xfId="1" applyFont="1" applyFill="1" applyBorder="1" applyAlignment="1">
      <alignment horizontal="center"/>
    </xf>
    <xf numFmtId="0" fontId="24" fillId="0" borderId="12" xfId="1" applyFont="1" applyFill="1" applyBorder="1" applyAlignment="1">
      <alignment horizontal="center"/>
    </xf>
    <xf numFmtId="0" fontId="24" fillId="0" borderId="29" xfId="1" applyFont="1" applyFill="1" applyBorder="1"/>
    <xf numFmtId="0" fontId="24" fillId="0" borderId="0" xfId="1" applyFont="1" applyFill="1"/>
    <xf numFmtId="0" fontId="23" fillId="0" borderId="16" xfId="1" applyFont="1" applyFill="1" applyBorder="1" applyAlignment="1">
      <alignment horizontal="right"/>
    </xf>
    <xf numFmtId="0" fontId="23" fillId="0" borderId="4" xfId="1" applyFont="1" applyFill="1" applyBorder="1" applyAlignment="1">
      <alignment horizontal="right"/>
    </xf>
    <xf numFmtId="14" fontId="23" fillId="0" borderId="4" xfId="1" quotePrefix="1" applyNumberFormat="1" applyFont="1" applyFill="1" applyBorder="1" applyAlignment="1">
      <alignment horizontal="center" wrapText="1"/>
    </xf>
    <xf numFmtId="0" fontId="38" fillId="0" borderId="29" xfId="1" applyFont="1" applyFill="1" applyBorder="1" applyAlignment="1">
      <alignment horizontal="center" wrapText="1"/>
    </xf>
    <xf numFmtId="0" fontId="38" fillId="0" borderId="23" xfId="1" applyFont="1" applyFill="1" applyBorder="1" applyAlignment="1">
      <alignment horizontal="center" wrapText="1"/>
    </xf>
    <xf numFmtId="0" fontId="23" fillId="0" borderId="18" xfId="1" applyFont="1" applyFill="1" applyBorder="1" applyAlignment="1">
      <alignment horizontal="center"/>
    </xf>
    <xf numFmtId="0" fontId="23" fillId="0" borderId="8" xfId="1" applyFont="1" applyFill="1" applyBorder="1" applyAlignment="1">
      <alignment horizontal="center"/>
    </xf>
    <xf numFmtId="14" fontId="23" fillId="0" borderId="21" xfId="1" quotePrefix="1" applyNumberFormat="1" applyFont="1" applyFill="1" applyBorder="1" applyAlignment="1">
      <alignment horizontal="center" wrapText="1"/>
    </xf>
    <xf numFmtId="14" fontId="23" fillId="0" borderId="4" xfId="1" applyNumberFormat="1" applyFont="1" applyFill="1" applyBorder="1" applyAlignment="1">
      <alignment horizontal="center" wrapText="1"/>
    </xf>
    <xf numFmtId="0" fontId="23" fillId="0" borderId="36" xfId="1" applyFont="1" applyFill="1" applyBorder="1" applyAlignment="1">
      <alignment horizontal="center" wrapText="1"/>
    </xf>
    <xf numFmtId="0" fontId="23" fillId="0" borderId="29" xfId="1" applyFont="1" applyFill="1" applyBorder="1" applyAlignment="1">
      <alignment horizontal="center" wrapText="1"/>
    </xf>
    <xf numFmtId="0" fontId="23" fillId="0" borderId="0" xfId="1" applyFont="1" applyFill="1" applyAlignment="1">
      <alignment horizontal="center" wrapText="1"/>
    </xf>
    <xf numFmtId="0" fontId="23" fillId="0" borderId="19" xfId="1" applyFont="1" applyFill="1" applyBorder="1" applyAlignment="1">
      <alignment horizontal="right"/>
    </xf>
    <xf numFmtId="0" fontId="23" fillId="0" borderId="20" xfId="1" applyFont="1" applyFill="1" applyBorder="1" applyAlignment="1">
      <alignment horizontal="right"/>
    </xf>
    <xf numFmtId="165" fontId="23" fillId="0" borderId="22" xfId="40" applyNumberFormat="1" applyFont="1" applyFill="1" applyBorder="1" applyAlignment="1">
      <alignment horizontal="center"/>
    </xf>
    <xf numFmtId="165" fontId="23" fillId="0" borderId="32" xfId="25" applyNumberFormat="1" applyFont="1" applyFill="1" applyBorder="1" applyAlignment="1">
      <alignment horizontal="center"/>
    </xf>
    <xf numFmtId="165" fontId="38" fillId="0" borderId="29" xfId="22" applyNumberFormat="1" applyFont="1" applyFill="1" applyBorder="1" applyAlignment="1">
      <alignment horizontal="center"/>
    </xf>
    <xf numFmtId="0" fontId="38" fillId="0" borderId="0" xfId="0" applyFont="1" applyFill="1"/>
    <xf numFmtId="0" fontId="23" fillId="0" borderId="31" xfId="1" applyFont="1" applyFill="1" applyBorder="1" applyAlignment="1">
      <alignment horizontal="right"/>
    </xf>
    <xf numFmtId="174" fontId="23" fillId="0" borderId="20" xfId="1" applyNumberFormat="1" applyFont="1" applyFill="1" applyBorder="1" applyAlignment="1">
      <alignment horizontal="center"/>
    </xf>
    <xf numFmtId="0" fontId="23" fillId="0" borderId="29" xfId="1" applyFont="1" applyFill="1" applyBorder="1" applyAlignment="1">
      <alignment horizontal="right"/>
    </xf>
    <xf numFmtId="0" fontId="23" fillId="0" borderId="30" xfId="1" applyFont="1" applyFill="1" applyBorder="1" applyAlignment="1">
      <alignment horizontal="right"/>
    </xf>
    <xf numFmtId="174" fontId="23" fillId="0" borderId="30" xfId="1" applyNumberFormat="1" applyFont="1" applyFill="1" applyBorder="1" applyAlignment="1">
      <alignment horizontal="center"/>
    </xf>
    <xf numFmtId="0" fontId="23" fillId="0" borderId="24" xfId="1" applyFont="1" applyFill="1" applyBorder="1" applyAlignment="1">
      <alignment horizontal="right"/>
    </xf>
    <xf numFmtId="0" fontId="23" fillId="0" borderId="25" xfId="1" applyFont="1" applyFill="1" applyBorder="1" applyAlignment="1">
      <alignment horizontal="right"/>
    </xf>
    <xf numFmtId="165" fontId="23" fillId="0" borderId="37" xfId="25" applyNumberFormat="1" applyFont="1" applyFill="1" applyBorder="1" applyAlignment="1">
      <alignment horizontal="center"/>
    </xf>
    <xf numFmtId="0" fontId="23" fillId="0" borderId="26" xfId="1" applyFont="1" applyFill="1" applyBorder="1" applyAlignment="1">
      <alignment horizontal="right"/>
    </xf>
    <xf numFmtId="174" fontId="23" fillId="0" borderId="25" xfId="1" applyNumberFormat="1" applyFont="1" applyFill="1" applyBorder="1" applyAlignment="1">
      <alignment horizontal="center"/>
    </xf>
    <xf numFmtId="165" fontId="23" fillId="0" borderId="38" xfId="25" applyNumberFormat="1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5" fillId="0" borderId="29" xfId="0" applyFont="1" applyFill="1" applyBorder="1"/>
    <xf numFmtId="0" fontId="23" fillId="0" borderId="18" xfId="1" applyFont="1" applyFill="1" applyBorder="1" applyAlignment="1">
      <alignment horizontal="center"/>
    </xf>
    <xf numFmtId="0" fontId="23" fillId="0" borderId="1" xfId="1" applyFont="1" applyFill="1" applyBorder="1" applyAlignment="1">
      <alignment horizontal="center"/>
    </xf>
    <xf numFmtId="0" fontId="23" fillId="0" borderId="41" xfId="1" applyFont="1" applyFill="1" applyBorder="1" applyAlignment="1">
      <alignment horizontal="center" wrapText="1"/>
    </xf>
    <xf numFmtId="0" fontId="23" fillId="0" borderId="29" xfId="1" applyFont="1" applyFill="1" applyBorder="1" applyAlignment="1">
      <alignment horizontal="right"/>
    </xf>
    <xf numFmtId="0" fontId="23" fillId="0" borderId="30" xfId="1" applyFont="1" applyFill="1" applyBorder="1" applyAlignment="1">
      <alignment horizontal="right"/>
    </xf>
    <xf numFmtId="165" fontId="23" fillId="0" borderId="35" xfId="22" applyNumberFormat="1" applyFont="1" applyFill="1" applyBorder="1" applyAlignment="1">
      <alignment horizontal="center"/>
    </xf>
    <xf numFmtId="165" fontId="23" fillId="0" borderId="32" xfId="22" applyNumberFormat="1" applyFont="1" applyFill="1" applyBorder="1" applyAlignment="1">
      <alignment horizontal="center"/>
    </xf>
    <xf numFmtId="165" fontId="23" fillId="0" borderId="37" xfId="22" applyNumberFormat="1" applyFont="1" applyFill="1" applyBorder="1" applyAlignment="1">
      <alignment horizontal="center"/>
    </xf>
    <xf numFmtId="0" fontId="15" fillId="0" borderId="29" xfId="0" applyFont="1" applyFill="1" applyBorder="1"/>
    <xf numFmtId="0" fontId="25" fillId="0" borderId="13" xfId="0" applyFont="1" applyFill="1" applyBorder="1" applyAlignment="1">
      <alignment horizontal="center"/>
    </xf>
    <xf numFmtId="0" fontId="25" fillId="0" borderId="14" xfId="0" applyFont="1" applyFill="1" applyBorder="1" applyAlignment="1">
      <alignment horizontal="center"/>
    </xf>
    <xf numFmtId="0" fontId="25" fillId="0" borderId="15" xfId="0" applyFont="1" applyFill="1" applyBorder="1" applyAlignment="1">
      <alignment horizontal="center"/>
    </xf>
    <xf numFmtId="0" fontId="23" fillId="0" borderId="8" xfId="1" applyFont="1" applyFill="1" applyBorder="1" applyAlignment="1">
      <alignment horizontal="center"/>
    </xf>
    <xf numFmtId="49" fontId="23" fillId="0" borderId="4" xfId="1" quotePrefix="1" applyNumberFormat="1" applyFont="1" applyFill="1" applyBorder="1" applyAlignment="1">
      <alignment horizontal="center" wrapText="1"/>
    </xf>
    <xf numFmtId="0" fontId="23" fillId="0" borderId="17" xfId="1" applyFont="1" applyFill="1" applyBorder="1" applyAlignment="1">
      <alignment horizontal="center" wrapText="1"/>
    </xf>
    <xf numFmtId="0" fontId="23" fillId="0" borderId="0" xfId="1" applyFont="1" applyFill="1" applyAlignment="1">
      <alignment horizontal="right"/>
    </xf>
    <xf numFmtId="199" fontId="12" fillId="11" borderId="0" xfId="0" applyNumberFormat="1" applyFont="1" applyFill="1" applyAlignment="1">
      <alignment horizontal="center"/>
    </xf>
    <xf numFmtId="177" fontId="12" fillId="11" borderId="0" xfId="0" applyNumberFormat="1" applyFont="1" applyFill="1"/>
    <xf numFmtId="0" fontId="15" fillId="0" borderId="29" xfId="0" applyFont="1" applyFill="1" applyBorder="1" applyAlignment="1">
      <alignment horizontal="center"/>
    </xf>
    <xf numFmtId="0" fontId="14" fillId="0" borderId="0" xfId="20" applyFont="1" applyFill="1"/>
    <xf numFmtId="0" fontId="15" fillId="0" borderId="21" xfId="0" applyFont="1" applyFill="1" applyBorder="1"/>
    <xf numFmtId="0" fontId="15" fillId="0" borderId="22" xfId="0" applyFont="1" applyFill="1" applyBorder="1"/>
    <xf numFmtId="0" fontId="15" fillId="0" borderId="9" xfId="0" applyFont="1" applyFill="1" applyBorder="1"/>
    <xf numFmtId="44" fontId="38" fillId="0" borderId="0" xfId="6" applyFont="1" applyFill="1"/>
    <xf numFmtId="165" fontId="15" fillId="0" borderId="0" xfId="24" applyNumberFormat="1" applyFont="1" applyFill="1"/>
    <xf numFmtId="1" fontId="17" fillId="0" borderId="0" xfId="20" applyNumberFormat="1" applyFont="1" applyFill="1"/>
    <xf numFmtId="1" fontId="14" fillId="0" borderId="0" xfId="20" applyNumberFormat="1" applyFont="1" applyFill="1"/>
    <xf numFmtId="0" fontId="58" fillId="0" borderId="0" xfId="0" applyFont="1" applyFill="1" applyAlignment="1">
      <alignment horizontal="center"/>
    </xf>
    <xf numFmtId="165" fontId="0" fillId="0" borderId="0" xfId="40" applyNumberFormat="1" applyFont="1" applyFill="1" applyAlignment="1">
      <alignment horizontal="center"/>
    </xf>
    <xf numFmtId="0" fontId="64" fillId="0" borderId="0" xfId="0" applyFont="1"/>
    <xf numFmtId="0" fontId="20" fillId="0" borderId="0" xfId="0" applyFont="1" applyFill="1" applyAlignment="1"/>
    <xf numFmtId="37" fontId="19" fillId="19" borderId="0" xfId="0" applyNumberFormat="1" applyFont="1" applyFill="1"/>
    <xf numFmtId="172" fontId="19" fillId="19" borderId="0" xfId="0" applyNumberFormat="1" applyFont="1" applyFill="1"/>
    <xf numFmtId="172" fontId="19" fillId="19" borderId="0" xfId="39" applyNumberFormat="1" applyFont="1" applyFill="1"/>
  </cellXfs>
  <cellStyles count="71">
    <cellStyle name="_x0010_“+ˆÉ•?pý¤" xfId="56" xr:uid="{AAB2CC73-5E4D-4702-9A54-3B17F4170E9D}"/>
    <cellStyle name="Actual Date" xfId="2" xr:uid="{90A20703-E73F-4FFB-9D41-11B9B8598C31}"/>
    <cellStyle name="Actual Date 2" xfId="57" xr:uid="{5081DE82-2029-4827-9AF9-7B1AE9A73FE2}"/>
    <cellStyle name="Actual Date 2 2" xfId="63" xr:uid="{B67C9283-4392-474F-9FB5-5DBAB6F79502}"/>
    <cellStyle name="Comma" xfId="39" builtinId="3"/>
    <cellStyle name="Comma [0] 2" xfId="48" xr:uid="{162F856C-75E3-4868-B3AC-6EF06F17C4FC}"/>
    <cellStyle name="Comma 2" xfId="3" xr:uid="{A463B59C-A829-4CA9-983F-290777244053}"/>
    <cellStyle name="Comma 3" xfId="47" xr:uid="{0963D63D-5763-4CFE-AD42-240379CC31C8}"/>
    <cellStyle name="Comma 31 2" xfId="36" xr:uid="{6112A572-923D-4AF2-B44E-C0DB9129578D}"/>
    <cellStyle name="Comma 4" xfId="70" xr:uid="{472F506F-A02F-42B6-8D70-7BE8C1BA4F41}"/>
    <cellStyle name="Comma0" xfId="4" xr:uid="{BFA70494-24E7-4EB4-8245-3E92DE30AB79}"/>
    <cellStyle name="Currency" xfId="35" builtinId="4"/>
    <cellStyle name="Currency [0] 2" xfId="46" xr:uid="{70280F9D-97C7-42DD-9BF4-C98DADE21D70}"/>
    <cellStyle name="Currency 2" xfId="6" xr:uid="{C853109E-BA78-4949-AE6E-97FBB2C947A2}"/>
    <cellStyle name="Currency 3" xfId="5" xr:uid="{71193358-ACE2-4128-B76E-A894406DE180}"/>
    <cellStyle name="Currency 4" xfId="45" xr:uid="{B9EED9D9-BAA1-4E8B-B70D-8CFF8975C509}"/>
    <cellStyle name="Currency0" xfId="7" xr:uid="{11C847DE-D199-4798-B8A6-6DF371C1596F}"/>
    <cellStyle name="Date" xfId="8" xr:uid="{55B42165-9C35-400C-8039-99C32BF8F8D1}"/>
    <cellStyle name="Date 2" xfId="58" xr:uid="{8138A17D-8AFB-4CE2-A576-861FB754B1B2}"/>
    <cellStyle name="Fixed" xfId="9" xr:uid="{73C8C8B8-EF3A-48A3-A48A-A4A6A3CEB441}"/>
    <cellStyle name="Fixed 2" xfId="59" xr:uid="{BF0AF9AB-9D8D-48FC-AA77-6CCFE11077C5}"/>
    <cellStyle name="Grey" xfId="10" xr:uid="{B049FF98-EED1-44B0-B326-4132EA93C5E2}"/>
    <cellStyle name="Grey 2" xfId="49" xr:uid="{98622DFE-A551-469F-BD88-EF8AEE3B8ECA}"/>
    <cellStyle name="HEADER" xfId="11" xr:uid="{EADF02B1-8108-4E0E-9DB6-F65EA011F410}"/>
    <cellStyle name="Heading 1 2" xfId="12" xr:uid="{C958FC72-ADC5-4A1B-8837-26CC92340585}"/>
    <cellStyle name="Heading 2 2" xfId="13" xr:uid="{6C11C16C-14DA-433C-B90A-019D9D58FAA5}"/>
    <cellStyle name="Heading1" xfId="14" xr:uid="{D5CB65F7-622F-48D9-BDFE-EA5710CB06E5}"/>
    <cellStyle name="Heading2" xfId="15" xr:uid="{B6C120CA-23B0-46B6-A206-F21EFD627A0E}"/>
    <cellStyle name="HIGHLIGHT" xfId="16" xr:uid="{0FA977AC-6A13-4F7D-B4C6-304F02BAB7E6}"/>
    <cellStyle name="Hyperlink 3" xfId="67" xr:uid="{9A670481-784D-4386-8511-D541DD9F96EC}"/>
    <cellStyle name="Input [yellow]" xfId="17" xr:uid="{483402D1-6D66-4584-B91A-9EFB4E29CD72}"/>
    <cellStyle name="Input [yellow] 2" xfId="50" xr:uid="{3479EC4D-FA0C-44AD-BFB1-E5483485436F}"/>
    <cellStyle name="no dec" xfId="18" xr:uid="{1FFD3759-CFEB-431B-95E2-F9D56114D76C}"/>
    <cellStyle name="Normal" xfId="0" builtinId="0"/>
    <cellStyle name="Normal - Style1" xfId="19" xr:uid="{09AAD6A7-C83A-4809-BC97-D6D075635A0F}"/>
    <cellStyle name="Normal - Style1 2" xfId="51" xr:uid="{A36E7241-7D7A-446A-AE46-897B9848A8A7}"/>
    <cellStyle name="Normal 10" xfId="34" xr:uid="{11F0179F-876F-4C81-8782-FEAE6EA9A44F}"/>
    <cellStyle name="Normal 19" xfId="37" xr:uid="{2E801201-3018-4BBB-869B-19B0A8909CC2}"/>
    <cellStyle name="Normal 2" xfId="1" xr:uid="{FCF77B81-9A51-4CFC-8630-2394A24C8B4C}"/>
    <cellStyle name="Normal 2 10 10" xfId="61" xr:uid="{4110C643-72A2-48D0-AB32-72BED6862E98}"/>
    <cellStyle name="Normal 2 2" xfId="20" xr:uid="{768976F9-6BF3-4C64-A7A2-0699BE302438}"/>
    <cellStyle name="Normal 2 2 2" xfId="66" xr:uid="{AD042F41-ECEB-46F9-9972-79343188A2B9}"/>
    <cellStyle name="Normal 2 2 3" xfId="54" xr:uid="{F097BE2F-C1DF-4808-8B93-136DAFC079D0}"/>
    <cellStyle name="Normal 2 3" xfId="53" xr:uid="{7BDDD26F-CD0D-48AB-AB15-4F2082187FD0}"/>
    <cellStyle name="Normal 2 4" xfId="65" xr:uid="{CEE47971-2CB1-4289-BDA7-46AC65784E98}"/>
    <cellStyle name="Normal 208 5 8" xfId="68" xr:uid="{A46F6EA7-D736-4486-8200-CFEB70001B34}"/>
    <cellStyle name="Normal 3" xfId="21" xr:uid="{1BE115B0-68EE-409A-BE42-7964F3B2186B}"/>
    <cellStyle name="Normal 3 2" xfId="31" xr:uid="{EBD24680-6BB0-4648-B6FB-486BE3B05DA3}"/>
    <cellStyle name="Normal 4" xfId="38" xr:uid="{1BC7C7CD-A29E-49D5-ACE9-28B9AEC0F15E}"/>
    <cellStyle name="Normal 4 2" xfId="55" xr:uid="{294F292F-C751-4760-BBE6-DF7528BFFF64}"/>
    <cellStyle name="Normal 5" xfId="60" xr:uid="{50F6C0A5-95DF-447C-B0B3-342AF1735AC0}"/>
    <cellStyle name="Normal 5 2" xfId="64" xr:uid="{3C9418E6-6645-4025-85D2-2A2A59A4AF5D}"/>
    <cellStyle name="Normal 6" xfId="69" xr:uid="{EC59DD7F-761E-4AF5-936C-C2D6CAA1F3E2}"/>
    <cellStyle name="Normal 9" xfId="32" xr:uid="{74F7FB52-B68E-44BF-B225-318676247797}"/>
    <cellStyle name="Normal_Bill Impacts (UDC and EECC Rates)" xfId="62" xr:uid="{5176955C-BBC6-41AA-92A4-84F6FB4F7F58}"/>
    <cellStyle name="Normal_Effective Rates (1-6-2003)" xfId="41" xr:uid="{2BB44F1E-EE46-452C-B99F-141D84227AFB}"/>
    <cellStyle name="Normal_RD-WP(Combined 1-01-01 filing)" xfId="43" xr:uid="{BB5A44EF-4D99-404D-ABC9-E78DF42F5A40}"/>
    <cellStyle name="Normal_SDGE Tiered ratesmud" xfId="42" xr:uid="{292919E0-12A2-4E43-A1A2-4C24DB3B257A}"/>
    <cellStyle name="Percent" xfId="40" builtinId="5"/>
    <cellStyle name="Percent [2]" xfId="23" xr:uid="{E59307F2-F086-4441-9673-C73345619B92}"/>
    <cellStyle name="Percent 2" xfId="24" xr:uid="{53FD8FB0-DE16-440B-8091-1A5F721D0797}"/>
    <cellStyle name="Percent 3" xfId="25" xr:uid="{FD09ACED-468E-42F6-A1AA-5A76707CDC8A}"/>
    <cellStyle name="Percent 4" xfId="33" xr:uid="{75FC7505-8CA7-4DC6-AF7E-0A549648BDAB}"/>
    <cellStyle name="Percent 5" xfId="22" xr:uid="{FDA81B20-6FA8-49F6-A9CF-1116F234E27E}"/>
    <cellStyle name="Percent 6" xfId="44" xr:uid="{E63A8815-2CE5-4B23-BCD9-1050A93745E5}"/>
    <cellStyle name="Total 2" xfId="26" xr:uid="{B7044CB5-68EF-42DF-AE5D-9CDC42788CD9}"/>
    <cellStyle name="Unprot" xfId="27" xr:uid="{C5877B4C-C00B-4575-97C3-8AFFB3689A95}"/>
    <cellStyle name="Unprot 2" xfId="52" xr:uid="{C0BB8D62-0188-49C7-A43C-A149C87B528C}"/>
    <cellStyle name="Unprot$" xfId="28" xr:uid="{67D3E91F-4980-4407-9928-2E00A0F61904}"/>
    <cellStyle name="Unprot_07-2008 CSI Update v1.5 - FINAL" xfId="29" xr:uid="{12952277-79F8-44C2-A6A3-D712ABB4C91F}"/>
    <cellStyle name="Unprotect" xfId="30" xr:uid="{B510A288-A05D-40A2-AD64-2906F1437A0A}"/>
  </cellStyles>
  <dxfs count="2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66FFFF"/>
      <color rgb="FFFFE5FF"/>
      <color rgb="FFCC99FF"/>
      <color rgb="FFCCFFFF"/>
      <color rgb="FFBDFFDE"/>
      <color rgb="FFEFE7FD"/>
      <color rgb="FF99FFCC"/>
      <color rgb="FFAF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9</xdr:row>
      <xdr:rowOff>0</xdr:rowOff>
    </xdr:from>
    <xdr:to>
      <xdr:col>5</xdr:col>
      <xdr:colOff>12700</xdr:colOff>
      <xdr:row>16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2141E9F-9D49-7891-1F58-C2F7CD113892}"/>
            </a:ext>
          </a:extLst>
        </xdr:cNvPr>
        <xdr:cNvSpPr txBox="1"/>
      </xdr:nvSpPr>
      <xdr:spPr>
        <a:xfrm>
          <a:off x="2076450" y="1701800"/>
          <a:ext cx="10331450" cy="1320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Quarterly Tracker, as developed per the Affordability OIR and used across the California IOUs, performs high-level rate and bill calculation estimates which will not replicate rate or bill impacts that match SDG&amp;E’s modeling used for CPUC/FERC filings and implementation.</a:t>
          </a:r>
          <a:b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en-US"/>
          </a:b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Different rate components use simplified allocations that may not reflect actual revenue allocation and rate design.</a:t>
          </a:r>
          <a:r>
            <a:rPr lang="en-US"/>
            <a:t> </a:t>
          </a:r>
          <a:br>
            <a:rPr lang="en-US"/>
          </a:br>
          <a:br>
            <a:rPr lang="en-US"/>
          </a:b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Forecasts may be held constant in outer years if an application has not yet been filed requesting a change, but it is not expected to roll-off. For example, the ERRA Application forecasts for the current year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 held constant over the next four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years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will be updated as new ERRA Applications are filed.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1D80-63B9-4E40-9FE6-558C04A1579E}">
  <dimension ref="D8:E11"/>
  <sheetViews>
    <sheetView showGridLines="0" tabSelected="1" workbookViewId="0"/>
  </sheetViews>
  <sheetFormatPr defaultRowHeight="14.5"/>
  <cols>
    <col min="4" max="4" width="3.54296875" style="403" customWidth="1"/>
    <col min="5" max="5" width="150.54296875" customWidth="1"/>
  </cols>
  <sheetData>
    <row r="8" spans="4:5" ht="18.5">
      <c r="E8" s="402" t="s">
        <v>430</v>
      </c>
    </row>
    <row r="9" spans="4:5">
      <c r="D9" s="404"/>
      <c r="E9" s="401"/>
    </row>
    <row r="10" spans="4:5">
      <c r="D10" s="404"/>
      <c r="E10" s="401"/>
    </row>
    <row r="11" spans="4:5">
      <c r="D11" s="404"/>
      <c r="E11" s="401"/>
    </row>
  </sheetData>
  <pageMargins left="0.7" right="0.7" top="0.75" bottom="0.75" header="0.3" footer="0.3"/>
  <headerFooter>
    <oddFooter xml:space="preserve">&amp;C_x000D_&amp;1#&amp;"Calibri"&amp;12&amp;K000000 Public 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5DC67-FE27-45CE-929F-9CCB6CAE3578}">
  <sheetPr codeName="Sheet8">
    <tabColor rgb="FF92D050"/>
  </sheetPr>
  <dimension ref="B1:S103"/>
  <sheetViews>
    <sheetView workbookViewId="0"/>
  </sheetViews>
  <sheetFormatPr defaultColWidth="8.81640625" defaultRowHeight="14.5"/>
  <cols>
    <col min="1" max="1" width="5.54296875" style="6" customWidth="1"/>
    <col min="2" max="2" width="16.54296875" style="6" customWidth="1"/>
    <col min="3" max="3" width="18.1796875" style="6" customWidth="1"/>
    <col min="4" max="9" width="16.81640625" style="6" customWidth="1"/>
    <col min="10" max="10" width="23.54296875" style="6" customWidth="1"/>
    <col min="11" max="12" width="15.54296875" style="6" customWidth="1"/>
    <col min="13" max="16" width="13.453125" style="6" customWidth="1"/>
    <col min="17" max="17" width="15.453125" style="6" bestFit="1" customWidth="1"/>
    <col min="18" max="18" width="15.81640625" style="6" customWidth="1"/>
    <col min="19" max="23" width="15.54296875" style="6" customWidth="1"/>
    <col min="24" max="16384" width="8.81640625" style="6"/>
  </cols>
  <sheetData>
    <row r="1" spans="2:18">
      <c r="B1" s="413" t="s">
        <v>121</v>
      </c>
      <c r="F1" s="37" t="s">
        <v>122</v>
      </c>
      <c r="G1" s="38"/>
      <c r="H1" s="38"/>
      <c r="L1" s="37" t="s">
        <v>438</v>
      </c>
      <c r="N1" s="37"/>
      <c r="O1" s="38"/>
      <c r="P1" s="38"/>
    </row>
    <row r="2" spans="2:18">
      <c r="B2" s="38"/>
      <c r="C2" s="39"/>
      <c r="D2" s="38"/>
      <c r="E2" s="38"/>
      <c r="F2" s="38" t="s">
        <v>123</v>
      </c>
      <c r="G2" s="40"/>
      <c r="H2" s="43" t="str">
        <f>Summary!I2</f>
        <v>1/1/26</v>
      </c>
      <c r="L2" s="6" t="s">
        <v>534</v>
      </c>
    </row>
    <row r="3" spans="2:18">
      <c r="B3" s="41"/>
      <c r="C3" s="42" t="s">
        <v>124</v>
      </c>
      <c r="D3" s="277" t="s">
        <v>125</v>
      </c>
      <c r="F3" s="38" t="s">
        <v>126</v>
      </c>
      <c r="G3" s="40"/>
      <c r="H3" s="43">
        <f>Summary!I3</f>
        <v>2027</v>
      </c>
      <c r="L3" s="6" t="s">
        <v>440</v>
      </c>
    </row>
    <row r="4" spans="2:18">
      <c r="F4" s="41" t="s">
        <v>130</v>
      </c>
      <c r="H4" s="49">
        <f>Summary!I4</f>
        <v>5</v>
      </c>
      <c r="I4" s="41" t="s">
        <v>131</v>
      </c>
      <c r="L4" s="6" t="s">
        <v>435</v>
      </c>
    </row>
    <row r="5" spans="2:18">
      <c r="D5" s="44" t="s">
        <v>157</v>
      </c>
      <c r="F5" s="41" t="s">
        <v>132</v>
      </c>
      <c r="H5" s="49">
        <f>Summary!I5</f>
        <v>7</v>
      </c>
      <c r="I5" s="41" t="s">
        <v>131</v>
      </c>
      <c r="L5" s="410"/>
      <c r="M5" s="517" t="s">
        <v>436</v>
      </c>
      <c r="N5" s="518"/>
      <c r="O5" s="517" t="s">
        <v>437</v>
      </c>
      <c r="P5" s="518"/>
    </row>
    <row r="6" spans="2:18">
      <c r="C6" s="184" t="s">
        <v>3</v>
      </c>
      <c r="D6" s="278"/>
      <c r="F6" s="725" t="s">
        <v>439</v>
      </c>
      <c r="G6" s="709"/>
      <c r="H6" s="726">
        <f>IF($H$8="N",0,'Sales Allocations &amp; CCC'!$R$3)</f>
        <v>-49.36479961202253</v>
      </c>
      <c r="I6" s="41" t="s">
        <v>184</v>
      </c>
      <c r="L6" s="411" t="s">
        <v>127</v>
      </c>
      <c r="M6" s="411" t="s">
        <v>192</v>
      </c>
      <c r="N6" s="411" t="s">
        <v>193</v>
      </c>
      <c r="O6" s="411" t="s">
        <v>192</v>
      </c>
      <c r="P6" s="411" t="s">
        <v>193</v>
      </c>
    </row>
    <row r="7" spans="2:18">
      <c r="C7" s="185" t="s">
        <v>373</v>
      </c>
      <c r="D7" s="278"/>
      <c r="F7" s="584"/>
      <c r="G7" s="709"/>
      <c r="H7" s="726">
        <f>IF($H$8="N",0,IF($H$3=2026,'Sales Allocations &amp; CCC'!$R$3,'Sales Allocations &amp; CCC'!$R$4))</f>
        <v>-49.36479961202253</v>
      </c>
      <c r="I7" s="41" t="s">
        <v>174</v>
      </c>
      <c r="L7" s="49" t="s">
        <v>149</v>
      </c>
      <c r="M7" s="162">
        <f>IF($D$3="ALL",SUMPRODUCT('Hypothetical Res Bill Impact'!Q22:Q25,'Hypothetical Res Bill Impact'!U22:U25),VLOOKUP($D$3,'Hypothetical Res Bill Impact'!$P$22:$V$25,2,FALSE))</f>
        <v>334.36541599999998</v>
      </c>
      <c r="N7" s="163">
        <f>IF($D$3="ALL",SUMPRODUCT('Hypothetical Res Bill Impact'!R22:R25,'Hypothetical Res Bill Impact'!U22:U25),VLOOKUP(D$3,'Hypothetical Res Bill Impact'!$P$22:$V$25,3,FALSE))</f>
        <v>309.27334100000002</v>
      </c>
      <c r="O7" s="162">
        <f>IF($D$3="ALL",SUMPRODUCT('Hypothetical Res Bill Impact'!Q31:Q34,'Hypothetical Res Bill Impact'!U31:U34),VLOOKUP($D$3,'Hypothetical Res Bill Impact'!$P$31:$V$34,2,FALSE))</f>
        <v>283.425005</v>
      </c>
      <c r="P7" s="163">
        <f>IF($D$3="ALL",SUMPRODUCT('Hypothetical Res Bill Impact'!R31:R34,'Hypothetical Res Bill Impact'!U31:U34),VLOOKUP(D$3,'Hypothetical Res Bill Impact'!$P$31:$V$34,3,FALSE))</f>
        <v>272.60744599999998</v>
      </c>
    </row>
    <row r="8" spans="2:18">
      <c r="C8" s="185" t="s">
        <v>59</v>
      </c>
      <c r="D8" s="278"/>
      <c r="F8" s="584"/>
      <c r="G8" s="727" t="s">
        <v>442</v>
      </c>
      <c r="H8" s="721" t="s">
        <v>26</v>
      </c>
      <c r="I8" s="41"/>
      <c r="L8" s="49" t="s">
        <v>150</v>
      </c>
      <c r="M8" s="163">
        <f>IF($D$3="ALL",SUMPRODUCT('Hypothetical Res Bill Impact'!S22:S25,'Hypothetical Res Bill Impact'!V22:V25),VLOOKUP($D$3,'Hypothetical Res Bill Impact'!$P$22:$V$25,4,FALSE))</f>
        <v>329.33632999999998</v>
      </c>
      <c r="N8" s="163">
        <f>IF($D$3="ALL",SUMPRODUCT('Hypothetical Res Bill Impact'!T22:T25,'Hypothetical Res Bill Impact'!V22:V25),VLOOKUP($D$3,'Hypothetical Res Bill Impact'!$P$22:$V$25,5,FALSE))</f>
        <v>300.562815</v>
      </c>
      <c r="O8" s="163">
        <f>IF($D$3="ALL",SUMPRODUCT('Hypothetical Res Bill Impact'!S31:S34,'Hypothetical Res Bill Impact'!V31:V34),VLOOKUP($D$3,'Hypothetical Res Bill Impact'!$P$31:$V$34,4,FALSE))</f>
        <v>293.30439200000001</v>
      </c>
      <c r="P8" s="163">
        <f>IF($D$3="ALL",SUMPRODUCT('Hypothetical Res Bill Impact'!T31:T34,'Hypothetical Res Bill Impact'!V31:V34),VLOOKUP($D$3,'Hypothetical Res Bill Impact'!$P$31:$V$34,5,FALSE))</f>
        <v>284.82109400000002</v>
      </c>
    </row>
    <row r="9" spans="2:18">
      <c r="C9" s="185" t="s">
        <v>5</v>
      </c>
      <c r="D9" s="278"/>
      <c r="F9" s="584"/>
      <c r="G9" s="727" t="s">
        <v>433</v>
      </c>
      <c r="H9" s="728">
        <v>400</v>
      </c>
      <c r="I9" s="41"/>
    </row>
    <row r="10" spans="2:18">
      <c r="C10" s="185" t="s">
        <v>98</v>
      </c>
      <c r="D10" s="278"/>
      <c r="F10" s="516" t="s">
        <v>434</v>
      </c>
      <c r="G10" s="516"/>
      <c r="J10" s="41"/>
      <c r="L10" s="41"/>
      <c r="Q10" s="41"/>
    </row>
    <row r="11" spans="2:18">
      <c r="C11" s="185" t="s">
        <v>14</v>
      </c>
      <c r="D11" s="278"/>
      <c r="F11" s="516"/>
      <c r="G11" s="516"/>
    </row>
    <row r="12" spans="2:18">
      <c r="C12" s="185" t="s">
        <v>80</v>
      </c>
      <c r="D12" s="278"/>
      <c r="E12" s="44"/>
      <c r="F12" s="516"/>
      <c r="G12" s="516"/>
      <c r="M12" s="41"/>
    </row>
    <row r="13" spans="2:18">
      <c r="C13" s="186" t="s">
        <v>99</v>
      </c>
      <c r="D13" s="278"/>
      <c r="E13" s="44"/>
      <c r="J13" s="274"/>
      <c r="L13" s="41"/>
      <c r="M13" s="41"/>
      <c r="R13" s="41"/>
    </row>
    <row r="14" spans="2:18">
      <c r="C14" s="185" t="s">
        <v>97</v>
      </c>
      <c r="D14" s="278"/>
      <c r="E14" s="44"/>
      <c r="L14" s="41"/>
      <c r="M14" s="41"/>
      <c r="R14" s="41"/>
    </row>
    <row r="15" spans="2:18">
      <c r="C15" s="185" t="s">
        <v>251</v>
      </c>
      <c r="D15" s="278"/>
      <c r="E15" s="44"/>
      <c r="L15" s="41"/>
      <c r="M15" s="41"/>
      <c r="R15" s="41"/>
    </row>
    <row r="16" spans="2:18">
      <c r="C16" s="185" t="s">
        <v>10</v>
      </c>
      <c r="D16" s="278"/>
      <c r="E16" s="44"/>
      <c r="L16" s="41"/>
      <c r="M16" s="41"/>
      <c r="R16" s="41"/>
    </row>
    <row r="17" spans="2:19">
      <c r="C17" s="185" t="s">
        <v>87</v>
      </c>
      <c r="D17" s="278"/>
      <c r="E17" s="44"/>
      <c r="F17" s="41"/>
      <c r="K17" s="41"/>
      <c r="L17" s="41"/>
    </row>
    <row r="18" spans="2:19" ht="15.4" customHeight="1">
      <c r="C18" s="185" t="s">
        <v>221</v>
      </c>
      <c r="D18" s="278"/>
      <c r="E18" s="44"/>
      <c r="F18" s="41"/>
      <c r="K18" s="41"/>
      <c r="L18" s="41"/>
    </row>
    <row r="19" spans="2:19">
      <c r="C19" s="185" t="s">
        <v>78</v>
      </c>
      <c r="D19" s="279"/>
      <c r="E19" s="44"/>
      <c r="F19" s="41"/>
      <c r="K19" s="41"/>
      <c r="L19" s="41"/>
    </row>
    <row r="20" spans="2:19">
      <c r="B20"/>
      <c r="C20" s="24" t="s">
        <v>112</v>
      </c>
      <c r="D20" s="187">
        <f>SUM(D6:D19)</f>
        <v>0</v>
      </c>
      <c r="E20" s="44"/>
      <c r="F20" s="41"/>
      <c r="K20" s="41"/>
      <c r="L20" s="41"/>
    </row>
    <row r="21" spans="2:19">
      <c r="B21"/>
      <c r="D21" s="44"/>
      <c r="E21" s="44"/>
      <c r="F21" s="41"/>
      <c r="J21" s="48"/>
      <c r="K21" s="41"/>
      <c r="L21" s="41"/>
    </row>
    <row r="22" spans="2:19">
      <c r="B22" s="39"/>
      <c r="C22" s="188"/>
      <c r="D22" s="188"/>
      <c r="I22" s="41"/>
      <c r="L22" s="41"/>
    </row>
    <row r="23" spans="2:19">
      <c r="B23" s="37" t="s">
        <v>133</v>
      </c>
    </row>
    <row r="24" spans="2:19" ht="15" thickBot="1">
      <c r="D24" s="50" t="s">
        <v>134</v>
      </c>
      <c r="E24" s="50" t="s">
        <v>135</v>
      </c>
      <c r="F24" s="50" t="s">
        <v>136</v>
      </c>
      <c r="G24" s="50" t="s">
        <v>215</v>
      </c>
      <c r="H24" s="189" t="s">
        <v>216</v>
      </c>
      <c r="I24" s="50"/>
      <c r="M24" s="50" t="s">
        <v>134</v>
      </c>
      <c r="N24" s="50" t="s">
        <v>135</v>
      </c>
      <c r="O24" s="50" t="s">
        <v>136</v>
      </c>
      <c r="P24" s="50" t="s">
        <v>215</v>
      </c>
      <c r="Q24" s="189" t="s">
        <v>216</v>
      </c>
      <c r="R24" s="50"/>
      <c r="S24" s="50"/>
    </row>
    <row r="25" spans="2:19" s="709" customFormat="1">
      <c r="B25" s="729" t="s">
        <v>141</v>
      </c>
      <c r="C25" s="730"/>
      <c r="D25" s="730"/>
      <c r="E25" s="730"/>
      <c r="F25" s="730"/>
      <c r="G25" s="730"/>
      <c r="H25" s="731"/>
      <c r="I25" s="732"/>
      <c r="K25" s="729" t="s">
        <v>142</v>
      </c>
      <c r="L25" s="730"/>
      <c r="M25" s="730"/>
      <c r="N25" s="730"/>
      <c r="O25" s="730"/>
      <c r="P25" s="730"/>
      <c r="Q25" s="731"/>
      <c r="R25" s="732"/>
      <c r="S25" s="733"/>
    </row>
    <row r="26" spans="2:19" s="709" customFormat="1" ht="29">
      <c r="B26" s="734" t="s">
        <v>143</v>
      </c>
      <c r="C26" s="735"/>
      <c r="D26" s="736" t="str">
        <f>Summary!D31</f>
        <v>10/1/2025</v>
      </c>
      <c r="E26" s="736" t="str">
        <f>Summary!E31</f>
        <v>1/1/26</v>
      </c>
      <c r="F26" s="736" t="s">
        <v>174</v>
      </c>
      <c r="G26" s="736" t="str">
        <f>Summary!H31</f>
        <v>% Change over 10/1/2025</v>
      </c>
      <c r="H26" s="736" t="str">
        <f>Summary!I31</f>
        <v>% Change over 1/1/26</v>
      </c>
      <c r="I26" s="737"/>
      <c r="J26" s="738"/>
      <c r="K26" s="739" t="s">
        <v>143</v>
      </c>
      <c r="L26" s="740"/>
      <c r="M26" s="741" t="str">
        <f>$D$26</f>
        <v>10/1/2025</v>
      </c>
      <c r="N26" s="741" t="str">
        <f>$E$26</f>
        <v>1/1/26</v>
      </c>
      <c r="O26" s="593" t="s">
        <v>174</v>
      </c>
      <c r="P26" s="742" t="str">
        <f>G26</f>
        <v>% Change over 10/1/2025</v>
      </c>
      <c r="Q26" s="743" t="str">
        <f>$H$26</f>
        <v>% Change over 1/1/26</v>
      </c>
      <c r="R26" s="744"/>
      <c r="S26" s="745"/>
    </row>
    <row r="27" spans="2:19" s="709" customFormat="1">
      <c r="B27" s="746" t="s">
        <v>145</v>
      </c>
      <c r="C27" s="747"/>
      <c r="D27" s="588">
        <f>IF($H$8="Y",'Hypothetical SAR and RAR'!Z31,'Hypothetical SAR and RAR'!AB31)</f>
        <v>37.26</v>
      </c>
      <c r="E27" s="588">
        <f>IF($H$8="Y",'Hypothetical SAR and RAR'!AA31,'Hypothetical SAR and RAR'!AC31)</f>
        <v>43.182000000000002</v>
      </c>
      <c r="F27" s="588">
        <f>'Hypothetical SAR and RAR'!H29</f>
        <v>43.182000000000002</v>
      </c>
      <c r="G27" s="748">
        <f t="shared" ref="G27:H29" si="0">$F27/D27-1</f>
        <v>0.15893719806763307</v>
      </c>
      <c r="H27" s="749">
        <f t="shared" si="0"/>
        <v>0</v>
      </c>
      <c r="I27" s="750"/>
      <c r="J27" s="751"/>
      <c r="K27" s="746" t="s">
        <v>146</v>
      </c>
      <c r="L27" s="752"/>
      <c r="M27" s="588">
        <f>Summary!N32</f>
        <v>35.794815973627038</v>
      </c>
      <c r="N27" s="753">
        <f>'Hypothetical SAR and RAR'!Q29</f>
        <v>46.597864677489412</v>
      </c>
      <c r="O27" s="753">
        <f>'Hypothetical SAR and RAR'!R29</f>
        <v>46.597864677489412</v>
      </c>
      <c r="P27" s="55">
        <f>O27/M27-1</f>
        <v>0.30180483989139262</v>
      </c>
      <c r="Q27" s="749">
        <f>$O27/N27-1</f>
        <v>0</v>
      </c>
      <c r="R27" s="750"/>
      <c r="S27" s="751"/>
    </row>
    <row r="28" spans="2:19" s="709" customFormat="1">
      <c r="B28" s="754"/>
      <c r="C28" s="755" t="s">
        <v>409</v>
      </c>
      <c r="D28" s="589">
        <f>IF($H$8="Y",'Hypoth. SAR and RAR (TOU-A)'!W30,'Hypoth. SAR and RAR (TOU-A)'!Y30)</f>
        <v>37.106000000000002</v>
      </c>
      <c r="E28" s="589">
        <f>IF($H$8="Y",'Hypoth. SAR and RAR (TOU-A)'!X30,'Hypoth. SAR and RAR (TOU-A)'!Z30)</f>
        <v>39.275999999999996</v>
      </c>
      <c r="F28" s="589">
        <f>'Hypoth. SAR and RAR (TOU-A)'!H29</f>
        <v>39.275999999999996</v>
      </c>
      <c r="G28" s="748">
        <f t="shared" si="0"/>
        <v>5.8481108176575036E-2</v>
      </c>
      <c r="H28" s="749">
        <f t="shared" si="0"/>
        <v>0</v>
      </c>
      <c r="I28" s="750"/>
      <c r="J28" s="751"/>
      <c r="K28" s="754"/>
      <c r="L28" s="755" t="s">
        <v>409</v>
      </c>
      <c r="M28" s="589">
        <f>Summary!N33</f>
        <v>36.137671999002876</v>
      </c>
      <c r="N28" s="756">
        <f>'Hypoth. SAR and RAR (TOU-A)'!Q29</f>
        <v>41.87191842065608</v>
      </c>
      <c r="O28" s="756">
        <f>'Hypoth. SAR and RAR (TOU-A)'!R29</f>
        <v>41.87191842065608</v>
      </c>
      <c r="P28" s="55">
        <f>O28/M28-1</f>
        <v>0.15867780364522166</v>
      </c>
      <c r="Q28" s="749">
        <f>$O28/N28-1</f>
        <v>0</v>
      </c>
      <c r="R28" s="750"/>
      <c r="S28" s="751"/>
    </row>
    <row r="29" spans="2:19" s="709" customFormat="1" ht="15" thickBot="1">
      <c r="B29" s="757" t="s">
        <v>147</v>
      </c>
      <c r="C29" s="758"/>
      <c r="D29" s="590">
        <f>IF($H$8="Y",'Hypothetical SAR and RAR'!Z32,'Hypothetical SAR and RAR'!AB32)</f>
        <v>35.117000000000004</v>
      </c>
      <c r="E29" s="590">
        <f>IF($H$8="Y",'Hypothetical SAR and RAR'!AA32,'Hypothetical SAR and RAR'!AC32)</f>
        <v>39.322999999999993</v>
      </c>
      <c r="F29" s="590">
        <f>'Hypothetical SAR and RAR'!H30</f>
        <v>39.322999999999993</v>
      </c>
      <c r="G29" s="263">
        <f t="shared" si="0"/>
        <v>0.11977105105789176</v>
      </c>
      <c r="H29" s="759">
        <f t="shared" si="0"/>
        <v>0</v>
      </c>
      <c r="I29" s="750"/>
      <c r="J29" s="751"/>
      <c r="K29" s="757" t="s">
        <v>148</v>
      </c>
      <c r="L29" s="760"/>
      <c r="M29" s="590">
        <f>Summary!N34</f>
        <v>33.966275336408145</v>
      </c>
      <c r="N29" s="761">
        <f>'Hypothetical SAR and RAR'!Q30</f>
        <v>41.814953036913295</v>
      </c>
      <c r="O29" s="761">
        <f>'Hypothetical SAR and RAR'!R30</f>
        <v>41.814953036913295</v>
      </c>
      <c r="P29" s="58">
        <f>O29/M29-1</f>
        <v>0.23107266318636421</v>
      </c>
      <c r="Q29" s="762">
        <f>$O29/N29-1</f>
        <v>0</v>
      </c>
      <c r="R29" s="750"/>
      <c r="S29" s="751"/>
    </row>
    <row r="30" spans="2:19" s="709" customFormat="1">
      <c r="E30" s="591"/>
      <c r="F30" s="591"/>
      <c r="G30" s="591"/>
      <c r="N30" s="591"/>
      <c r="O30" s="591"/>
      <c r="P30" s="591"/>
    </row>
    <row r="31" spans="2:19" s="709" customFormat="1" ht="15" thickBot="1">
      <c r="E31" s="591"/>
      <c r="F31" s="591"/>
      <c r="G31" s="591"/>
      <c r="N31" s="591"/>
      <c r="O31" s="591"/>
      <c r="P31" s="591"/>
    </row>
    <row r="32" spans="2:19" s="709" customFormat="1">
      <c r="B32" s="763" t="s">
        <v>279</v>
      </c>
      <c r="C32" s="764"/>
      <c r="D32" s="764"/>
      <c r="E32" s="764"/>
      <c r="F32" s="764"/>
      <c r="G32" s="764"/>
      <c r="H32" s="765"/>
      <c r="I32" s="766"/>
      <c r="K32" s="763" t="s">
        <v>282</v>
      </c>
      <c r="L32" s="764"/>
      <c r="M32" s="764"/>
      <c r="N32" s="764"/>
      <c r="O32" s="764"/>
      <c r="P32" s="764"/>
      <c r="Q32" s="765"/>
    </row>
    <row r="33" spans="2:19" s="709" customFormat="1" ht="29">
      <c r="B33" s="767"/>
      <c r="C33" s="768"/>
      <c r="D33" s="736" t="str">
        <f>$D$26</f>
        <v>10/1/2025</v>
      </c>
      <c r="E33" s="736" t="str">
        <f>$E$26</f>
        <v>1/1/26</v>
      </c>
      <c r="F33" s="736" t="str">
        <f>$F$26</f>
        <v>Proposed</v>
      </c>
      <c r="G33" s="742" t="str">
        <f>$G$26</f>
        <v>% Change over 10/1/2025</v>
      </c>
      <c r="H33" s="743" t="str">
        <f>$H$26</f>
        <v>% Change over 1/1/26</v>
      </c>
      <c r="I33" s="744"/>
      <c r="K33" s="767"/>
      <c r="L33" s="768"/>
      <c r="M33" s="736" t="str">
        <f>$D$26</f>
        <v>10/1/2025</v>
      </c>
      <c r="N33" s="736" t="str">
        <f>$E$26</f>
        <v>1/1/26</v>
      </c>
      <c r="O33" s="736" t="str">
        <f>$F$26</f>
        <v>Proposed</v>
      </c>
      <c r="P33" s="742" t="str">
        <f>$G$26</f>
        <v>% Change over 10/1/2025</v>
      </c>
      <c r="Q33" s="769" t="str">
        <f>$H$26</f>
        <v>% Change over 1/1/26</v>
      </c>
    </row>
    <row r="34" spans="2:19" s="709" customFormat="1">
      <c r="B34" s="770" t="s">
        <v>149</v>
      </c>
      <c r="C34" s="771"/>
      <c r="D34" s="598">
        <f>((D40*5)+(D46*7)+(H6*2))/12</f>
        <v>135.46345051929794</v>
      </c>
      <c r="E34" s="598">
        <f>((E40*5)+(E46*7)+(H6*2))/12</f>
        <v>150.44805880039382</v>
      </c>
      <c r="F34" s="594">
        <f>((F40*5)+(F46*7)+(H7*2))/12</f>
        <v>150.44805880039382</v>
      </c>
      <c r="G34" s="259">
        <f t="shared" ref="G34:H36" si="1">$F34/D34-1</f>
        <v>0.11061735267817641</v>
      </c>
      <c r="H34" s="772">
        <f t="shared" si="1"/>
        <v>0</v>
      </c>
      <c r="I34" s="750"/>
      <c r="J34" s="751"/>
      <c r="K34" s="770" t="s">
        <v>149</v>
      </c>
      <c r="L34" s="771"/>
      <c r="M34" s="598">
        <f>((M40*5)+(M46*7)+(H6*2))/12</f>
        <v>121.43994198763328</v>
      </c>
      <c r="N34" s="598">
        <f>((N40*5)+(N46*7)+(H6*2))/12</f>
        <v>134.6724282302512</v>
      </c>
      <c r="O34" s="594">
        <f>((O40*5)+(O46*7)+(H7*2))/12</f>
        <v>134.6724282302512</v>
      </c>
      <c r="P34" s="259">
        <f t="shared" ref="P34:Q36" si="2">$O34/M34-1</f>
        <v>0.10896321281152654</v>
      </c>
      <c r="Q34" s="260">
        <f t="shared" si="2"/>
        <v>0</v>
      </c>
      <c r="R34" s="750"/>
      <c r="S34" s="751"/>
    </row>
    <row r="35" spans="2:19" s="709" customFormat="1">
      <c r="B35" s="770" t="s">
        <v>150</v>
      </c>
      <c r="C35" s="771"/>
      <c r="D35" s="598">
        <f>((D41*5)+(D47*7)+(H6*2))/12</f>
        <v>72.764496371708745</v>
      </c>
      <c r="E35" s="598">
        <f>((E41*5)+(E47*7)+(H6*2))/12</f>
        <v>80.540784647742072</v>
      </c>
      <c r="F35" s="594">
        <f>((F41*5)+(F47*7)+(H7*2))/12</f>
        <v>80.540784647742072</v>
      </c>
      <c r="G35" s="259">
        <f t="shared" si="1"/>
        <v>0.10686926542182174</v>
      </c>
      <c r="H35" s="773">
        <f t="shared" si="1"/>
        <v>0</v>
      </c>
      <c r="I35" s="750"/>
      <c r="J35" s="751"/>
      <c r="K35" s="770" t="s">
        <v>150</v>
      </c>
      <c r="L35" s="771"/>
      <c r="M35" s="598">
        <f>((M41*5)+(M47*7)+(H6*2))/12</f>
        <v>68.482627831344573</v>
      </c>
      <c r="N35" s="598">
        <f>((N41*5)+(N47*7)+(H6*2))/12</f>
        <v>75.848352926397908</v>
      </c>
      <c r="O35" s="594">
        <f>((O41*5)+(O47*7)+(H7*2))/12</f>
        <v>75.848352926397908</v>
      </c>
      <c r="P35" s="259">
        <f t="shared" si="2"/>
        <v>0.10755611062696446</v>
      </c>
      <c r="Q35" s="257">
        <f t="shared" si="2"/>
        <v>0</v>
      </c>
      <c r="R35" s="750"/>
      <c r="S35" s="751"/>
    </row>
    <row r="36" spans="2:19" s="709" customFormat="1" ht="15" thickBot="1">
      <c r="B36" s="757" t="s">
        <v>112</v>
      </c>
      <c r="C36" s="758"/>
      <c r="D36" s="597">
        <f>((D42*5)+(D48*7)+(H6*2))/12</f>
        <v>123.22243718907139</v>
      </c>
      <c r="E36" s="597">
        <f>((E42*5)+(E48*7)+(H6*2))/12</f>
        <v>136.79973106644044</v>
      </c>
      <c r="F36" s="595">
        <f>((F42*5)+(F48*7)+(H7*2))/12</f>
        <v>136.79973106644044</v>
      </c>
      <c r="G36" s="261">
        <f t="shared" si="1"/>
        <v>0.11018524050564094</v>
      </c>
      <c r="H36" s="774">
        <f t="shared" si="1"/>
        <v>0</v>
      </c>
      <c r="I36" s="750"/>
      <c r="J36" s="751"/>
      <c r="K36" s="757" t="s">
        <v>112</v>
      </c>
      <c r="L36" s="758"/>
      <c r="M36" s="597">
        <f>((M42*5)+(M48*7)+(H6*2))/12</f>
        <v>111.10083510246602</v>
      </c>
      <c r="N36" s="597">
        <f>((N42*5)+(N48*7)+(H6*2))/12</f>
        <v>123.18792582152314</v>
      </c>
      <c r="O36" s="595">
        <f>((O42*5)+(O48*7)+(H7*2))/12</f>
        <v>123.18792582152314</v>
      </c>
      <c r="P36" s="261">
        <f t="shared" si="2"/>
        <v>0.10879387817300779</v>
      </c>
      <c r="Q36" s="262">
        <f t="shared" si="2"/>
        <v>0</v>
      </c>
      <c r="R36" s="750"/>
      <c r="S36" s="751"/>
    </row>
    <row r="37" spans="2:19" s="709" customFormat="1" ht="15" thickBot="1">
      <c r="D37" s="596"/>
      <c r="E37" s="596"/>
      <c r="F37" s="596"/>
      <c r="G37" s="596"/>
      <c r="I37" s="775"/>
    </row>
    <row r="38" spans="2:19" s="709" customFormat="1">
      <c r="B38" s="763" t="s">
        <v>280</v>
      </c>
      <c r="C38" s="764"/>
      <c r="D38" s="764"/>
      <c r="E38" s="764"/>
      <c r="F38" s="764"/>
      <c r="G38" s="764"/>
      <c r="H38" s="765"/>
      <c r="I38" s="766"/>
      <c r="K38" s="763" t="s">
        <v>283</v>
      </c>
      <c r="L38" s="764"/>
      <c r="M38" s="764"/>
      <c r="N38" s="764"/>
      <c r="O38" s="764"/>
      <c r="P38" s="764"/>
      <c r="Q38" s="765"/>
    </row>
    <row r="39" spans="2:19" s="709" customFormat="1" ht="29">
      <c r="B39" s="767"/>
      <c r="C39" s="768"/>
      <c r="D39" s="736" t="str">
        <f>D33</f>
        <v>10/1/2025</v>
      </c>
      <c r="E39" s="736" t="str">
        <f>E26</f>
        <v>1/1/26</v>
      </c>
      <c r="F39" s="736" t="str">
        <f>F26</f>
        <v>Proposed</v>
      </c>
      <c r="G39" s="742" t="str">
        <f>G26</f>
        <v>% Change over 10/1/2025</v>
      </c>
      <c r="H39" s="743" t="str">
        <f>$H$26</f>
        <v>% Change over 1/1/26</v>
      </c>
      <c r="I39" s="744"/>
      <c r="K39" s="767"/>
      <c r="L39" s="768"/>
      <c r="M39" s="736" t="str">
        <f>M33</f>
        <v>10/1/2025</v>
      </c>
      <c r="N39" s="736" t="str">
        <f>N26</f>
        <v>1/1/26</v>
      </c>
      <c r="O39" s="736" t="str">
        <f>O26</f>
        <v>Proposed</v>
      </c>
      <c r="P39" s="742" t="str">
        <f>P26</f>
        <v>% Change over 10/1/2025</v>
      </c>
      <c r="Q39" s="769" t="str">
        <f>$H$26</f>
        <v>% Change over 1/1/26</v>
      </c>
    </row>
    <row r="40" spans="2:19" s="709" customFormat="1">
      <c r="B40" s="770" t="s">
        <v>149</v>
      </c>
      <c r="C40" s="771"/>
      <c r="D40" s="598">
        <f>IF($D$3="All",'Hypothetical Res Bill Impact'!$C$47,(VLOOKUP($D$3,'Hypothetical Res Bill Impact'!$B$43:$J$46,2,FALSE)))</f>
        <v>149.179345124598</v>
      </c>
      <c r="E40" s="598">
        <f>IF($D$3="All",'Hypothetical Res Bill Impact'!$E$47,(VLOOKUP($D$3,'Hypothetical Res Bill Impact'!$B$43:$J$46,4,FALSE)))</f>
        <v>164.84994309576589</v>
      </c>
      <c r="F40" s="594">
        <f>IF($D$3="All",'Hypothetical Res Bill Impact'!$G$47,(VLOOKUP($D$3,'Hypothetical Res Bill Impact'!$B$43:$J$46,6,FALSE)))</f>
        <v>164.84994309576589</v>
      </c>
      <c r="G40" s="259">
        <f t="shared" ref="G40:H42" si="3">$F40/D40-1</f>
        <v>0.10504535971839424</v>
      </c>
      <c r="H40" s="773">
        <f t="shared" si="3"/>
        <v>0</v>
      </c>
      <c r="I40" s="750"/>
      <c r="J40" s="751"/>
      <c r="K40" s="770" t="s">
        <v>149</v>
      </c>
      <c r="L40" s="771"/>
      <c r="M40" s="598">
        <f>IF($D$3="All",'Hypothetical Res Bill Impact'!$L$47,(VLOOKUP($D$3,'Hypothetical Res Bill Impact'!$K$43:$Q$46,2,FALSE)))</f>
        <v>134.77089436499384</v>
      </c>
      <c r="N40" s="598">
        <f>IF($D$3="All",'Hypothetical Res Bill Impact'!$N$47,(VLOOKUP($D$3,'Hypothetical Res Bill Impact'!$K$43:$Q$46,4,FALSE)))</f>
        <v>148.64217187488833</v>
      </c>
      <c r="O40" s="594">
        <f>IF($D$3="All",'Hypothetical Res Bill Impact'!$P$47,(VLOOKUP($D$3,'Hypothetical Res Bill Impact'!$K$43:$Q$46,6,FALSE)))</f>
        <v>148.64217187488833</v>
      </c>
      <c r="P40" s="259">
        <f t="shared" ref="P40:Q42" si="4">$O40/M40-1</f>
        <v>0.10292487539874551</v>
      </c>
      <c r="Q40" s="260">
        <f t="shared" si="4"/>
        <v>0</v>
      </c>
      <c r="R40" s="750"/>
      <c r="S40" s="751"/>
    </row>
    <row r="41" spans="2:19" s="709" customFormat="1">
      <c r="B41" s="770" t="s">
        <v>150</v>
      </c>
      <c r="C41" s="771"/>
      <c r="D41" s="598">
        <f>IF($D$3="All",'Hypothetical Res Bill Impact'!$C$57,(VLOOKUP($D$3,'Hypothetical Res Bill Impact'!$B$53:$J$56,2,FALSE)))</f>
        <v>85.023779829299997</v>
      </c>
      <c r="E41" s="598">
        <f>IF($D$3="All",'Hypothetical Res Bill Impact'!$E$57,(VLOOKUP($D$3,'Hypothetical Res Bill Impact'!$B$53:$J$56,4,FALSE)))</f>
        <v>93.217667719699989</v>
      </c>
      <c r="F41" s="594">
        <f>IF($D$3="All",'Hypothetical Res Bill Impact'!$G$57,(VLOOKUP($D$3,'Hypothetical Res Bill Impact'!$B$53:$J$56,6,FALSE)))</f>
        <v>93.217667719699989</v>
      </c>
      <c r="G41" s="259">
        <f t="shared" si="3"/>
        <v>9.637171985120685E-2</v>
      </c>
      <c r="H41" s="773">
        <f t="shared" si="3"/>
        <v>0</v>
      </c>
      <c r="I41" s="750"/>
      <c r="J41" s="751"/>
      <c r="K41" s="770" t="s">
        <v>150</v>
      </c>
      <c r="L41" s="771"/>
      <c r="M41" s="598">
        <f>IF($D$3="All",'Hypothetical Res Bill Impact'!$L$57,(VLOOKUP($D$3,'Hypothetical Res Bill Impact'!$K$53:$Q$56,2,FALSE)))</f>
        <v>80.041141654400008</v>
      </c>
      <c r="N41" s="598">
        <f>IF($D$3="All",'Hypothetical Res Bill Impact'!$N$57,(VLOOKUP($D$3,'Hypothetical Res Bill Impact'!$K$53:$Q$56,4,FALSE)))</f>
        <v>87.797993536319993</v>
      </c>
      <c r="O41" s="594">
        <f>IF($D$3="All",'Hypothetical Res Bill Impact'!$P$57,(VLOOKUP($D$3,'Hypothetical Res Bill Impact'!$K$53:$Q$56,6,FALSE)))</f>
        <v>87.797993536319993</v>
      </c>
      <c r="P41" s="259">
        <f t="shared" si="4"/>
        <v>9.6910810135771852E-2</v>
      </c>
      <c r="Q41" s="257">
        <f t="shared" si="4"/>
        <v>0</v>
      </c>
      <c r="R41" s="750"/>
      <c r="S41" s="751"/>
    </row>
    <row r="42" spans="2:19" s="709" customFormat="1" ht="15" thickBot="1">
      <c r="B42" s="757" t="s">
        <v>112</v>
      </c>
      <c r="C42" s="758"/>
      <c r="D42" s="597">
        <f>D40*(1-'Hypothetical SAR and RAR'!$AA$17)+D41*'Hypothetical SAR and RAR'!$AA$17</f>
        <v>136.65395071148944</v>
      </c>
      <c r="E42" s="597">
        <f>E40*(1-'Hypothetical SAR and RAR'!$AA$17)+E41*'Hypothetical SAR and RAR'!$AA$17</f>
        <v>150.86483521519693</v>
      </c>
      <c r="F42" s="597">
        <f>F40*(1-'Hypothetical SAR and RAR'!$AA$17)+F41*'Hypothetical SAR and RAR'!$AA$17</f>
        <v>150.86483521519693</v>
      </c>
      <c r="G42" s="263">
        <f t="shared" si="3"/>
        <v>0.10399175749927791</v>
      </c>
      <c r="H42" s="774">
        <f t="shared" si="3"/>
        <v>0</v>
      </c>
      <c r="I42" s="750"/>
      <c r="J42" s="751"/>
      <c r="K42" s="757" t="s">
        <v>112</v>
      </c>
      <c r="L42" s="758"/>
      <c r="M42" s="597">
        <f>M40*(1-'Hypothetical SAR and RAR'!$AA$17)+M41*'Hypothetical SAR and RAR'!$AA$17</f>
        <v>124.08574591876348</v>
      </c>
      <c r="N42" s="597">
        <f>N40*(1-'Hypothetical SAR and RAR'!$AA$17)+N41*'Hypothetical SAR and RAR'!$AA$17</f>
        <v>136.76327519734727</v>
      </c>
      <c r="O42" s="597">
        <f>O40*(1-'Hypothetical SAR and RAR'!$AA$17)+O41*'Hypothetical SAR and RAR'!$AA$17</f>
        <v>136.76327519734727</v>
      </c>
      <c r="P42" s="263">
        <f t="shared" si="4"/>
        <v>0.10216749059060759</v>
      </c>
      <c r="Q42" s="262">
        <f t="shared" si="4"/>
        <v>0</v>
      </c>
      <c r="R42" s="750"/>
      <c r="S42" s="751"/>
    </row>
    <row r="43" spans="2:19" s="709" customFormat="1" ht="15" thickBot="1">
      <c r="I43" s="775"/>
    </row>
    <row r="44" spans="2:19" s="709" customFormat="1">
      <c r="B44" s="763" t="s">
        <v>281</v>
      </c>
      <c r="C44" s="764"/>
      <c r="D44" s="764"/>
      <c r="E44" s="764"/>
      <c r="F44" s="764"/>
      <c r="G44" s="764"/>
      <c r="H44" s="765"/>
      <c r="I44" s="766"/>
      <c r="K44" s="763" t="s">
        <v>288</v>
      </c>
      <c r="L44" s="764"/>
      <c r="M44" s="764"/>
      <c r="N44" s="764"/>
      <c r="O44" s="764"/>
      <c r="P44" s="764"/>
      <c r="Q44" s="765"/>
    </row>
    <row r="45" spans="2:19" s="709" customFormat="1" ht="29">
      <c r="B45" s="767"/>
      <c r="C45" s="768"/>
      <c r="D45" s="736" t="str">
        <f>$D$26</f>
        <v>10/1/2025</v>
      </c>
      <c r="E45" s="736" t="str">
        <f>$E$26</f>
        <v>1/1/26</v>
      </c>
      <c r="F45" s="736" t="str">
        <f>F39</f>
        <v>Proposed</v>
      </c>
      <c r="G45" s="742" t="str">
        <f>G26</f>
        <v>% Change over 10/1/2025</v>
      </c>
      <c r="H45" s="743" t="str">
        <f>$H$26</f>
        <v>% Change over 1/1/26</v>
      </c>
      <c r="I45" s="744"/>
      <c r="K45" s="767"/>
      <c r="L45" s="768"/>
      <c r="M45" s="736" t="str">
        <f>$D$26</f>
        <v>10/1/2025</v>
      </c>
      <c r="N45" s="736" t="str">
        <f>$E$26</f>
        <v>1/1/26</v>
      </c>
      <c r="O45" s="736" t="str">
        <f>O39</f>
        <v>Proposed</v>
      </c>
      <c r="P45" s="742" t="str">
        <f>P26</f>
        <v>% Change over 10/1/2025</v>
      </c>
      <c r="Q45" s="769" t="str">
        <f>$H$26</f>
        <v>% Change over 1/1/26</v>
      </c>
    </row>
    <row r="46" spans="2:19" s="709" customFormat="1">
      <c r="B46" s="770" t="s">
        <v>149</v>
      </c>
      <c r="C46" s="771"/>
      <c r="D46" s="598">
        <f>IF($D$3="All",'Hypothetical Res Bill Impact'!$D$47,(VLOOKUP($D$3,'Hypothetical Res Bill Impact'!$B$43:$J$46,3,FALSE)))</f>
        <v>139.77061140466148</v>
      </c>
      <c r="E46" s="598">
        <f>IF($D$3="All",'Hypothetical Res Bill Impact'!$F$47,(VLOOKUP($D$3,'Hypothetical Res Bill Impact'!$B$43:$J$46,5,FALSE)))</f>
        <v>154.26522704999164</v>
      </c>
      <c r="F46" s="594">
        <f>IF($D$3="All",'Hypothetical Res Bill Impact'!$H$47,(VLOOKUP($D$3,'Hypothetical Res Bill Impact'!$B$43:$J$46,7,FALSE)))</f>
        <v>154.26522704999164</v>
      </c>
      <c r="G46" s="259">
        <f t="shared" ref="G46:H48" si="5">$F46/D46-1</f>
        <v>0.10370288503185843</v>
      </c>
      <c r="H46" s="773">
        <f t="shared" si="5"/>
        <v>0</v>
      </c>
      <c r="I46" s="750"/>
      <c r="J46" s="751"/>
      <c r="K46" s="770" t="s">
        <v>149</v>
      </c>
      <c r="L46" s="771"/>
      <c r="M46" s="598">
        <f>IF($D$3="All",'Hypothetical Res Bill Impact'!$M$47,(VLOOKUP($D$3,'Hypothetical Res Bill Impact'!$K$43:$Q$46,3,FALSE)))</f>
        <v>126.02206160723932</v>
      </c>
      <c r="N46" s="598">
        <f>IF($D$3="All",'Hypothetical Res Bill Impact'!$O$47,(VLOOKUP($D$3,'Hypothetical Res Bill Impact'!$K$43:$Q$46,5,FALSE)))</f>
        <v>138.79826837323114</v>
      </c>
      <c r="O46" s="594">
        <f>IF($D$3="All",'Hypothetical Res Bill Impact'!$Q$47,(VLOOKUP($D$3,'Hypothetical Res Bill Impact'!$K$43:$Q$46,7,FALSE)))</f>
        <v>138.79826837323114</v>
      </c>
      <c r="P46" s="259">
        <f t="shared" ref="P46:Q48" si="6">$O46/M46-1</f>
        <v>0.10138071543227234</v>
      </c>
      <c r="Q46" s="260">
        <f t="shared" si="6"/>
        <v>0</v>
      </c>
      <c r="R46" s="750"/>
      <c r="S46" s="751"/>
    </row>
    <row r="47" spans="2:19" s="709" customFormat="1">
      <c r="B47" s="770" t="s">
        <v>150</v>
      </c>
      <c r="C47" s="771"/>
      <c r="D47" s="598">
        <f>IF($D$3="All",'Hypothetical Res Bill Impact'!$D$57,(VLOOKUP($D$3,'Hypothetical Res Bill Impact'!$B$53:$J$56,3,FALSE)))</f>
        <v>78.112093791150002</v>
      </c>
      <c r="E47" s="598">
        <f>IF($D$3="All",'Hypothetical Res Bill Impact'!$F$57,(VLOOKUP($D$3,'Hypothetical Res Bill Impact'!$B$53:$J$56,5,FALSE)))</f>
        <v>85.590096628349997</v>
      </c>
      <c r="F47" s="594">
        <f>IF($D$3="All",'Hypothetical Res Bill Impact'!$H$57,(VLOOKUP($D$3,'Hypothetical Res Bill Impact'!$B$53:$J$56,7,FALSE)))</f>
        <v>85.590096628349997</v>
      </c>
      <c r="G47" s="259">
        <f t="shared" si="5"/>
        <v>9.5734251564093098E-2</v>
      </c>
      <c r="H47" s="773">
        <f t="shared" si="5"/>
        <v>0</v>
      </c>
      <c r="I47" s="750"/>
      <c r="J47" s="751"/>
      <c r="K47" s="770" t="s">
        <v>150</v>
      </c>
      <c r="L47" s="771"/>
      <c r="M47" s="598">
        <f>IF($D$3="All",'Hypothetical Res Bill Impact'!$M$57,(VLOOKUP($D$3,'Hypothetical Res Bill Impact'!$K$53:$Q$56,3,FALSE)))</f>
        <v>74.330774989739993</v>
      </c>
      <c r="N47" s="598">
        <f>IF($D$3="All",'Hypothetical Res Bill Impact'!$O$57,(VLOOKUP($D$3,'Hypothetical Res Bill Impact'!$K$53:$Q$56,5,FALSE)))</f>
        <v>81.417123808459991</v>
      </c>
      <c r="O47" s="594">
        <f>IF($D$3="All",'Hypothetical Res Bill Impact'!$Q$57,(VLOOKUP($D$3,'Hypothetical Res Bill Impact'!$K$53:$Q$56,7,FALSE)))</f>
        <v>81.417123808459991</v>
      </c>
      <c r="P47" s="259">
        <f t="shared" si="6"/>
        <v>9.5335328061602276E-2</v>
      </c>
      <c r="Q47" s="257">
        <f t="shared" si="6"/>
        <v>0</v>
      </c>
      <c r="R47" s="750"/>
      <c r="S47" s="751"/>
    </row>
    <row r="48" spans="2:19" s="709" customFormat="1" ht="15" thickBot="1">
      <c r="B48" s="757" t="s">
        <v>112</v>
      </c>
      <c r="C48" s="758"/>
      <c r="D48" s="597">
        <f>D46*(1-'Hypothetical SAR and RAR'!$AA$17)+D47*'Hypothetical SAR and RAR'!$AA$17</f>
        <v>127.73272741935064</v>
      </c>
      <c r="E48" s="597">
        <f>E46*(1-'Hypothetical SAR and RAR'!$AA$17)+E47*'Hypothetical SAR and RAR'!$AA$17</f>
        <v>140.85745656362081</v>
      </c>
      <c r="F48" s="597">
        <f>F46*(1-'Hypothetical SAR and RAR'!$AA$17)+F47*'Hypothetical SAR and RAR'!$AA$17</f>
        <v>140.85745656362081</v>
      </c>
      <c r="G48" s="263">
        <f t="shared" si="5"/>
        <v>0.10275149845647058</v>
      </c>
      <c r="H48" s="774">
        <f t="shared" si="5"/>
        <v>0</v>
      </c>
      <c r="I48" s="750"/>
      <c r="J48" s="751"/>
      <c r="K48" s="757" t="s">
        <v>112</v>
      </c>
      <c r="L48" s="758"/>
      <c r="M48" s="597">
        <f>M46*(1-'Hypothetical SAR and RAR'!$AA$17)+M47*'Hypothetical SAR and RAR'!$AA$17</f>
        <v>115.93012726568857</v>
      </c>
      <c r="N48" s="597">
        <f>N46*(1-'Hypothetical SAR and RAR'!$AA$17)+N47*'Hypothetical SAR and RAR'!$AA$17</f>
        <v>127.59547615651235</v>
      </c>
      <c r="O48" s="597">
        <f>O46*(1-'Hypothetical SAR and RAR'!$AA$17)+O47*'Hypothetical SAR and RAR'!$AA$17</f>
        <v>127.59547615651235</v>
      </c>
      <c r="P48" s="263">
        <f t="shared" si="6"/>
        <v>0.10062396346800462</v>
      </c>
      <c r="Q48" s="262">
        <f t="shared" si="6"/>
        <v>0</v>
      </c>
      <c r="R48" s="750"/>
      <c r="S48" s="751"/>
    </row>
    <row r="49" spans="2:19" s="709" customFormat="1" ht="15" thickBot="1"/>
    <row r="50" spans="2:19" s="709" customFormat="1">
      <c r="B50" s="776" t="s">
        <v>299</v>
      </c>
      <c r="C50" s="777"/>
      <c r="D50" s="777"/>
      <c r="E50" s="777"/>
      <c r="F50" s="777"/>
      <c r="G50" s="777"/>
      <c r="H50" s="778"/>
      <c r="K50" s="776" t="s">
        <v>298</v>
      </c>
      <c r="L50" s="777"/>
      <c r="M50" s="777"/>
      <c r="N50" s="777"/>
      <c r="O50" s="777"/>
      <c r="P50" s="777"/>
      <c r="Q50" s="778"/>
    </row>
    <row r="51" spans="2:19" s="709" customFormat="1" ht="29">
      <c r="B51" s="767"/>
      <c r="C51" s="779"/>
      <c r="D51" s="736" t="str">
        <f>D45</f>
        <v>10/1/2025</v>
      </c>
      <c r="E51" s="780" t="str">
        <f>E45</f>
        <v>1/1/26</v>
      </c>
      <c r="F51" s="742" t="str">
        <f>F45</f>
        <v>Proposed</v>
      </c>
      <c r="G51" s="593" t="str">
        <f>$G$26</f>
        <v>% Change over 10/1/2025</v>
      </c>
      <c r="H51" s="781" t="s">
        <v>144</v>
      </c>
      <c r="K51" s="767"/>
      <c r="L51" s="779"/>
      <c r="M51" s="736" t="str">
        <f>M45</f>
        <v>10/1/2025</v>
      </c>
      <c r="N51" s="780" t="str">
        <f>N45</f>
        <v>1/1/26</v>
      </c>
      <c r="O51" s="742" t="str">
        <f>O45</f>
        <v>Proposed</v>
      </c>
      <c r="P51" s="593" t="str">
        <f>$G$26</f>
        <v>% Change over 10/1/2025</v>
      </c>
      <c r="Q51" s="781" t="s">
        <v>144</v>
      </c>
    </row>
    <row r="52" spans="2:19" s="709" customFormat="1">
      <c r="B52" s="770" t="s">
        <v>286</v>
      </c>
      <c r="C52" s="782"/>
      <c r="D52" s="598">
        <f>((D58*5)+(D64*7)+(H6*2))/12</f>
        <v>118.12927449733274</v>
      </c>
      <c r="E52" s="598">
        <f>((E58*5)+(E64*7)+(H6*2))/12</f>
        <v>130.94731230873856</v>
      </c>
      <c r="F52" s="598">
        <f>((F58*5)+(F64*7)+(H7*2))/12</f>
        <v>130.94731230873856</v>
      </c>
      <c r="G52" s="63">
        <f t="shared" ref="G52:H54" si="7">$F52/D52-1</f>
        <v>0.1085085628939102</v>
      </c>
      <c r="H52" s="65">
        <f t="shared" si="7"/>
        <v>0</v>
      </c>
      <c r="I52" s="750"/>
      <c r="J52" s="751"/>
      <c r="K52" s="770" t="s">
        <v>286</v>
      </c>
      <c r="L52" s="782"/>
      <c r="M52" s="598">
        <f>((M58*5)+(M64*7)+(H6*2))/12</f>
        <v>101.59942015804297</v>
      </c>
      <c r="N52" s="598">
        <f>((N58*5)+(N64*7)+(H6*2))/12</f>
        <v>112.3514183587743</v>
      </c>
      <c r="O52" s="598">
        <f>((O58*5)+(O64*7)+(H7*2))/12</f>
        <v>112.3514183587743</v>
      </c>
      <c r="P52" s="259">
        <f t="shared" ref="P52:Q54" si="8">$O52/M52-1</f>
        <v>0.10582735791214204</v>
      </c>
      <c r="Q52" s="260">
        <f t="shared" si="8"/>
        <v>0</v>
      </c>
      <c r="R52" s="750"/>
      <c r="S52" s="751"/>
    </row>
    <row r="53" spans="2:19" s="709" customFormat="1">
      <c r="B53" s="770" t="s">
        <v>287</v>
      </c>
      <c r="C53" s="782"/>
      <c r="D53" s="598">
        <f>((D59*5)+(D65*7)+(H6*2))/12</f>
        <v>63.383868397996245</v>
      </c>
      <c r="E53" s="598">
        <f>((E59*5)+(E65*7)+(H6*2))/12</f>
        <v>70.188548397996243</v>
      </c>
      <c r="F53" s="598">
        <f>((F59*5)+(F65*7)+(H7*2))/12</f>
        <v>70.188548397996243</v>
      </c>
      <c r="G53" s="63">
        <f t="shared" si="7"/>
        <v>0.10735665354585899</v>
      </c>
      <c r="H53" s="65">
        <f t="shared" si="7"/>
        <v>0</v>
      </c>
      <c r="I53" s="750"/>
      <c r="J53" s="751"/>
      <c r="K53" s="770" t="s">
        <v>287</v>
      </c>
      <c r="L53" s="782"/>
      <c r="M53" s="598">
        <f>((M59*5)+(M65*7)+(H6*2))/12</f>
        <v>52.79461089799625</v>
      </c>
      <c r="N53" s="598">
        <f>((N59*5)+(N65*7)+(H6*2))/12</f>
        <v>58.50249756466291</v>
      </c>
      <c r="O53" s="598">
        <f>((O59*5)+(O65*7)+(H7*2))/12</f>
        <v>58.50249756466291</v>
      </c>
      <c r="P53" s="63">
        <f t="shared" si="8"/>
        <v>0.10811494903702945</v>
      </c>
      <c r="Q53" s="65">
        <f t="shared" si="8"/>
        <v>0</v>
      </c>
      <c r="R53" s="750"/>
      <c r="S53" s="751"/>
    </row>
    <row r="54" spans="2:19" s="709" customFormat="1" ht="15" thickBot="1">
      <c r="B54" s="757" t="s">
        <v>112</v>
      </c>
      <c r="C54" s="760"/>
      <c r="D54" s="597">
        <f>((D60*5)+(D66*7)+(H6*2))/12</f>
        <v>107.44106996599112</v>
      </c>
      <c r="E54" s="597">
        <f>((E60*5)+(E66*7)+(H6*2))/12</f>
        <v>119.08509149387856</v>
      </c>
      <c r="F54" s="595">
        <f>((F60*5)+(F66*7)+(H7*2))/12</f>
        <v>119.08509149387856</v>
      </c>
      <c r="G54" s="66">
        <f t="shared" si="7"/>
        <v>0.10837588951388133</v>
      </c>
      <c r="H54" s="67">
        <f t="shared" si="7"/>
        <v>0</v>
      </c>
      <c r="I54" s="750"/>
      <c r="J54" s="751"/>
      <c r="K54" s="757" t="s">
        <v>112</v>
      </c>
      <c r="L54" s="760"/>
      <c r="M54" s="597">
        <f>((M60*5)+(M66*7)+(H6*2))/12</f>
        <v>92.07102644153683</v>
      </c>
      <c r="N54" s="597">
        <f>((N60*5)+(N66*7)+(H6*2))/12</f>
        <v>101.83823889317428</v>
      </c>
      <c r="O54" s="597">
        <f>((O60*5)+(O66*7)+(H7*2))/12</f>
        <v>101.83823889317428</v>
      </c>
      <c r="P54" s="66">
        <f t="shared" si="8"/>
        <v>0.10608345349380266</v>
      </c>
      <c r="Q54" s="67">
        <f t="shared" si="8"/>
        <v>0</v>
      </c>
      <c r="R54" s="750"/>
      <c r="S54" s="751"/>
    </row>
    <row r="55" spans="2:19" s="709" customFormat="1" ht="15" thickBot="1">
      <c r="B55" s="583"/>
      <c r="C55" s="583"/>
      <c r="D55" s="583"/>
      <c r="E55" s="583"/>
      <c r="F55" s="583"/>
      <c r="G55" s="583"/>
      <c r="H55" s="583"/>
      <c r="K55" s="583"/>
      <c r="L55" s="583"/>
      <c r="M55" s="583"/>
      <c r="N55" s="583"/>
      <c r="O55" s="583"/>
      <c r="P55" s="583"/>
      <c r="Q55" s="583"/>
    </row>
    <row r="56" spans="2:19" s="709" customFormat="1">
      <c r="B56" s="776" t="s">
        <v>290</v>
      </c>
      <c r="C56" s="777"/>
      <c r="D56" s="777"/>
      <c r="E56" s="777"/>
      <c r="F56" s="777"/>
      <c r="G56" s="777"/>
      <c r="H56" s="778"/>
      <c r="K56" s="776" t="s">
        <v>296</v>
      </c>
      <c r="L56" s="777"/>
      <c r="M56" s="777"/>
      <c r="N56" s="777"/>
      <c r="O56" s="777"/>
      <c r="P56" s="777"/>
      <c r="Q56" s="778"/>
    </row>
    <row r="57" spans="2:19" s="709" customFormat="1" ht="29">
      <c r="B57" s="767"/>
      <c r="C57" s="779"/>
      <c r="D57" s="736" t="str">
        <f>D51</f>
        <v>10/1/2025</v>
      </c>
      <c r="E57" s="780" t="str">
        <f>E51</f>
        <v>1/1/26</v>
      </c>
      <c r="F57" s="742" t="str">
        <f>F51</f>
        <v>Proposed</v>
      </c>
      <c r="G57" s="593" t="str">
        <f>$G$26</f>
        <v>% Change over 10/1/2025</v>
      </c>
      <c r="H57" s="781" t="s">
        <v>144</v>
      </c>
      <c r="K57" s="767"/>
      <c r="L57" s="779"/>
      <c r="M57" s="736" t="str">
        <f>M51</f>
        <v>10/1/2025</v>
      </c>
      <c r="N57" s="780" t="str">
        <f>N51</f>
        <v>1/1/26</v>
      </c>
      <c r="O57" s="742" t="str">
        <f>O51</f>
        <v>Proposed</v>
      </c>
      <c r="P57" s="593" t="str">
        <f>$G$26</f>
        <v>% Change over 10/1/2025</v>
      </c>
      <c r="Q57" s="781" t="s">
        <v>144</v>
      </c>
    </row>
    <row r="58" spans="2:19" s="709" customFormat="1">
      <c r="B58" s="770" t="s">
        <v>286</v>
      </c>
      <c r="C58" s="782"/>
      <c r="D58" s="598">
        <f>IF($D$3="All",'Hypothetical Res Bill Impact'!C67,(VLOOKUP($D$3,'Hypothetical Res Bill Impact'!$B$63:$J$66,2,FALSE)))</f>
        <v>125.04435190793733</v>
      </c>
      <c r="E58" s="598">
        <f>IF($D$3="All",'Hypothetical Res Bill Impact'!E67,(VLOOKUP($D$3,'Hypothetical Res Bill Impact'!$B$63:$J$66,4,FALSE)))</f>
        <v>137.69835632870357</v>
      </c>
      <c r="F58" s="598">
        <f>IF($D$3="All",'Hypothetical Res Bill Impact'!G67,(VLOOKUP($D$3,'Hypothetical Res Bill Impact'!$B$63:$J$66,6,FALSE)))</f>
        <v>137.69835632870357</v>
      </c>
      <c r="G58" s="63">
        <f t="shared" ref="G58:H60" si="9">$F58/D58-1</f>
        <v>0.10119612943479939</v>
      </c>
      <c r="H58" s="65">
        <f t="shared" si="9"/>
        <v>0</v>
      </c>
      <c r="I58" s="750"/>
      <c r="J58" s="751"/>
      <c r="K58" s="770" t="s">
        <v>286</v>
      </c>
      <c r="L58" s="782"/>
      <c r="M58" s="598">
        <f>IF($D$3="All",'Hypothetical Res Bill Impact'!L67,(VLOOKUP($D$3,'Hypothetical Res Bill Impact'!$K$63:$Q$66,2,FALSE)))</f>
        <v>91.672169612357976</v>
      </c>
      <c r="N58" s="598">
        <f>IF($D$3="All",'Hypothetical Res Bill Impact'!N67,(VLOOKUP($D$3,'Hypothetical Res Bill Impact'!$K$63:$Q$66,4,FALSE)))</f>
        <v>100.15503924257534</v>
      </c>
      <c r="O58" s="598">
        <f>IF($D$3="All",'Hypothetical Res Bill Impact'!P67,(VLOOKUP($D$3,'Hypothetical Res Bill Impact'!$K$63:$Q$66,6,FALSE)))</f>
        <v>100.15503924257534</v>
      </c>
      <c r="P58" s="259">
        <f t="shared" ref="P58:Q60" si="10">$O58/M58-1</f>
        <v>9.2534840901963511E-2</v>
      </c>
      <c r="Q58" s="260">
        <f t="shared" si="10"/>
        <v>0</v>
      </c>
      <c r="R58" s="750"/>
      <c r="S58" s="751"/>
    </row>
    <row r="59" spans="2:19" s="709" customFormat="1">
      <c r="B59" s="770" t="s">
        <v>287</v>
      </c>
      <c r="C59" s="782"/>
      <c r="D59" s="598">
        <f>IF($D$3="All",'Hypothetical Res Bill Impact'!C77,(VLOOKUP($D$3,'Hypothetical Res Bill Impact'!$B$73:$J$76,2,FALSE)))</f>
        <v>70.770600000000002</v>
      </c>
      <c r="E59" s="598">
        <f>IF($D$3="All",'Hypothetical Res Bill Impact'!E77,(VLOOKUP($D$3,'Hypothetical Res Bill Impact'!$B$73:$J$76,4,FALSE)))</f>
        <v>77.488199999999992</v>
      </c>
      <c r="F59" s="598">
        <f>IF($D$3="All",'Hypothetical Res Bill Impact'!G77,(VLOOKUP($D$3,'Hypothetical Res Bill Impact'!$B$73:$J$76,6,FALSE)))</f>
        <v>77.488199999999992</v>
      </c>
      <c r="G59" s="63">
        <f t="shared" si="9"/>
        <v>9.4920772185059787E-2</v>
      </c>
      <c r="H59" s="65">
        <f t="shared" si="9"/>
        <v>0</v>
      </c>
      <c r="I59" s="750"/>
      <c r="J59" s="751"/>
      <c r="K59" s="770" t="s">
        <v>287</v>
      </c>
      <c r="L59" s="782"/>
      <c r="M59" s="598">
        <f>IF($D$3="All",'Hypothetical Res Bill Impact'!L77,(VLOOKUP($D$3,'Hypothetical Res Bill Impact'!$K$73:$Q$76,2,FALSE)))</f>
        <v>49.391909999999996</v>
      </c>
      <c r="N59" s="598">
        <f>IF($D$3="All",'Hypothetical Res Bill Impact'!N77,(VLOOKUP($D$3,'Hypothetical Res Bill Impact'!$K$73:$Q$76,4,FALSE)))</f>
        <v>53.895189999999992</v>
      </c>
      <c r="O59" s="598">
        <f>IF($D$3="All",'Hypothetical Res Bill Impact'!P77,(VLOOKUP($D$3,'Hypothetical Res Bill Impact'!$K$73:$Q$76,6,FALSE)))</f>
        <v>53.895189999999992</v>
      </c>
      <c r="P59" s="63">
        <f t="shared" si="10"/>
        <v>9.117444536969721E-2</v>
      </c>
      <c r="Q59" s="65">
        <f t="shared" si="10"/>
        <v>0</v>
      </c>
      <c r="R59" s="750"/>
      <c r="S59" s="751"/>
    </row>
    <row r="60" spans="2:19" s="709" customFormat="1" ht="15" thickBot="1">
      <c r="B60" s="757" t="s">
        <v>112</v>
      </c>
      <c r="C60" s="760"/>
      <c r="D60" s="597">
        <f>D58*(1-'Hypothetical SAR and RAR'!$AA$17)+D59*'Hypothetical SAR and RAR'!$AA$17</f>
        <v>114.44823065490021</v>
      </c>
      <c r="E60" s="597">
        <f>E58*(1-'Hypothetical SAR and RAR'!$AA$17)+E59*'Hypothetical SAR and RAR'!$AA$17</f>
        <v>125.94324276652584</v>
      </c>
      <c r="F60" s="597">
        <f>F58*(1-'Hypothetical SAR and RAR'!$AA$17)+F59*'Hypothetical SAR and RAR'!$AA$17</f>
        <v>125.94324276652584</v>
      </c>
      <c r="G60" s="66">
        <f t="shared" si="9"/>
        <v>0.10043853055524243</v>
      </c>
      <c r="H60" s="67">
        <f t="shared" si="9"/>
        <v>0</v>
      </c>
      <c r="I60" s="750"/>
      <c r="J60" s="751"/>
      <c r="K60" s="757" t="s">
        <v>112</v>
      </c>
      <c r="L60" s="760"/>
      <c r="M60" s="597">
        <f>M58*(1-'Hypothetical SAR and RAR'!$AA$17)+M59*'Hypothetical SAR and RAR'!$AA$17</f>
        <v>83.417594579064328</v>
      </c>
      <c r="N60" s="597">
        <f>N58*(1-'Hypothetical SAR and RAR'!$AA$17)+N59*'Hypothetical SAR and RAR'!$AA$17</f>
        <v>91.123510105746689</v>
      </c>
      <c r="O60" s="597">
        <f>O58*(1-'Hypothetical SAR and RAR'!$AA$17)+O59*'Hypothetical SAR and RAR'!$AA$17</f>
        <v>91.123510105746689</v>
      </c>
      <c r="P60" s="66">
        <f t="shared" si="10"/>
        <v>9.2377580120445613E-2</v>
      </c>
      <c r="Q60" s="67">
        <f t="shared" si="10"/>
        <v>0</v>
      </c>
      <c r="R60" s="750"/>
      <c r="S60" s="751"/>
    </row>
    <row r="61" spans="2:19" s="709" customFormat="1" ht="15" thickBot="1">
      <c r="I61" s="750"/>
      <c r="J61" s="751"/>
    </row>
    <row r="62" spans="2:19" s="709" customFormat="1">
      <c r="B62" s="776" t="s">
        <v>289</v>
      </c>
      <c r="C62" s="777"/>
      <c r="D62" s="777"/>
      <c r="E62" s="777"/>
      <c r="F62" s="777"/>
      <c r="G62" s="777"/>
      <c r="H62" s="778"/>
      <c r="K62" s="776" t="s">
        <v>297</v>
      </c>
      <c r="L62" s="777"/>
      <c r="M62" s="777"/>
      <c r="N62" s="777"/>
      <c r="O62" s="777"/>
      <c r="P62" s="777"/>
      <c r="Q62" s="778"/>
    </row>
    <row r="63" spans="2:19" s="709" customFormat="1" ht="29">
      <c r="B63" s="767"/>
      <c r="C63" s="779"/>
      <c r="D63" s="736" t="str">
        <f>D57</f>
        <v>10/1/2025</v>
      </c>
      <c r="E63" s="780" t="str">
        <f>E57</f>
        <v>1/1/26</v>
      </c>
      <c r="F63" s="742" t="str">
        <f>F57</f>
        <v>Proposed</v>
      </c>
      <c r="G63" s="593" t="str">
        <f>$G$26</f>
        <v>% Change over 10/1/2025</v>
      </c>
      <c r="H63" s="781" t="s">
        <v>144</v>
      </c>
      <c r="K63" s="767"/>
      <c r="L63" s="779"/>
      <c r="M63" s="736" t="str">
        <f>M57</f>
        <v>10/1/2025</v>
      </c>
      <c r="N63" s="780" t="str">
        <f>N57</f>
        <v>1/1/26</v>
      </c>
      <c r="O63" s="742" t="str">
        <f>O57</f>
        <v>Proposed</v>
      </c>
      <c r="P63" s="593" t="str">
        <f>$G$26</f>
        <v>% Change over 10/1/2025</v>
      </c>
      <c r="Q63" s="781" t="s">
        <v>144</v>
      </c>
    </row>
    <row r="64" spans="2:19" s="709" customFormat="1">
      <c r="B64" s="770" t="s">
        <v>286</v>
      </c>
      <c r="C64" s="782"/>
      <c r="D64" s="598">
        <f>IF($D$3="All",'Hypothetical Res Bill Impact'!D67,(VLOOKUP($D$3,'Hypothetical Res Bill Impact'!$B$63:$J$66,3,FALSE)))</f>
        <v>127.29416195033593</v>
      </c>
      <c r="E64" s="598">
        <f>IF($D$3="All",'Hypothetical Res Bill Impact'!F67,(VLOOKUP($D$3,'Hypothetical Res Bill Impact'!$B$63:$J$66,5,FALSE)))</f>
        <v>140.22936646934141</v>
      </c>
      <c r="F64" s="598">
        <f>IF($D$3="All",'Hypothetical Res Bill Impact'!H67,(VLOOKUP($D$3,'Hypothetical Res Bill Impact'!$B$63:$J$66,7,FALSE)))</f>
        <v>140.22936646934141</v>
      </c>
      <c r="G64" s="63">
        <f t="shared" ref="G64:H66" si="11">$F64/D64-1</f>
        <v>0.10161663599350446</v>
      </c>
      <c r="H64" s="65">
        <f t="shared" si="11"/>
        <v>0</v>
      </c>
      <c r="I64" s="750"/>
      <c r="J64" s="751"/>
      <c r="K64" s="770" t="s">
        <v>286</v>
      </c>
      <c r="L64" s="782"/>
      <c r="M64" s="598">
        <f>IF($D$3="All",'Hypothetical Res Bill Impact'!M67,(VLOOKUP($D$3,'Hypothetical Res Bill Impact'!$K$63:$Q$66,3,FALSE)))</f>
        <v>122.79454186553872</v>
      </c>
      <c r="N64" s="598">
        <f>IF($D$3="All",'Hypothetical Res Bill Impact'!O67,(VLOOKUP($D$3,'Hypothetical Res Bill Impact'!$K$63:$Q$66,5,FALSE)))</f>
        <v>135.16734618806572</v>
      </c>
      <c r="O64" s="598">
        <f>IF($D$3="All",'Hypothetical Res Bill Impact'!Q67,(VLOOKUP($D$3,'Hypothetical Res Bill Impact'!$K$63:$Q$66,7,FALSE)))</f>
        <v>135.16734618806572</v>
      </c>
      <c r="P64" s="259">
        <f t="shared" ref="P64:Q66" si="12">$O64/M64-1</f>
        <v>0.10076021404986668</v>
      </c>
      <c r="Q64" s="260">
        <f t="shared" si="12"/>
        <v>0</v>
      </c>
      <c r="R64" s="750"/>
      <c r="S64" s="751"/>
    </row>
    <row r="65" spans="2:19" s="709" customFormat="1">
      <c r="B65" s="770" t="s">
        <v>287</v>
      </c>
      <c r="C65" s="782"/>
      <c r="D65" s="598">
        <f>IF($D$3="All",'Hypothetical Res Bill Impact'!D77,(VLOOKUP($D$3,'Hypothetical Res Bill Impact'!$B$73:$J$76,3,FALSE)))</f>
        <v>72.211860000000001</v>
      </c>
      <c r="E65" s="598">
        <f>IF($D$3="All",'Hypothetical Res Bill Impact'!F77,(VLOOKUP($D$3,'Hypothetical Res Bill Impact'!$B$73:$J$76,5,FALSE)))</f>
        <v>79.078739999999996</v>
      </c>
      <c r="F65" s="598">
        <f>IF($D$3="All",'Hypothetical Res Bill Impact'!H77,(VLOOKUP($D$3,'Hypothetical Res Bill Impact'!$B$73:$J$76,7,FALSE)))</f>
        <v>79.078739999999996</v>
      </c>
      <c r="G65" s="63">
        <f t="shared" si="11"/>
        <v>9.5093520648824148E-2</v>
      </c>
      <c r="H65" s="65">
        <f t="shared" si="11"/>
        <v>0</v>
      </c>
      <c r="I65" s="750"/>
      <c r="J65" s="751"/>
      <c r="K65" s="770" t="s">
        <v>287</v>
      </c>
      <c r="L65" s="782"/>
      <c r="M65" s="598">
        <f>IF($D$3="All",'Hypothetical Res Bill Impact'!M77,(VLOOKUP($D$3,'Hypothetical Res Bill Impact'!$K$73:$Q$76,3,FALSE)))</f>
        <v>69.329340000000002</v>
      </c>
      <c r="N65" s="598">
        <f>IF($D$3="All",'Hypothetical Res Bill Impact'!O77,(VLOOKUP($D$3,'Hypothetical Res Bill Impact'!$K$73:$Q$76,5,FALSE)))</f>
        <v>75.897659999999988</v>
      </c>
      <c r="O65" s="598">
        <f>IF($D$3="All",'Hypothetical Res Bill Impact'!Q77,(VLOOKUP($D$3,'Hypothetical Res Bill Impact'!$K$73:$Q$76,7,FALSE)))</f>
        <v>75.897659999999988</v>
      </c>
      <c r="P65" s="63">
        <f t="shared" si="12"/>
        <v>9.4740841323456726E-2</v>
      </c>
      <c r="Q65" s="65">
        <f t="shared" si="12"/>
        <v>0</v>
      </c>
      <c r="R65" s="750"/>
      <c r="S65" s="751"/>
    </row>
    <row r="66" spans="2:19" s="709" customFormat="1" ht="15" thickBot="1">
      <c r="B66" s="757" t="s">
        <v>112</v>
      </c>
      <c r="C66" s="760"/>
      <c r="D66" s="597">
        <f>D64*(1-'Hypothetical SAR and RAR'!$AA$17)+D65*'Hypothetical SAR and RAR'!$AA$17</f>
        <v>116.54018364877678</v>
      </c>
      <c r="E66" s="597">
        <f>E64*(1-'Hypothetical SAR and RAR'!$AA$17)+E65*'Hypothetical SAR and RAR'!$AA$17</f>
        <v>128.2906404739941</v>
      </c>
      <c r="F66" s="597">
        <f>F64*(1-'Hypothetical SAR and RAR'!$AA$17)+F65*'Hypothetical SAR and RAR'!$AA$17</f>
        <v>128.2906404739941</v>
      </c>
      <c r="G66" s="66">
        <f t="shared" si="11"/>
        <v>0.10082751251388355</v>
      </c>
      <c r="H66" s="67">
        <f t="shared" si="11"/>
        <v>0</v>
      </c>
      <c r="I66" s="750"/>
      <c r="J66" s="751"/>
      <c r="K66" s="757" t="s">
        <v>112</v>
      </c>
      <c r="L66" s="760"/>
      <c r="M66" s="597">
        <f>M64*(1-'Hypothetical SAR and RAR'!$AA$17)+M65*'Hypothetical SAR and RAR'!$AA$17</f>
        <v>112.35627766102363</v>
      </c>
      <c r="N66" s="597">
        <f>N64*(1-'Hypothetical SAR and RAR'!$AA$17)+N65*'Hypothetical SAR and RAR'!$AA$17</f>
        <v>123.59584505905759</v>
      </c>
      <c r="O66" s="597">
        <f>O64*(1-'Hypothetical SAR and RAR'!$AA$17)+O65*'Hypothetical SAR and RAR'!$AA$17</f>
        <v>123.59584505905759</v>
      </c>
      <c r="P66" s="66">
        <f t="shared" si="12"/>
        <v>0.10003506374555671</v>
      </c>
      <c r="Q66" s="67">
        <f t="shared" si="12"/>
        <v>0</v>
      </c>
      <c r="R66" s="750"/>
      <c r="S66" s="751"/>
    </row>
    <row r="67" spans="2:19" s="709" customFormat="1" ht="15" thickBot="1"/>
    <row r="68" spans="2:19" s="709" customFormat="1">
      <c r="B68" s="776" t="s">
        <v>300</v>
      </c>
      <c r="C68" s="777"/>
      <c r="D68" s="777"/>
      <c r="E68" s="777"/>
      <c r="F68" s="777"/>
      <c r="G68" s="777"/>
      <c r="H68" s="778"/>
      <c r="K68" s="776" t="s">
        <v>295</v>
      </c>
      <c r="L68" s="777"/>
      <c r="M68" s="777"/>
      <c r="N68" s="777"/>
      <c r="O68" s="777"/>
      <c r="P68" s="777"/>
      <c r="Q68" s="778"/>
    </row>
    <row r="69" spans="2:19" s="709" customFormat="1" ht="29">
      <c r="B69" s="767"/>
      <c r="C69" s="779"/>
      <c r="D69" s="736" t="str">
        <f>D63</f>
        <v>10/1/2025</v>
      </c>
      <c r="E69" s="780" t="str">
        <f>E63</f>
        <v>1/1/26</v>
      </c>
      <c r="F69" s="742" t="str">
        <f>F63</f>
        <v>Proposed</v>
      </c>
      <c r="G69" s="593" t="str">
        <f>$G$26</f>
        <v>% Change over 10/1/2025</v>
      </c>
      <c r="H69" s="781" t="s">
        <v>144</v>
      </c>
      <c r="K69" s="767"/>
      <c r="L69" s="779"/>
      <c r="M69" s="736" t="str">
        <f>M63</f>
        <v>10/1/2025</v>
      </c>
      <c r="N69" s="780" t="str">
        <f>N63</f>
        <v>1/1/26</v>
      </c>
      <c r="O69" s="742" t="str">
        <f>O63</f>
        <v>Proposed</v>
      </c>
      <c r="P69" s="593" t="str">
        <f>$G$26</f>
        <v>% Change over 10/1/2025</v>
      </c>
      <c r="Q69" s="781" t="s">
        <v>144</v>
      </c>
    </row>
    <row r="70" spans="2:19" s="709" customFormat="1">
      <c r="B70" s="746" t="str">
        <f>$H$9&amp;" kWh Monthly Usage - Non-CARE"</f>
        <v>400 kWh Monthly Usage - Non-CARE</v>
      </c>
      <c r="C70" s="747"/>
      <c r="D70" s="598">
        <f>((D76*5)+(D82*7)+(H6*2))/12</f>
        <v>169.85885964223257</v>
      </c>
      <c r="E70" s="598">
        <f>((E76*5)+(E82*7)+(H6*2))/12</f>
        <v>189.14393001789335</v>
      </c>
      <c r="F70" s="598">
        <f>((F76*5)+(F82*7)+(H7*2))/12</f>
        <v>189.14393001789335</v>
      </c>
      <c r="G70" s="64">
        <f t="shared" ref="G70:H72" si="13">$F70/D70-1</f>
        <v>0.11353585215560846</v>
      </c>
      <c r="H70" s="65">
        <f t="shared" si="13"/>
        <v>0</v>
      </c>
      <c r="I70" s="750"/>
      <c r="J70" s="751"/>
      <c r="K70" s="746" t="str">
        <f>B70</f>
        <v>400 kWh Monthly Usage - Non-CARE</v>
      </c>
      <c r="L70" s="747"/>
      <c r="M70" s="598">
        <f>((M76*5)+(M82*7)+(H6*2))/12</f>
        <v>175.44700689478108</v>
      </c>
      <c r="N70" s="598">
        <f>((N76*5)+(N82*7)+(H6*2))/12</f>
        <v>195.43239838796043</v>
      </c>
      <c r="O70" s="598">
        <f>((O76*5)+(O82*7)+(H7*2))/12</f>
        <v>195.43239838796043</v>
      </c>
      <c r="P70" s="259">
        <f t="shared" ref="P70:Q72" si="14">$O70/M70-1</f>
        <v>0.1139112706845149</v>
      </c>
      <c r="Q70" s="260">
        <f t="shared" si="14"/>
        <v>0</v>
      </c>
      <c r="R70" s="750"/>
      <c r="S70" s="751"/>
    </row>
    <row r="71" spans="2:19" s="709" customFormat="1">
      <c r="B71" s="754"/>
      <c r="C71" s="755" t="str">
        <f>$H$9&amp;" kWh Monthly Usage - CARE"</f>
        <v>400 kWh Monthly Usage - CARE</v>
      </c>
      <c r="D71" s="598">
        <f>((D77*5)+(D83*7)+(H6*2))/12</f>
        <v>96.562990064662884</v>
      </c>
      <c r="E71" s="598">
        <f>((E77*5)+(E83*7)+(H6*2))/12</f>
        <v>106.86433673132957</v>
      </c>
      <c r="F71" s="598">
        <f>((F77*5)+(F83*7)+(H7*2))/12</f>
        <v>106.86433673132957</v>
      </c>
      <c r="G71" s="63">
        <f t="shared" si="13"/>
        <v>0.10668007131685187</v>
      </c>
      <c r="H71" s="65">
        <f t="shared" si="13"/>
        <v>0</v>
      </c>
      <c r="I71" s="750"/>
      <c r="J71" s="751"/>
      <c r="K71" s="754"/>
      <c r="L71" s="755" t="str">
        <f>C71</f>
        <v>400 kWh Monthly Usage - CARE</v>
      </c>
      <c r="M71" s="598">
        <f>((M77*5)+(M83*7)+(H6*2))/12</f>
        <v>100.19541339799623</v>
      </c>
      <c r="N71" s="598">
        <f>((N77*5)+(N83*7)+(H6*2))/12</f>
        <v>110.95117339799624</v>
      </c>
      <c r="O71" s="598">
        <f>((O77*5)+(O83*7)+(H7*2))/12</f>
        <v>110.95117339799624</v>
      </c>
      <c r="P71" s="63">
        <f t="shared" si="14"/>
        <v>0.10734782796170506</v>
      </c>
      <c r="Q71" s="65">
        <f t="shared" si="14"/>
        <v>0</v>
      </c>
      <c r="R71" s="750"/>
      <c r="S71" s="751"/>
    </row>
    <row r="72" spans="2:19" s="709" customFormat="1" ht="15" thickBot="1">
      <c r="B72" s="757" t="s">
        <v>112</v>
      </c>
      <c r="C72" s="758"/>
      <c r="D72" s="597">
        <f>((D78*5)+(D84*7)+(H6*2))/12</f>
        <v>155.54896039833784</v>
      </c>
      <c r="E72" s="597">
        <f>((E78*5)+(E84*7)+(H6*2))/12</f>
        <v>173.08009590902452</v>
      </c>
      <c r="F72" s="597">
        <f>((F78*5)+(F84*7)+(H7*2))/12</f>
        <v>173.08009590902452</v>
      </c>
      <c r="G72" s="66">
        <f t="shared" si="13"/>
        <v>0.11270493525506087</v>
      </c>
      <c r="H72" s="67">
        <f t="shared" si="13"/>
        <v>0</v>
      </c>
      <c r="I72" s="750"/>
      <c r="J72" s="751"/>
      <c r="K72" s="757" t="s">
        <v>112</v>
      </c>
      <c r="L72" s="758"/>
      <c r="M72" s="597">
        <f>((M78*5)+(M84*7)+(H6*2))/12</f>
        <v>160.75528242125006</v>
      </c>
      <c r="N72" s="597">
        <f>((N78*5)+(N84*7)+(H6*2))/12</f>
        <v>178.93872930981706</v>
      </c>
      <c r="O72" s="597">
        <f>((O78*5)+(O84*7)+(H7*2))/12</f>
        <v>178.93872930981706</v>
      </c>
      <c r="P72" s="66">
        <f t="shared" si="14"/>
        <v>0.11311259334494728</v>
      </c>
      <c r="Q72" s="67">
        <f t="shared" si="14"/>
        <v>0</v>
      </c>
      <c r="R72" s="750"/>
      <c r="S72" s="751"/>
    </row>
    <row r="73" spans="2:19" s="709" customFormat="1" ht="15" thickBot="1"/>
    <row r="74" spans="2:19" s="709" customFormat="1">
      <c r="B74" s="763" t="s">
        <v>291</v>
      </c>
      <c r="C74" s="764"/>
      <c r="D74" s="764"/>
      <c r="E74" s="764"/>
      <c r="F74" s="764"/>
      <c r="G74" s="764"/>
      <c r="H74" s="765"/>
      <c r="K74" s="763" t="s">
        <v>294</v>
      </c>
      <c r="L74" s="764"/>
      <c r="M74" s="764"/>
      <c r="N74" s="764"/>
      <c r="O74" s="764"/>
      <c r="P74" s="764"/>
      <c r="Q74" s="765"/>
    </row>
    <row r="75" spans="2:19" s="709" customFormat="1" ht="29">
      <c r="B75" s="767"/>
      <c r="C75" s="779"/>
      <c r="D75" s="736" t="str">
        <f>D69</f>
        <v>10/1/2025</v>
      </c>
      <c r="E75" s="780" t="str">
        <f>E69</f>
        <v>1/1/26</v>
      </c>
      <c r="F75" s="742" t="str">
        <f>F69</f>
        <v>Proposed</v>
      </c>
      <c r="G75" s="593" t="str">
        <f>$G$26</f>
        <v>% Change over 10/1/2025</v>
      </c>
      <c r="H75" s="781" t="s">
        <v>144</v>
      </c>
      <c r="K75" s="767"/>
      <c r="L75" s="779"/>
      <c r="M75" s="736" t="str">
        <f>M69</f>
        <v>10/1/2025</v>
      </c>
      <c r="N75" s="780" t="str">
        <f>N69</f>
        <v>1/1/26</v>
      </c>
      <c r="O75" s="742" t="str">
        <f>O69</f>
        <v>Proposed</v>
      </c>
      <c r="P75" s="593" t="str">
        <f>$G$26</f>
        <v>% Change over 10/1/2025</v>
      </c>
      <c r="Q75" s="781" t="s">
        <v>144</v>
      </c>
    </row>
    <row r="76" spans="2:19" s="709" customFormat="1">
      <c r="B76" s="746" t="str">
        <f>$B$70</f>
        <v>400 kWh Monthly Usage - Non-CARE</v>
      </c>
      <c r="C76" s="747"/>
      <c r="D76" s="598">
        <f>IF($D$3="All",'Hypothetical Res Bill Impact'!C87,(VLOOKUP($D$3,'Hypothetical Res Bill Impact'!$B$83:$J$86,2,FALSE)))</f>
        <v>178.53854625311311</v>
      </c>
      <c r="E76" s="598">
        <f>IF($D$3="All",'Hypothetical Res Bill Impact'!E87,(VLOOKUP($D$3,'Hypothetical Res Bill Impact'!$B$83:$J$86,4,FALSE)))</f>
        <v>197.88029001400659</v>
      </c>
      <c r="F76" s="598">
        <f>IF($D$3="All",'Hypothetical Res Bill Impact'!G87,(VLOOKUP($D$3,'Hypothetical Res Bill Impact'!$B$83:$J$86,6,FALSE)))</f>
        <v>197.88029001400659</v>
      </c>
      <c r="G76" s="64">
        <f t="shared" ref="G76:H78" si="15">$F76/D76-1</f>
        <v>0.10833371373749623</v>
      </c>
      <c r="H76" s="65">
        <f t="shared" si="15"/>
        <v>0</v>
      </c>
      <c r="I76" s="750"/>
      <c r="J76" s="751"/>
      <c r="K76" s="746" t="str">
        <f>B76</f>
        <v>400 kWh Monthly Usage - Non-CARE</v>
      </c>
      <c r="L76" s="747"/>
      <c r="M76" s="598">
        <f>IF($D$3="All",'Hypothetical Res Bill Impact'!L87,(VLOOKUP($D$3,'Hypothetical Res Bill Impact'!$K$83:$Q$86,2,FALSE)))</f>
        <v>189.77944361662102</v>
      </c>
      <c r="N76" s="598">
        <f>IF($D$3="All",'Hypothetical Res Bill Impact'!N87,(VLOOKUP($D$3,'Hypothetical Res Bill Impact'!$K$83:$Q$86,4,FALSE)))</f>
        <v>210.52992581044208</v>
      </c>
      <c r="O76" s="598">
        <f>IF($D$3="All",'Hypothetical Res Bill Impact'!P87,(VLOOKUP($D$3,'Hypothetical Res Bill Impact'!$K$83:$Q$86,6,FALSE)))</f>
        <v>210.52992581044208</v>
      </c>
      <c r="P76" s="259">
        <f t="shared" ref="P76:Q78" si="16">$O76/M76-1</f>
        <v>0.10933998855924409</v>
      </c>
      <c r="Q76" s="260">
        <f t="shared" si="16"/>
        <v>0</v>
      </c>
      <c r="R76" s="750"/>
      <c r="S76" s="751"/>
    </row>
    <row r="77" spans="2:19" s="709" customFormat="1">
      <c r="B77" s="754"/>
      <c r="C77" s="755" t="str">
        <f>$C$71</f>
        <v>400 kWh Monthly Usage - CARE</v>
      </c>
      <c r="D77" s="598">
        <f>IF($D$3="All",'Hypothetical Res Bill Impact'!C97,(VLOOKUP($D$3,'Hypothetical Res Bill Impact'!$B$93:$J$96,2,FALSE)))</f>
        <v>105.08441000000001</v>
      </c>
      <c r="E77" s="598">
        <f>IF($D$3="All",'Hypothetical Res Bill Impact'!E97,(VLOOKUP($D$3,'Hypothetical Res Bill Impact'!$B$93:$J$96,4,FALSE)))</f>
        <v>115.42252999999999</v>
      </c>
      <c r="F77" s="598">
        <f>IF($D$3="All",'Hypothetical Res Bill Impact'!G97,(VLOOKUP($D$3,'Hypothetical Res Bill Impact'!$B$93:$J$96,6,FALSE)))</f>
        <v>115.42252999999999</v>
      </c>
      <c r="G77" s="63">
        <f t="shared" si="15"/>
        <v>9.8379198208373486E-2</v>
      </c>
      <c r="H77" s="65">
        <f t="shared" si="15"/>
        <v>0</v>
      </c>
      <c r="I77" s="750"/>
      <c r="J77" s="751"/>
      <c r="K77" s="754"/>
      <c r="L77" s="755" t="str">
        <f>C77</f>
        <v>400 kWh Monthly Usage - CARE</v>
      </c>
      <c r="M77" s="598">
        <f>IF($D$3="All",'Hypothetical Res Bill Impact'!L97,(VLOOKUP($D$3,'Hypothetical Res Bill Impact'!$K$93:$Q$96,2,FALSE)))</f>
        <v>112.39125000000001</v>
      </c>
      <c r="N77" s="598">
        <f>IF($D$3="All",'Hypothetical Res Bill Impact'!N97,(VLOOKUP($D$3,'Hypothetical Res Bill Impact'!$K$93:$Q$96,4,FALSE)))</f>
        <v>123.64345</v>
      </c>
      <c r="O77" s="598">
        <f>IF($D$3="All",'Hypothetical Res Bill Impact'!P97,(VLOOKUP($D$3,'Hypothetical Res Bill Impact'!$K$93:$Q$96,6,FALSE)))</f>
        <v>123.64345</v>
      </c>
      <c r="P77" s="63">
        <f t="shared" si="16"/>
        <v>0.10011633467907854</v>
      </c>
      <c r="Q77" s="65">
        <f t="shared" si="16"/>
        <v>0</v>
      </c>
      <c r="R77" s="750"/>
      <c r="S77" s="751"/>
    </row>
    <row r="78" spans="2:19" s="709" customFormat="1" ht="15" thickBot="1">
      <c r="B78" s="757" t="s">
        <v>112</v>
      </c>
      <c r="C78" s="758"/>
      <c r="D78" s="597">
        <f>D76*(1-'Hypothetical SAR and RAR'!$AA$17)+D77*'Hypothetical SAR and RAR'!$AA$17</f>
        <v>164.19774785768712</v>
      </c>
      <c r="E78" s="597">
        <f>E76*(1-'Hypothetical SAR and RAR'!$AA$17)+E77*'Hypothetical SAR and RAR'!$AA$17</f>
        <v>181.7816715723641</v>
      </c>
      <c r="F78" s="597">
        <f>F76*(1-'Hypothetical SAR and RAR'!$AA$17)+F77*'Hypothetical SAR and RAR'!$AA$17</f>
        <v>181.7816715723641</v>
      </c>
      <c r="G78" s="66">
        <f t="shared" si="15"/>
        <v>0.10708992019742714</v>
      </c>
      <c r="H78" s="67">
        <f t="shared" si="15"/>
        <v>0</v>
      </c>
      <c r="I78" s="750"/>
      <c r="J78" s="751"/>
      <c r="K78" s="757" t="s">
        <v>112</v>
      </c>
      <c r="L78" s="758"/>
      <c r="M78" s="597">
        <f>M76*(1-'Hypothetical SAR and RAR'!$AA$17)+M77*'Hypothetical SAR and RAR'!$AA$17</f>
        <v>174.67058059741808</v>
      </c>
      <c r="N78" s="597">
        <f>N76*(1-'Hypothetical SAR and RAR'!$AA$17)+N77*'Hypothetical SAR and RAR'!$AA$17</f>
        <v>193.56666823985432</v>
      </c>
      <c r="O78" s="597">
        <f>O76*(1-'Hypothetical SAR and RAR'!$AA$17)+O77*'Hypothetical SAR and RAR'!$AA$17</f>
        <v>193.56666823985432</v>
      </c>
      <c r="P78" s="66">
        <f t="shared" si="16"/>
        <v>0.10818128375028468</v>
      </c>
      <c r="Q78" s="67">
        <f t="shared" si="16"/>
        <v>0</v>
      </c>
      <c r="R78" s="750"/>
      <c r="S78" s="751"/>
    </row>
    <row r="79" spans="2:19" s="709" customFormat="1" ht="15" thickBot="1"/>
    <row r="80" spans="2:19" s="709" customFormat="1">
      <c r="B80" s="763" t="s">
        <v>292</v>
      </c>
      <c r="C80" s="764"/>
      <c r="D80" s="764"/>
      <c r="E80" s="764"/>
      <c r="F80" s="764"/>
      <c r="G80" s="764"/>
      <c r="H80" s="765"/>
      <c r="K80" s="763" t="s">
        <v>293</v>
      </c>
      <c r="L80" s="764"/>
      <c r="M80" s="764"/>
      <c r="N80" s="764"/>
      <c r="O80" s="764"/>
      <c r="P80" s="764"/>
      <c r="Q80" s="765"/>
    </row>
    <row r="81" spans="2:19" s="709" customFormat="1" ht="29">
      <c r="B81" s="767"/>
      <c r="C81" s="779"/>
      <c r="D81" s="736" t="str">
        <f>D75</f>
        <v>10/1/2025</v>
      </c>
      <c r="E81" s="780" t="str">
        <f>E75</f>
        <v>1/1/26</v>
      </c>
      <c r="F81" s="742" t="str">
        <f>F75</f>
        <v>Proposed</v>
      </c>
      <c r="G81" s="593" t="str">
        <f>$G$26</f>
        <v>% Change over 10/1/2025</v>
      </c>
      <c r="H81" s="781" t="s">
        <v>144</v>
      </c>
      <c r="K81" s="767"/>
      <c r="L81" s="779"/>
      <c r="M81" s="736" t="str">
        <f>M75</f>
        <v>10/1/2025</v>
      </c>
      <c r="N81" s="780" t="str">
        <f>N75</f>
        <v>1/1/26</v>
      </c>
      <c r="O81" s="742" t="str">
        <f>O75</f>
        <v>Proposed</v>
      </c>
      <c r="P81" s="593" t="str">
        <f>$G$26</f>
        <v>% Change over 10/1/2025</v>
      </c>
      <c r="Q81" s="781" t="s">
        <v>144</v>
      </c>
    </row>
    <row r="82" spans="2:19" s="709" customFormat="1">
      <c r="B82" s="746" t="str">
        <f>$B$70</f>
        <v>400 kWh Monthly Usage - Non-CARE</v>
      </c>
      <c r="C82" s="747"/>
      <c r="D82" s="598">
        <f>IF($D$3="All",'Hypothetical Res Bill Impact'!D87,(VLOOKUP($D$3,'Hypothetical Res Bill Impact'!$B$83:$J$86,3,FALSE)))</f>
        <v>177.76331195218151</v>
      </c>
      <c r="E82" s="598">
        <f>IF($D$3="All",'Hypothetical Res Bill Impact'!F87,(VLOOKUP($D$3,'Hypothetical Res Bill Impact'!$B$83:$J$86,5,FALSE)))</f>
        <v>197.00790133839035</v>
      </c>
      <c r="F82" s="598">
        <f>IF($D$3="All",'Hypothetical Res Bill Impact'!H87,(VLOOKUP($D$3,'Hypothetical Res Bill Impact'!$B$83:$J$86,7,FALSE)))</f>
        <v>197.00790133839035</v>
      </c>
      <c r="G82" s="64">
        <f t="shared" ref="G82:H84" si="17">$F82/D82-1</f>
        <v>0.10825962441218273</v>
      </c>
      <c r="H82" s="65">
        <f t="shared" si="17"/>
        <v>0</v>
      </c>
      <c r="I82" s="750"/>
      <c r="J82" s="751"/>
      <c r="K82" s="746" t="str">
        <f>B82</f>
        <v>400 kWh Monthly Usage - Non-CARE</v>
      </c>
      <c r="L82" s="747"/>
      <c r="M82" s="598">
        <f>IF($D$3="All",'Hypothetical Res Bill Impact'!M87,(VLOOKUP($D$3,'Hypothetical Res Bill Impact'!$K$83:$Q$86,3,FALSE)))</f>
        <v>179.31378055404465</v>
      </c>
      <c r="N82" s="598">
        <f>IF($D$3="All",'Hypothetical Res Bill Impact'!O87,(VLOOKUP($D$3,'Hypothetical Res Bill Impact'!$K$83:$Q$86,5,FALSE)))</f>
        <v>198.75267868962283</v>
      </c>
      <c r="O82" s="598">
        <f>IF($D$3="All",'Hypothetical Res Bill Impact'!Q87,(VLOOKUP($D$3,'Hypothetical Res Bill Impact'!$K$83:$Q$86,7,FALSE)))</f>
        <v>198.75267868962283</v>
      </c>
      <c r="P82" s="259">
        <f t="shared" ref="P82:Q84" si="18">$O82/M82-1</f>
        <v>0.10840716243623749</v>
      </c>
      <c r="Q82" s="260">
        <f t="shared" si="18"/>
        <v>0</v>
      </c>
      <c r="R82" s="750"/>
      <c r="S82" s="751"/>
    </row>
    <row r="83" spans="2:19" s="709" customFormat="1">
      <c r="B83" s="754"/>
      <c r="C83" s="755" t="str">
        <f>$C$71</f>
        <v>400 kWh Monthly Usage - CARE</v>
      </c>
      <c r="D83" s="598">
        <f>IF($D$3="All",'Hypothetical Res Bill Impact'!D97,(VLOOKUP($D$3,'Hypothetical Res Bill Impact'!$B$93:$J$96,3,FALSE)))</f>
        <v>104.58049</v>
      </c>
      <c r="E83" s="598">
        <f>IF($D$3="All",'Hypothetical Res Bill Impact'!F97,(VLOOKUP($D$3,'Hypothetical Res Bill Impact'!$B$93:$J$96,5,FALSE)))</f>
        <v>114.85557</v>
      </c>
      <c r="F83" s="598">
        <f>IF($D$3="All",'Hypothetical Res Bill Impact'!H97,(VLOOKUP($D$3,'Hypothetical Res Bill Impact'!$B$93:$J$96,7,FALSE)))</f>
        <v>114.85557</v>
      </c>
      <c r="G83" s="63">
        <f t="shared" si="17"/>
        <v>9.8250448052021877E-2</v>
      </c>
      <c r="H83" s="65">
        <f t="shared" si="17"/>
        <v>0</v>
      </c>
      <c r="I83" s="750"/>
      <c r="J83" s="751"/>
      <c r="K83" s="754"/>
      <c r="L83" s="755" t="str">
        <f>C83</f>
        <v>400 kWh Monthly Usage - CARE</v>
      </c>
      <c r="M83" s="598">
        <f>IF($D$3="All",'Hypothetical Res Bill Impact'!M97,(VLOOKUP($D$3,'Hypothetical Res Bill Impact'!$K$93:$Q$96,3,FALSE)))</f>
        <v>105.58833000000001</v>
      </c>
      <c r="N83" s="598">
        <f>IF($D$3="All",'Hypothetical Res Bill Impact'!O97,(VLOOKUP($D$3,'Hypothetical Res Bill Impact'!$K$93:$Q$96,5,FALSE)))</f>
        <v>115.98949</v>
      </c>
      <c r="O83" s="598">
        <f>IF($D$3="All",'Hypothetical Res Bill Impact'!Q97,(VLOOKUP($D$3,'Hypothetical Res Bill Impact'!$K$93:$Q$96,7,FALSE)))</f>
        <v>115.98949</v>
      </c>
      <c r="P83" s="63">
        <f t="shared" si="18"/>
        <v>9.8506719445226487E-2</v>
      </c>
      <c r="Q83" s="65">
        <f t="shared" si="18"/>
        <v>0</v>
      </c>
      <c r="R83" s="750"/>
      <c r="S83" s="751"/>
    </row>
    <row r="84" spans="2:19" ht="15" thickBot="1">
      <c r="B84" s="512" t="s">
        <v>112</v>
      </c>
      <c r="C84" s="513"/>
      <c r="D84" s="160">
        <f>D82*(1-'Hypothetical SAR and RAR'!$AA$17)+D83*'Hypothetical SAR and RAR'!$AA$17</f>
        <v>163.4754835308091</v>
      </c>
      <c r="E84" s="160">
        <f>E82*(1-'Hypothetical SAR and RAR'!$AA$17)+E83*'Hypothetical SAR and RAR'!$AA$17</f>
        <v>180.9689131815027</v>
      </c>
      <c r="F84" s="160">
        <f>F82*(1-'Hypothetical SAR and RAR'!$AA$17)+F83*'Hypothetical SAR and RAR'!$AA$17</f>
        <v>180.9689131815027</v>
      </c>
      <c r="G84" s="66">
        <f t="shared" si="17"/>
        <v>0.10700949936261694</v>
      </c>
      <c r="H84" s="67">
        <f t="shared" si="17"/>
        <v>0</v>
      </c>
      <c r="I84" s="446"/>
      <c r="J84" s="447"/>
      <c r="K84" s="512" t="s">
        <v>112</v>
      </c>
      <c r="L84" s="513"/>
      <c r="M84" s="160">
        <f>M82*(1-'Hypothetical SAR and RAR'!$AA$17)+M83*'Hypothetical SAR and RAR'!$AA$17</f>
        <v>164.92001218456508</v>
      </c>
      <c r="N84" s="160">
        <f>N82*(1-'Hypothetical SAR and RAR'!$AA$17)+N83*'Hypothetical SAR and RAR'!$AA$17</f>
        <v>182.59442996322548</v>
      </c>
      <c r="O84" s="160">
        <f>O82*(1-'Hypothetical SAR and RAR'!$AA$17)+O83*'Hypothetical SAR and RAR'!$AA$17</f>
        <v>182.59442996322548</v>
      </c>
      <c r="P84" s="66">
        <f t="shared" si="18"/>
        <v>0.10716963662894119</v>
      </c>
      <c r="Q84" s="67">
        <f t="shared" si="18"/>
        <v>0</v>
      </c>
      <c r="R84" s="446"/>
      <c r="S84" s="447"/>
    </row>
    <row r="86" spans="2:19" ht="15" thickBot="1"/>
    <row r="87" spans="2:19">
      <c r="B87" s="521" t="s">
        <v>406</v>
      </c>
      <c r="C87" s="522"/>
      <c r="D87" s="522"/>
      <c r="E87" s="522"/>
      <c r="F87" s="522"/>
      <c r="G87" s="522"/>
      <c r="H87" s="523"/>
    </row>
    <row r="88" spans="2:19" ht="29">
      <c r="B88" s="61"/>
      <c r="C88" s="62"/>
      <c r="D88" s="51" t="str">
        <f>$D$26</f>
        <v>10/1/2025</v>
      </c>
      <c r="E88" s="51" t="str">
        <f>$E$26</f>
        <v>1/1/26</v>
      </c>
      <c r="F88" s="51" t="str">
        <f>$F$26</f>
        <v>Proposed</v>
      </c>
      <c r="G88" s="235" t="str">
        <f>$G$26</f>
        <v>% Change over 10/1/2025</v>
      </c>
      <c r="H88" s="258" t="str">
        <f>$H$26</f>
        <v>% Change over 1/1/26</v>
      </c>
    </row>
    <row r="89" spans="2:19">
      <c r="B89" s="376"/>
      <c r="C89" s="39" t="s">
        <v>395</v>
      </c>
      <c r="D89" s="158">
        <f t="shared" ref="D89:F91" si="19">((D95*5)+(D101*7))/12</f>
        <v>376.54877376990413</v>
      </c>
      <c r="E89" s="158">
        <f t="shared" si="19"/>
        <v>393.3743120234779</v>
      </c>
      <c r="F89" s="159">
        <f t="shared" si="19"/>
        <v>393.3743120234779</v>
      </c>
      <c r="G89" s="243">
        <f t="shared" ref="G89:H91" si="20">$F89/D89-1</f>
        <v>4.4683556090545862E-2</v>
      </c>
      <c r="H89" s="377">
        <f t="shared" si="20"/>
        <v>0</v>
      </c>
      <c r="I89" s="446"/>
      <c r="J89" s="447"/>
    </row>
    <row r="90" spans="2:19">
      <c r="B90" s="370"/>
      <c r="C90" s="39" t="s">
        <v>396</v>
      </c>
      <c r="D90" s="158">
        <f t="shared" si="19"/>
        <v>415.27807488155094</v>
      </c>
      <c r="E90" s="158">
        <f t="shared" si="19"/>
        <v>433.75557923707146</v>
      </c>
      <c r="F90" s="159">
        <f t="shared" si="19"/>
        <v>433.75557923707146</v>
      </c>
      <c r="G90" s="243">
        <f t="shared" si="20"/>
        <v>4.4494293036758226E-2</v>
      </c>
      <c r="H90" s="378">
        <f t="shared" si="20"/>
        <v>0</v>
      </c>
      <c r="I90" s="446"/>
      <c r="J90" s="447"/>
    </row>
    <row r="91" spans="2:19" ht="15" thickBot="1">
      <c r="B91" s="371"/>
      <c r="C91" s="321" t="s">
        <v>397</v>
      </c>
      <c r="D91" s="160">
        <f t="shared" si="19"/>
        <v>1057.5316299670128</v>
      </c>
      <c r="E91" s="160">
        <f t="shared" si="19"/>
        <v>1106.9056125301365</v>
      </c>
      <c r="F91" s="161">
        <f t="shared" si="19"/>
        <v>1106.9056125301365</v>
      </c>
      <c r="G91" s="244">
        <f t="shared" si="20"/>
        <v>4.6687948770538279E-2</v>
      </c>
      <c r="H91" s="379">
        <f t="shared" si="20"/>
        <v>0</v>
      </c>
      <c r="I91" s="446"/>
      <c r="J91" s="447"/>
    </row>
    <row r="92" spans="2:19" ht="15" thickBot="1"/>
    <row r="93" spans="2:19">
      <c r="B93" s="521" t="s">
        <v>407</v>
      </c>
      <c r="C93" s="522"/>
      <c r="D93" s="522"/>
      <c r="E93" s="522"/>
      <c r="F93" s="522"/>
      <c r="G93" s="522"/>
      <c r="H93" s="523"/>
    </row>
    <row r="94" spans="2:19" ht="29">
      <c r="B94" s="61"/>
      <c r="C94" s="62"/>
      <c r="D94" s="51" t="str">
        <f>D88</f>
        <v>10/1/2025</v>
      </c>
      <c r="E94" s="51" t="str">
        <f>E81</f>
        <v>1/1/26</v>
      </c>
      <c r="F94" s="51" t="str">
        <f>F81</f>
        <v>Proposed</v>
      </c>
      <c r="G94" s="235" t="str">
        <f>G81</f>
        <v>% Change over 10/1/2025</v>
      </c>
      <c r="H94" s="258" t="str">
        <f>$H$26</f>
        <v>% Change over 1/1/26</v>
      </c>
    </row>
    <row r="95" spans="2:19">
      <c r="B95" s="376"/>
      <c r="C95" s="39" t="s">
        <v>395</v>
      </c>
      <c r="D95" s="158">
        <f>'Hypoth. Bill Impact (TOU-A)'!C36</f>
        <v>431.77896066155455</v>
      </c>
      <c r="E95" s="158">
        <f>'Hypoth. Bill Impact (TOU-A)'!E36</f>
        <v>455.79710331249396</v>
      </c>
      <c r="F95" s="159">
        <f>'Hypoth. Bill Impact (TOU-A)'!G36</f>
        <v>455.79710331249396</v>
      </c>
      <c r="G95" s="243">
        <f t="shared" ref="G95:H97" si="21">$F95/D95-1</f>
        <v>5.5626014324875239E-2</v>
      </c>
      <c r="H95" s="378">
        <f t="shared" si="21"/>
        <v>0</v>
      </c>
      <c r="I95" s="446"/>
      <c r="J95" s="447"/>
    </row>
    <row r="96" spans="2:19">
      <c r="B96" s="370"/>
      <c r="C96" s="39" t="s">
        <v>396</v>
      </c>
      <c r="D96" s="158">
        <f>'Hypoth. Bill Impact (TOU-A)'!C37</f>
        <v>505.16944969056567</v>
      </c>
      <c r="E96" s="158">
        <f>'Hypoth. Bill Impact (TOU-A)'!E37</f>
        <v>532.98594854088014</v>
      </c>
      <c r="F96" s="159">
        <f>'Hypoth. Bill Impact (TOU-A)'!G37</f>
        <v>532.98594854088014</v>
      </c>
      <c r="G96" s="243">
        <f t="shared" si="21"/>
        <v>5.5063699650390818E-2</v>
      </c>
      <c r="H96" s="378">
        <f t="shared" si="21"/>
        <v>0</v>
      </c>
      <c r="I96" s="446"/>
      <c r="J96" s="447"/>
    </row>
    <row r="97" spans="2:10" ht="15" thickBot="1">
      <c r="B97" s="371"/>
      <c r="C97" s="321" t="s">
        <v>397</v>
      </c>
      <c r="D97" s="160">
        <f>'Hypoth. Bill Impact (TOU-A)'!C38</f>
        <v>1312.8932294868373</v>
      </c>
      <c r="E97" s="160">
        <f>'Hypoth. Bill Impact (TOU-A)'!E38</f>
        <v>1387.5924732521576</v>
      </c>
      <c r="F97" s="160">
        <f>'Hypoth. Bill Impact (TOU-A)'!G38</f>
        <v>1387.5924732521576</v>
      </c>
      <c r="G97" s="236">
        <f t="shared" si="21"/>
        <v>5.6896663100713507E-2</v>
      </c>
      <c r="H97" s="379">
        <f t="shared" si="21"/>
        <v>0</v>
      </c>
      <c r="I97" s="446"/>
      <c r="J97" s="447"/>
    </row>
    <row r="98" spans="2:10" ht="15" thickBot="1"/>
    <row r="99" spans="2:10">
      <c r="B99" s="521" t="s">
        <v>408</v>
      </c>
      <c r="C99" s="522"/>
      <c r="D99" s="522"/>
      <c r="E99" s="522"/>
      <c r="F99" s="522"/>
      <c r="G99" s="522"/>
      <c r="H99" s="523"/>
    </row>
    <row r="100" spans="2:10" ht="29">
      <c r="B100" s="61"/>
      <c r="C100" s="62"/>
      <c r="D100" s="51" t="str">
        <f>$D$26</f>
        <v>10/1/2025</v>
      </c>
      <c r="E100" s="51" t="str">
        <f>$E$26</f>
        <v>1/1/26</v>
      </c>
      <c r="F100" s="51" t="str">
        <f>F94</f>
        <v>Proposed</v>
      </c>
      <c r="G100" s="235" t="str">
        <f>G81</f>
        <v>% Change over 10/1/2025</v>
      </c>
      <c r="H100" s="258" t="str">
        <f>$H$26</f>
        <v>% Change over 1/1/26</v>
      </c>
    </row>
    <row r="101" spans="2:10">
      <c r="B101" s="376"/>
      <c r="C101" s="39" t="s">
        <v>395</v>
      </c>
      <c r="D101" s="158">
        <f>'Hypoth. Bill Impact (TOU-A)'!D36</f>
        <v>337.09864027586815</v>
      </c>
      <c r="E101" s="158">
        <f>'Hypoth. Bill Impact (TOU-A)'!F36</f>
        <v>348.78660395989493</v>
      </c>
      <c r="F101" s="159">
        <f>'Hypoth. Bill Impact (TOU-A)'!H36</f>
        <v>348.78660395989493</v>
      </c>
      <c r="G101" s="243">
        <f t="shared" ref="G101:H103" si="22">$F101/D101-1</f>
        <v>3.4672236216858776E-2</v>
      </c>
      <c r="H101" s="378">
        <f t="shared" si="22"/>
        <v>0</v>
      </c>
      <c r="I101" s="446"/>
      <c r="J101" s="447"/>
    </row>
    <row r="102" spans="2:10">
      <c r="B102" s="370"/>
      <c r="C102" s="39" t="s">
        <v>396</v>
      </c>
      <c r="D102" s="158">
        <f>'Hypoth. Bill Impact (TOU-A)'!D37</f>
        <v>351.06995001796889</v>
      </c>
      <c r="E102" s="158">
        <f>'Hypoth. Bill Impact (TOU-A)'!F37</f>
        <v>362.8767440200653</v>
      </c>
      <c r="F102" s="159">
        <f>'Hypoth. Bill Impact (TOU-A)'!H37</f>
        <v>362.8767440200653</v>
      </c>
      <c r="G102" s="243">
        <f t="shared" si="22"/>
        <v>3.3630887523959485E-2</v>
      </c>
      <c r="H102" s="378">
        <f t="shared" si="22"/>
        <v>0</v>
      </c>
      <c r="I102" s="446"/>
      <c r="J102" s="447"/>
    </row>
    <row r="103" spans="2:10" ht="15" thickBot="1">
      <c r="B103" s="371"/>
      <c r="C103" s="321" t="s">
        <v>397</v>
      </c>
      <c r="D103" s="160">
        <f>'Hypoth. Bill Impact (TOU-A)'!D38</f>
        <v>875.13048745285244</v>
      </c>
      <c r="E103" s="160">
        <f>'Hypoth. Bill Impact (TOU-A)'!F38</f>
        <v>906.41499772869258</v>
      </c>
      <c r="F103" s="160">
        <f>'Hypoth. Bill Impact (TOU-A)'!H38</f>
        <v>906.41499772869258</v>
      </c>
      <c r="G103" s="236">
        <f t="shared" si="22"/>
        <v>3.5748394924391969E-2</v>
      </c>
      <c r="H103" s="379">
        <f t="shared" si="22"/>
        <v>0</v>
      </c>
      <c r="I103" s="446"/>
      <c r="J103" s="447"/>
    </row>
  </sheetData>
  <mergeCells count="81">
    <mergeCell ref="I26:J26"/>
    <mergeCell ref="K84:L84"/>
    <mergeCell ref="K82:L82"/>
    <mergeCell ref="K32:Q32"/>
    <mergeCell ref="K36:L36"/>
    <mergeCell ref="K38:Q38"/>
    <mergeCell ref="K42:L42"/>
    <mergeCell ref="K44:Q44"/>
    <mergeCell ref="K48:L48"/>
    <mergeCell ref="K50:Q50"/>
    <mergeCell ref="K54:L54"/>
    <mergeCell ref="K56:Q56"/>
    <mergeCell ref="K60:L60"/>
    <mergeCell ref="K62:Q62"/>
    <mergeCell ref="K66:L66"/>
    <mergeCell ref="K78:L78"/>
    <mergeCell ref="K80:Q80"/>
    <mergeCell ref="K72:L72"/>
    <mergeCell ref="K70:L70"/>
    <mergeCell ref="K76:L76"/>
    <mergeCell ref="K74:Q74"/>
    <mergeCell ref="K68:Q68"/>
    <mergeCell ref="K64:L64"/>
    <mergeCell ref="B65:C65"/>
    <mergeCell ref="B66:C66"/>
    <mergeCell ref="K47:L47"/>
    <mergeCell ref="K65:L65"/>
    <mergeCell ref="B56:H56"/>
    <mergeCell ref="B58:C58"/>
    <mergeCell ref="B59:C59"/>
    <mergeCell ref="B62:H62"/>
    <mergeCell ref="K58:L58"/>
    <mergeCell ref="K59:L59"/>
    <mergeCell ref="K52:L52"/>
    <mergeCell ref="K53:L53"/>
    <mergeCell ref="B50:H50"/>
    <mergeCell ref="B52:C52"/>
    <mergeCell ref="B53:C53"/>
    <mergeCell ref="B34:C34"/>
    <mergeCell ref="B35:C35"/>
    <mergeCell ref="K34:L34"/>
    <mergeCell ref="K35:L35"/>
    <mergeCell ref="K46:L46"/>
    <mergeCell ref="B46:C46"/>
    <mergeCell ref="B27:C27"/>
    <mergeCell ref="K27:L27"/>
    <mergeCell ref="B29:C29"/>
    <mergeCell ref="K29:L29"/>
    <mergeCell ref="B32:H32"/>
    <mergeCell ref="B93:H93"/>
    <mergeCell ref="B99:H99"/>
    <mergeCell ref="B47:C47"/>
    <mergeCell ref="B48:C48"/>
    <mergeCell ref="B60:C60"/>
    <mergeCell ref="B82:C82"/>
    <mergeCell ref="B84:C84"/>
    <mergeCell ref="B68:H68"/>
    <mergeCell ref="B70:C70"/>
    <mergeCell ref="B72:C72"/>
    <mergeCell ref="B74:H74"/>
    <mergeCell ref="B76:C76"/>
    <mergeCell ref="B78:C78"/>
    <mergeCell ref="B80:H80"/>
    <mergeCell ref="B54:C54"/>
    <mergeCell ref="B64:C64"/>
    <mergeCell ref="F10:G12"/>
    <mergeCell ref="M5:N5"/>
    <mergeCell ref="O5:P5"/>
    <mergeCell ref="B44:H44"/>
    <mergeCell ref="B87:H87"/>
    <mergeCell ref="K40:L40"/>
    <mergeCell ref="B38:H38"/>
    <mergeCell ref="B40:C40"/>
    <mergeCell ref="B41:C41"/>
    <mergeCell ref="B42:C42"/>
    <mergeCell ref="K41:L41"/>
    <mergeCell ref="B36:C36"/>
    <mergeCell ref="B25:H25"/>
    <mergeCell ref="K25:Q25"/>
    <mergeCell ref="B26:C26"/>
    <mergeCell ref="K26:L26"/>
  </mergeCells>
  <dataValidations disablePrompts="1" count="2">
    <dataValidation type="list" allowBlank="1" showInputMessage="1" showErrorMessage="1" sqref="D3" xr:uid="{7E320ACF-B98D-4476-95E8-0C8122144F35}">
      <formula1>"Coastal, Mountain, Desert, Inland, ALL"</formula1>
    </dataValidation>
    <dataValidation type="list" allowBlank="1" showInputMessage="1" showErrorMessage="1" sqref="H8" xr:uid="{1800F55C-02A4-487B-8FB1-0AAA06745D82}">
      <formula1>"Y,N"</formula1>
    </dataValidation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04A19-63CB-4434-934A-642AE3437D08}">
  <sheetPr codeName="Sheet9">
    <tabColor rgb="FF92D050"/>
  </sheetPr>
  <dimension ref="A1:AC84"/>
  <sheetViews>
    <sheetView zoomScale="70" zoomScaleNormal="70" workbookViewId="0"/>
  </sheetViews>
  <sheetFormatPr defaultColWidth="8.81640625" defaultRowHeight="14.5"/>
  <cols>
    <col min="1" max="1" width="3.54296875" style="6" customWidth="1"/>
    <col min="2" max="2" width="19.453125" style="6" customWidth="1"/>
    <col min="3" max="5" width="22.1796875" style="6" customWidth="1"/>
    <col min="6" max="6" width="20" style="6" customWidth="1"/>
    <col min="7" max="7" width="13.54296875" style="6" customWidth="1"/>
    <col min="8" max="8" width="14.1796875" style="6" customWidth="1"/>
    <col min="9" max="9" width="13.54296875" style="6" customWidth="1"/>
    <col min="10" max="10" width="15.1796875" style="6" customWidth="1"/>
    <col min="11" max="11" width="14.81640625" style="6" customWidth="1"/>
    <col min="12" max="14" width="15.453125" style="6" customWidth="1"/>
    <col min="15" max="15" width="13" style="6" customWidth="1"/>
    <col min="16" max="16" width="17.1796875" style="6" bestFit="1" customWidth="1"/>
    <col min="17" max="17" width="19.453125" style="6" customWidth="1"/>
    <col min="18" max="18" width="13" style="6" customWidth="1"/>
    <col min="19" max="20" width="14" style="6" customWidth="1"/>
    <col min="21" max="21" width="15" style="6" customWidth="1"/>
    <col min="22" max="22" width="14.1796875" style="6" customWidth="1"/>
    <col min="23" max="23" width="14.81640625" style="6" bestFit="1" customWidth="1"/>
    <col min="24" max="24" width="13.54296875" style="6" customWidth="1"/>
    <col min="25" max="29" width="13" style="6" customWidth="1"/>
    <col min="30" max="16384" width="8.81640625" style="6"/>
  </cols>
  <sheetData>
    <row r="1" spans="1:27" s="169" customFormat="1" ht="25.5" customHeight="1">
      <c r="A1" s="395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</row>
    <row r="2" spans="1:27" ht="15.5">
      <c r="B2" s="75"/>
      <c r="C2" s="37"/>
      <c r="D2" s="37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</row>
    <row r="3" spans="1:27">
      <c r="B3" s="76"/>
      <c r="C3" s="38" t="s">
        <v>157</v>
      </c>
      <c r="D3" s="178"/>
      <c r="R3" s="78"/>
      <c r="S3" s="78"/>
      <c r="T3" s="78"/>
      <c r="U3" s="78"/>
      <c r="V3" s="78"/>
      <c r="W3" s="78"/>
      <c r="X3" s="78"/>
    </row>
    <row r="4" spans="1:27" ht="15.5">
      <c r="B4" s="184" t="s">
        <v>3</v>
      </c>
      <c r="C4" s="187">
        <f>'Hypothetical Summary'!D6</f>
        <v>0</v>
      </c>
      <c r="D4" s="1"/>
      <c r="G4" s="563" t="s">
        <v>159</v>
      </c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38"/>
      <c r="V4" s="38"/>
      <c r="W4" s="38"/>
      <c r="X4" s="38"/>
      <c r="Y4" s="38"/>
      <c r="Z4" s="38"/>
      <c r="AA4" s="38"/>
    </row>
    <row r="5" spans="1:27" ht="31">
      <c r="B5" s="184" t="s">
        <v>373</v>
      </c>
      <c r="C5" s="187">
        <f>'Hypothetical Summary'!D7</f>
        <v>0</v>
      </c>
      <c r="D5" s="1"/>
      <c r="F5" s="1"/>
      <c r="G5" s="81" t="s">
        <v>3</v>
      </c>
      <c r="H5" s="81" t="s">
        <v>373</v>
      </c>
      <c r="I5" s="81" t="s">
        <v>59</v>
      </c>
      <c r="J5" s="81" t="s">
        <v>5</v>
      </c>
      <c r="K5" s="81" t="s">
        <v>98</v>
      </c>
      <c r="L5" s="81" t="s">
        <v>14</v>
      </c>
      <c r="M5" s="81" t="s">
        <v>80</v>
      </c>
      <c r="N5" s="81" t="s">
        <v>99</v>
      </c>
      <c r="O5" s="81" t="s">
        <v>97</v>
      </c>
      <c r="P5" s="81" t="s">
        <v>78</v>
      </c>
      <c r="Q5" s="81" t="s">
        <v>10</v>
      </c>
      <c r="R5" s="81" t="s">
        <v>221</v>
      </c>
      <c r="S5" s="81" t="s">
        <v>87</v>
      </c>
      <c r="T5" s="81" t="s">
        <v>251</v>
      </c>
    </row>
    <row r="6" spans="1:27" ht="15.5">
      <c r="B6" s="185" t="s">
        <v>59</v>
      </c>
      <c r="C6" s="187">
        <f>'Hypothetical Summary'!D8</f>
        <v>0</v>
      </c>
      <c r="D6" s="1"/>
      <c r="F6" s="1" t="s">
        <v>145</v>
      </c>
      <c r="G6" s="82">
        <f>'SAR and RAR'!H6</f>
        <v>0.40473764964178593</v>
      </c>
      <c r="H6" s="82">
        <f>'SAR and RAR'!I6</f>
        <v>0.19327545344183236</v>
      </c>
      <c r="I6" s="82">
        <f>'SAR and RAR'!J6</f>
        <v>0.39851332033456138</v>
      </c>
      <c r="J6" s="82">
        <f>'SAR and RAR'!K6</f>
        <v>0.43051155139593206</v>
      </c>
      <c r="K6" s="82">
        <f>'SAR and RAR'!L6</f>
        <v>0.93344443986239845</v>
      </c>
      <c r="L6" s="82">
        <f>'SAR and RAR'!M6</f>
        <v>0.40427529966097542</v>
      </c>
      <c r="M6" s="82">
        <f>'SAR and RAR'!N6</f>
        <v>0.37542576794475174</v>
      </c>
      <c r="N6" s="82">
        <f>'SAR and RAR'!O6</f>
        <v>0.35317862577261211</v>
      </c>
      <c r="O6" s="82">
        <f>'SAR and RAR'!P6</f>
        <v>0</v>
      </c>
      <c r="P6" s="82">
        <f>'SAR and RAR'!Q6</f>
        <v>0</v>
      </c>
      <c r="Q6" s="82">
        <f>'SAR and RAR'!R6</f>
        <v>0.45385202964924726</v>
      </c>
      <c r="R6" s="82">
        <f>'SAR and RAR'!S6</f>
        <v>0.36967490452336516</v>
      </c>
      <c r="S6" s="82">
        <f>'SAR and RAR'!T6</f>
        <v>0.31719926753039335</v>
      </c>
      <c r="T6" s="82">
        <f>'SAR and RAR'!U6</f>
        <v>0.40678987326763938</v>
      </c>
    </row>
    <row r="7" spans="1:27" ht="15.5">
      <c r="B7" s="185" t="s">
        <v>5</v>
      </c>
      <c r="C7" s="187">
        <f>'Hypothetical Summary'!D9</f>
        <v>0</v>
      </c>
      <c r="D7" s="1"/>
      <c r="F7" s="1"/>
      <c r="G7" s="150"/>
      <c r="H7" s="150"/>
      <c r="I7" s="150"/>
      <c r="J7" s="150"/>
      <c r="K7" s="150"/>
      <c r="L7" s="150"/>
      <c r="M7" s="150"/>
      <c r="N7" s="150"/>
      <c r="O7" s="83"/>
      <c r="P7" s="83"/>
      <c r="Q7" s="83"/>
      <c r="R7" s="83"/>
      <c r="S7" s="83"/>
      <c r="T7" s="151"/>
    </row>
    <row r="8" spans="1:27" ht="15.65" customHeight="1">
      <c r="B8" s="185" t="s">
        <v>98</v>
      </c>
      <c r="C8" s="187">
        <f>'Hypothetical Summary'!D10</f>
        <v>0</v>
      </c>
      <c r="D8" s="1"/>
      <c r="F8" s="84"/>
      <c r="G8" s="563" t="s">
        <v>160</v>
      </c>
      <c r="H8" s="563"/>
      <c r="I8" s="563"/>
      <c r="J8" s="563"/>
      <c r="K8" s="563"/>
      <c r="L8" s="563"/>
      <c r="M8" s="563"/>
      <c r="N8" s="563"/>
      <c r="O8" s="563"/>
      <c r="P8" s="563"/>
      <c r="Q8" s="563"/>
      <c r="R8" s="563"/>
      <c r="S8" s="563"/>
      <c r="T8" s="563"/>
    </row>
    <row r="9" spans="1:27" ht="15.75" customHeight="1">
      <c r="B9" s="185" t="s">
        <v>14</v>
      </c>
      <c r="C9" s="187">
        <f>'Hypothetical Summary'!D11</f>
        <v>0</v>
      </c>
      <c r="D9" s="1"/>
      <c r="F9" s="85" t="s">
        <v>217</v>
      </c>
      <c r="G9" s="81" t="s">
        <v>3</v>
      </c>
      <c r="H9" s="81" t="s">
        <v>373</v>
      </c>
      <c r="I9" s="81" t="s">
        <v>59</v>
      </c>
      <c r="J9" s="81" t="s">
        <v>5</v>
      </c>
      <c r="K9" s="81" t="s">
        <v>98</v>
      </c>
      <c r="L9" s="81" t="s">
        <v>14</v>
      </c>
      <c r="M9" s="81" t="s">
        <v>80</v>
      </c>
      <c r="N9" s="81" t="s">
        <v>99</v>
      </c>
      <c r="O9" s="81" t="s">
        <v>97</v>
      </c>
      <c r="P9" s="81" t="s">
        <v>78</v>
      </c>
      <c r="Q9" s="81" t="s">
        <v>10</v>
      </c>
      <c r="R9" s="81" t="s">
        <v>221</v>
      </c>
      <c r="S9" s="81" t="s">
        <v>87</v>
      </c>
      <c r="T9" s="81" t="s">
        <v>251</v>
      </c>
    </row>
    <row r="10" spans="1:27" ht="15.5">
      <c r="B10" s="185" t="s">
        <v>80</v>
      </c>
      <c r="C10" s="187">
        <f>'Hypothetical Summary'!D12</f>
        <v>0</v>
      </c>
      <c r="D10" s="1"/>
      <c r="F10" s="1" t="s">
        <v>145</v>
      </c>
      <c r="G10" s="86">
        <f>G6*G11</f>
        <v>0</v>
      </c>
      <c r="H10" s="86">
        <f>H6*H11</f>
        <v>0</v>
      </c>
      <c r="I10" s="86">
        <f t="shared" ref="I10:T10" si="0">I6*I11</f>
        <v>0</v>
      </c>
      <c r="J10" s="86">
        <f>J6*J11</f>
        <v>0</v>
      </c>
      <c r="K10" s="86">
        <f t="shared" si="0"/>
        <v>0</v>
      </c>
      <c r="L10" s="86">
        <f t="shared" si="0"/>
        <v>0</v>
      </c>
      <c r="M10" s="86">
        <f t="shared" si="0"/>
        <v>0</v>
      </c>
      <c r="N10" s="86">
        <f t="shared" si="0"/>
        <v>0</v>
      </c>
      <c r="O10" s="86">
        <f t="shared" si="0"/>
        <v>0</v>
      </c>
      <c r="P10" s="86">
        <f t="shared" si="0"/>
        <v>0</v>
      </c>
      <c r="Q10" s="86">
        <f t="shared" si="0"/>
        <v>0</v>
      </c>
      <c r="R10" s="86">
        <f>R6*R11</f>
        <v>0</v>
      </c>
      <c r="S10" s="86">
        <f t="shared" si="0"/>
        <v>0</v>
      </c>
      <c r="T10" s="86">
        <f t="shared" si="0"/>
        <v>0</v>
      </c>
      <c r="U10" s="86">
        <f>SUM(G10:T10)</f>
        <v>0</v>
      </c>
      <c r="V10" s="175"/>
    </row>
    <row r="11" spans="1:27" ht="15.5">
      <c r="B11" s="186" t="s">
        <v>99</v>
      </c>
      <c r="C11" s="187">
        <f>'Hypothetical Summary'!D13</f>
        <v>0</v>
      </c>
      <c r="D11" s="1"/>
      <c r="F11" s="1" t="s">
        <v>161</v>
      </c>
      <c r="G11" s="106">
        <f>C4</f>
        <v>0</v>
      </c>
      <c r="H11" s="106">
        <f>C5</f>
        <v>0</v>
      </c>
      <c r="I11" s="106">
        <f>C6</f>
        <v>0</v>
      </c>
      <c r="J11" s="106">
        <f>C7</f>
        <v>0</v>
      </c>
      <c r="K11" s="106">
        <f>C8</f>
        <v>0</v>
      </c>
      <c r="L11" s="106">
        <f>C9</f>
        <v>0</v>
      </c>
      <c r="M11" s="106">
        <f>C10</f>
        <v>0</v>
      </c>
      <c r="N11" s="106">
        <f>C11</f>
        <v>0</v>
      </c>
      <c r="O11" s="106">
        <f>C12</f>
        <v>0</v>
      </c>
      <c r="P11" s="106">
        <f>C17</f>
        <v>0</v>
      </c>
      <c r="Q11" s="106">
        <f>C14</f>
        <v>0</v>
      </c>
      <c r="R11" s="106">
        <f>C16</f>
        <v>0</v>
      </c>
      <c r="S11" s="106">
        <f>C15</f>
        <v>0</v>
      </c>
      <c r="T11" s="106">
        <f>C13</f>
        <v>0</v>
      </c>
      <c r="U11" s="86">
        <f>SUM(G11:T11)</f>
        <v>0</v>
      </c>
      <c r="V11" s="174"/>
    </row>
    <row r="12" spans="1:27" ht="15.5">
      <c r="B12" s="185" t="s">
        <v>97</v>
      </c>
      <c r="C12" s="187">
        <f>'Hypothetical Summary'!D14</f>
        <v>0</v>
      </c>
      <c r="D12" s="1"/>
      <c r="F12" s="85"/>
      <c r="U12" s="86"/>
    </row>
    <row r="13" spans="1:27" ht="15.75" customHeight="1">
      <c r="B13" s="185" t="s">
        <v>251</v>
      </c>
      <c r="C13" s="187">
        <f>'Hypothetical Summary'!D15</f>
        <v>0</v>
      </c>
      <c r="D13" s="1"/>
      <c r="F13" s="1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175"/>
    </row>
    <row r="14" spans="1:27" ht="15.75" customHeight="1">
      <c r="B14" s="185" t="s">
        <v>10</v>
      </c>
      <c r="C14" s="187">
        <f>'Hypothetical Summary'!D16</f>
        <v>0</v>
      </c>
      <c r="D14" s="1"/>
      <c r="F14" s="1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86"/>
      <c r="V14" s="174"/>
    </row>
    <row r="15" spans="1:27" ht="15.75" customHeight="1">
      <c r="B15" s="185" t="s">
        <v>87</v>
      </c>
      <c r="C15" s="187">
        <f>'Hypothetical Summary'!D17</f>
        <v>0</v>
      </c>
      <c r="D15" s="1"/>
      <c r="F15" s="1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86"/>
      <c r="V15" s="174"/>
    </row>
    <row r="16" spans="1:27" ht="15.5">
      <c r="B16" s="185" t="s">
        <v>221</v>
      </c>
      <c r="C16" s="187">
        <f>'Hypothetical Summary'!D18</f>
        <v>0</v>
      </c>
      <c r="D16" s="1"/>
      <c r="F16" s="191"/>
      <c r="G16" s="36"/>
      <c r="H16" s="36"/>
      <c r="I16" s="36"/>
      <c r="J16" s="36"/>
      <c r="K16" s="84"/>
      <c r="Z16" s="1"/>
      <c r="AA16" s="89" t="s">
        <v>217</v>
      </c>
    </row>
    <row r="17" spans="2:29" ht="15.5">
      <c r="B17" s="185" t="s">
        <v>78</v>
      </c>
      <c r="C17" s="190">
        <f>'Hypothetical Summary'!D19</f>
        <v>0</v>
      </c>
      <c r="D17" s="1"/>
      <c r="U17" s="547" t="s">
        <v>258</v>
      </c>
      <c r="V17" s="548"/>
      <c r="W17" s="547" t="s">
        <v>259</v>
      </c>
      <c r="X17" s="548"/>
      <c r="Z17" s="90" t="s">
        <v>163</v>
      </c>
      <c r="AA17" s="164">
        <f>'SAR and RAR'!AD16</f>
        <v>0.19523472913777831</v>
      </c>
      <c r="AC17" s="165"/>
    </row>
    <row r="18" spans="2:29" ht="15.5">
      <c r="B18" s="1" t="s">
        <v>112</v>
      </c>
      <c r="C18" s="187">
        <f>SUM(C4:C17)</f>
        <v>0</v>
      </c>
      <c r="D18" s="1"/>
      <c r="F18" s="84"/>
      <c r="G18" s="554" t="s">
        <v>164</v>
      </c>
      <c r="H18" s="554"/>
      <c r="I18" s="554"/>
      <c r="J18" s="554"/>
      <c r="K18" s="554"/>
      <c r="L18" s="554"/>
      <c r="M18" s="554"/>
      <c r="N18" s="554"/>
      <c r="O18" s="554"/>
      <c r="P18" s="554"/>
      <c r="Q18" s="554"/>
      <c r="R18" s="554"/>
      <c r="S18" s="554"/>
      <c r="T18" s="550"/>
      <c r="U18" s="549" t="s">
        <v>165</v>
      </c>
      <c r="V18" s="550"/>
      <c r="W18" s="549" t="s">
        <v>165</v>
      </c>
      <c r="X18" s="550"/>
      <c r="Z18" s="90" t="s">
        <v>166</v>
      </c>
      <c r="AA18" s="82">
        <f>'SAR and RAR'!AD17</f>
        <v>0.35</v>
      </c>
    </row>
    <row r="19" spans="2:29" ht="31">
      <c r="B19" s="2"/>
      <c r="C19" s="187"/>
      <c r="D19" s="1"/>
      <c r="G19" s="81" t="s">
        <v>3</v>
      </c>
      <c r="H19" s="81" t="s">
        <v>373</v>
      </c>
      <c r="I19" s="81" t="s">
        <v>59</v>
      </c>
      <c r="J19" s="81" t="s">
        <v>5</v>
      </c>
      <c r="K19" s="81" t="s">
        <v>98</v>
      </c>
      <c r="L19" s="81" t="s">
        <v>14</v>
      </c>
      <c r="M19" s="81" t="s">
        <v>80</v>
      </c>
      <c r="N19" s="81" t="s">
        <v>99</v>
      </c>
      <c r="O19" s="81" t="s">
        <v>97</v>
      </c>
      <c r="P19" s="81" t="s">
        <v>78</v>
      </c>
      <c r="Q19" s="81" t="s">
        <v>10</v>
      </c>
      <c r="R19" s="81" t="s">
        <v>221</v>
      </c>
      <c r="S19" s="81" t="s">
        <v>87</v>
      </c>
      <c r="T19" s="81" t="s">
        <v>251</v>
      </c>
      <c r="U19" s="91" t="s">
        <v>112</v>
      </c>
      <c r="V19" s="19" t="s">
        <v>167</v>
      </c>
      <c r="W19" s="91" t="s">
        <v>112</v>
      </c>
      <c r="X19" s="19" t="s">
        <v>167</v>
      </c>
      <c r="Z19" s="1"/>
      <c r="AA19" s="1"/>
      <c r="AC19" s="96"/>
    </row>
    <row r="20" spans="2:29" ht="15.5">
      <c r="B20" s="2"/>
      <c r="C20" s="2"/>
      <c r="D20" s="1"/>
      <c r="E20" s="84"/>
      <c r="F20" s="1" t="s">
        <v>145</v>
      </c>
      <c r="G20" s="82">
        <v>1</v>
      </c>
      <c r="H20" s="82">
        <v>0</v>
      </c>
      <c r="I20" s="82">
        <v>1</v>
      </c>
      <c r="J20" s="82">
        <v>1</v>
      </c>
      <c r="K20" s="82">
        <v>1</v>
      </c>
      <c r="L20" s="82">
        <v>1</v>
      </c>
      <c r="M20" s="82">
        <v>1</v>
      </c>
      <c r="N20" s="82">
        <v>1</v>
      </c>
      <c r="O20" s="82">
        <v>1</v>
      </c>
      <c r="P20" s="82">
        <v>1</v>
      </c>
      <c r="Q20" s="82">
        <v>1</v>
      </c>
      <c r="R20" s="82">
        <v>1</v>
      </c>
      <c r="S20" s="82">
        <v>1</v>
      </c>
      <c r="T20" s="82">
        <v>0</v>
      </c>
      <c r="U20" s="93">
        <f>SUMPRODUCT(I10:S10,I20:S20)</f>
        <v>0</v>
      </c>
      <c r="V20" s="280">
        <f>U20</f>
        <v>0</v>
      </c>
      <c r="W20" s="93">
        <f>SUMPRODUCT(G10,G20)</f>
        <v>0</v>
      </c>
      <c r="X20" s="280">
        <f>W20</f>
        <v>0</v>
      </c>
      <c r="Z20" s="1"/>
      <c r="AA20" s="1"/>
    </row>
    <row r="21" spans="2:29" ht="15.5">
      <c r="B21" s="2" t="s">
        <v>245</v>
      </c>
      <c r="C21" s="224">
        <f>'Sales Allocations &amp; CCC'!S3</f>
        <v>1E-3</v>
      </c>
      <c r="D21" s="224"/>
      <c r="F21" s="1" t="s">
        <v>161</v>
      </c>
      <c r="G21" s="82">
        <v>1</v>
      </c>
      <c r="H21" s="82">
        <v>0</v>
      </c>
      <c r="I21" s="82">
        <v>1</v>
      </c>
      <c r="J21" s="82">
        <v>1</v>
      </c>
      <c r="K21" s="82">
        <v>1</v>
      </c>
      <c r="L21" s="82">
        <v>1</v>
      </c>
      <c r="M21" s="82">
        <v>1</v>
      </c>
      <c r="N21" s="82">
        <v>1</v>
      </c>
      <c r="O21" s="82">
        <v>1</v>
      </c>
      <c r="P21" s="82">
        <v>1</v>
      </c>
      <c r="Q21" s="82">
        <v>1</v>
      </c>
      <c r="R21" s="82">
        <v>1</v>
      </c>
      <c r="S21" s="82">
        <v>1</v>
      </c>
      <c r="T21" s="82">
        <v>0</v>
      </c>
      <c r="U21" s="93">
        <f>SUMPRODUCT(I11:S11,I21:S21)</f>
        <v>0</v>
      </c>
      <c r="V21" s="280">
        <f>U21</f>
        <v>0</v>
      </c>
      <c r="W21" s="93">
        <f>SUMPRODUCT(G11,G21)</f>
        <v>0</v>
      </c>
      <c r="X21" s="280">
        <f>W21</f>
        <v>0</v>
      </c>
      <c r="Y21" s="709"/>
      <c r="Z21" s="205" t="s">
        <v>213</v>
      </c>
      <c r="AA21" s="192">
        <f>'SAR and RAR'!AD20</f>
        <v>0.32778680848344788</v>
      </c>
      <c r="AC21" s="1"/>
    </row>
    <row r="22" spans="2:29" ht="15.5">
      <c r="B22" s="2"/>
      <c r="C22" s="2"/>
      <c r="D22" s="1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T22" s="1"/>
      <c r="U22" s="106"/>
      <c r="Y22" s="1"/>
      <c r="Z22" s="1"/>
      <c r="AB22" s="166"/>
    </row>
    <row r="23" spans="2:29" ht="15.5">
      <c r="B23" s="2"/>
      <c r="C23" s="560" t="s">
        <v>425</v>
      </c>
      <c r="D23" s="561"/>
      <c r="E23" s="562"/>
      <c r="F23" s="38"/>
      <c r="T23" s="80"/>
      <c r="U23" s="1"/>
      <c r="Z23" s="98"/>
    </row>
    <row r="24" spans="2:29" ht="31">
      <c r="B24" s="1"/>
      <c r="C24" s="80" t="s">
        <v>333</v>
      </c>
      <c r="D24" s="80" t="s">
        <v>334</v>
      </c>
      <c r="E24" s="80" t="s">
        <v>335</v>
      </c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1"/>
      <c r="T24" s="194"/>
      <c r="U24" s="194"/>
      <c r="V24" s="1"/>
      <c r="W24" s="1"/>
      <c r="Y24" s="1"/>
      <c r="Z24" s="1"/>
    </row>
    <row r="25" spans="2:29" ht="15.5">
      <c r="B25" s="104" t="s">
        <v>145</v>
      </c>
      <c r="C25" s="228">
        <f>'SAR and RAR'!C25</f>
        <v>5529244.7570373612</v>
      </c>
      <c r="D25" s="228">
        <f>'SAR and RAR'!D25</f>
        <v>7311830.3174004517</v>
      </c>
      <c r="E25" s="4">
        <f>'SAR and RAR'!E25</f>
        <v>1313398.550759305</v>
      </c>
      <c r="F25" s="19"/>
      <c r="G25" s="9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4"/>
      <c r="U25" s="194"/>
      <c r="V25" s="100"/>
      <c r="W25" s="100"/>
      <c r="Y25" s="1"/>
      <c r="Z25" s="1"/>
    </row>
    <row r="26" spans="2:29" ht="15.5">
      <c r="B26" s="104" t="s">
        <v>161</v>
      </c>
      <c r="C26" s="228">
        <f>'SAR and RAR'!C26</f>
        <v>17431428.835748378</v>
      </c>
      <c r="D26" s="228">
        <f>'SAR and RAR'!D26</f>
        <v>19476455.217814039</v>
      </c>
      <c r="E26" s="4">
        <f>'SAR and RAR'!E26</f>
        <v>3218717.0926473769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01"/>
      <c r="U26" s="102"/>
      <c r="V26" s="102"/>
      <c r="W26" s="102"/>
      <c r="Y26" s="1"/>
      <c r="Z26" s="1"/>
    </row>
    <row r="27" spans="2:29" ht="15.5">
      <c r="B27" s="2"/>
      <c r="C27" s="2"/>
      <c r="E27" s="19"/>
      <c r="F27" s="551" t="s">
        <v>168</v>
      </c>
      <c r="G27" s="552"/>
      <c r="H27" s="552"/>
      <c r="I27" s="553"/>
      <c r="J27" s="2"/>
      <c r="K27" s="2"/>
      <c r="O27" s="1"/>
      <c r="P27" s="551" t="s">
        <v>169</v>
      </c>
      <c r="Q27" s="552"/>
      <c r="R27" s="552"/>
      <c r="S27" s="552"/>
      <c r="T27" s="553"/>
      <c r="U27" s="195"/>
      <c r="V27" s="1"/>
      <c r="W27" s="103"/>
      <c r="AA27" s="1"/>
      <c r="AB27" s="1"/>
    </row>
    <row r="28" spans="2:29" ht="46.5">
      <c r="B28" s="2"/>
      <c r="C28" s="2"/>
      <c r="E28" s="19"/>
      <c r="F28" s="80" t="str">
        <f>Summary!I3&amp;" Authorized Sales Forecast - Bundled"</f>
        <v>2027 Authorized Sales Forecast - Bundled</v>
      </c>
      <c r="G28" s="80" t="str">
        <f>'SAR and RAR'!H23</f>
        <v>1/1/26 Avg Rates(sales adj.)</v>
      </c>
      <c r="H28" s="80" t="s">
        <v>218</v>
      </c>
      <c r="I28" s="80" t="s">
        <v>219</v>
      </c>
      <c r="J28" s="80"/>
      <c r="K28" s="80"/>
      <c r="O28" s="1"/>
      <c r="P28" s="80" t="str">
        <f>F28</f>
        <v>2027 Authorized Sales Forecast - Bundled</v>
      </c>
      <c r="Q28" s="80" t="str">
        <f>G28</f>
        <v>1/1/26 Avg Rates(sales adj.)</v>
      </c>
      <c r="R28" s="80" t="s">
        <v>218</v>
      </c>
      <c r="S28" s="80" t="s">
        <v>219</v>
      </c>
      <c r="U28" s="80"/>
      <c r="V28" s="80"/>
      <c r="W28" s="103"/>
      <c r="Y28" s="49"/>
      <c r="Z28" s="405" t="str">
        <f>'SAR and RAR'!AC23</f>
        <v>10/1/2025</v>
      </c>
      <c r="AA28" s="405" t="str">
        <f>'SAR and RAR'!AD23</f>
        <v>1/1/26</v>
      </c>
      <c r="AB28" s="405" t="str">
        <f>'SAR and RAR'!AE23</f>
        <v>10/1/2025</v>
      </c>
      <c r="AC28" s="405" t="str">
        <f>'SAR and RAR'!AF23</f>
        <v>1/1/26</v>
      </c>
    </row>
    <row r="29" spans="2:29" ht="15.5">
      <c r="B29" s="2"/>
      <c r="C29" s="2"/>
      <c r="E29" s="19"/>
      <c r="F29" s="702">
        <f>'SAR and RAR'!G24</f>
        <v>1313398.550759305</v>
      </c>
      <c r="G29" s="716">
        <f>IF('Hypothetical Summary'!$H$8="N",AC31,AA31)</f>
        <v>43.182000000000002</v>
      </c>
      <c r="H29" s="443">
        <f>(SUM($I10:$K10,$P10:$Q10,$S10)/(IF('Hypothetical Summary'!$D$2=2026,$C25,$C35))*100)+(SUM($K10:$O10,$R10)/(IF('Hypothetical Summary'!$D$2=2026,$D25,$D35))*100)+($G10/(IF('Hypothetical Summary'!$D$2=2026,$E25,$E35))*100)+G29</f>
        <v>43.182000000000002</v>
      </c>
      <c r="I29" s="416">
        <f>H29/G29-1</f>
        <v>0</v>
      </c>
      <c r="J29" s="105"/>
      <c r="K29" s="105"/>
      <c r="O29" s="104" t="s">
        <v>145</v>
      </c>
      <c r="P29" s="95">
        <f>'SAR and RAR'!R24</f>
        <v>5529244.7570373612</v>
      </c>
      <c r="Q29" s="783">
        <v>46.597864677489412</v>
      </c>
      <c r="R29" s="443">
        <f>H29+($Q29-$G29)+($H10/((IF('Hypothetical Summary'!$D$2=2026,$C25,$C35))-(IF('Hypothetical Summary'!$D$2=2026,$E25,$E35)))*100)+($T10/((IF('Hypothetical Summary'!$D$2=2026,$C25,$C35))-(IF('Hypothetical Summary'!$D$2=2026,$E25,$E35)))*100)</f>
        <v>46.597864677489412</v>
      </c>
      <c r="S29" s="416">
        <f>R29/Q29-1</f>
        <v>0</v>
      </c>
      <c r="U29" s="105"/>
      <c r="V29" s="105"/>
      <c r="W29" s="103"/>
      <c r="Y29" s="49"/>
      <c r="Z29" s="545" t="s">
        <v>432</v>
      </c>
      <c r="AA29" s="545"/>
      <c r="AB29" s="545" t="s">
        <v>431</v>
      </c>
      <c r="AC29" s="545"/>
    </row>
    <row r="30" spans="2:29" ht="15.5">
      <c r="B30" s="2"/>
      <c r="C30" s="2"/>
      <c r="E30" s="19"/>
      <c r="F30" s="702">
        <f>'SAR and RAR'!G25</f>
        <v>3218717.0926473769</v>
      </c>
      <c r="G30" s="716">
        <f>IF('Hypothetical Summary'!$H$8="N",AC32,AA32)</f>
        <v>39.322999999999993</v>
      </c>
      <c r="H30" s="443">
        <f>(SUM($I11:$J11,$P11:$Q11,$S11)/(IF('Hypothetical Summary'!$D$2=2026,$C26,$C36))*100)+(SUM($K11:$O11,$R11)/(IF('Hypothetical Summary'!$D$2=2026,$D26,$D36))*100)+($G11/(IF('Hypothetical Summary'!$D$2=2026,$E26,$E36))*100)+G30</f>
        <v>39.322999999999993</v>
      </c>
      <c r="I30" s="416">
        <f>H30/G30-1</f>
        <v>0</v>
      </c>
      <c r="J30" s="105"/>
      <c r="K30" s="105"/>
      <c r="O30" s="104" t="s">
        <v>161</v>
      </c>
      <c r="P30" s="95">
        <f>'SAR and RAR'!R25</f>
        <v>17431428.835748378</v>
      </c>
      <c r="Q30" s="783">
        <v>41.814953036913295</v>
      </c>
      <c r="R30" s="443">
        <f>H30+($Q30-$G30)+($T11/((IF('Hypothetical Summary'!$D$2=2026,$C26,$C36))-(IF('Hypothetical Summary'!$D$2=2026,$E26,$E36)))*100)+($H11/((IF('Hypothetical Summary'!$D$2=2026,$C26,$C36))-(IF('Hypothetical Summary'!$D$2=2026,$E26,$E36)))*100)</f>
        <v>41.814953036913295</v>
      </c>
      <c r="S30" s="416">
        <f>R30/Q30-1</f>
        <v>0</v>
      </c>
      <c r="U30" s="105"/>
      <c r="V30" s="105"/>
      <c r="W30" s="107"/>
      <c r="Y30" s="49" t="s">
        <v>335</v>
      </c>
      <c r="Z30" s="49"/>
      <c r="AA30" s="49"/>
      <c r="AB30" s="49"/>
      <c r="AC30" s="49"/>
    </row>
    <row r="31" spans="2:29" ht="15.5">
      <c r="B31" s="2"/>
      <c r="C31" s="2"/>
      <c r="E31" s="19"/>
      <c r="R31" s="1"/>
      <c r="S31" s="1"/>
      <c r="T31" s="101"/>
      <c r="U31" s="102"/>
      <c r="V31" s="101"/>
      <c r="W31" s="103"/>
      <c r="Y31" s="49" t="s">
        <v>145</v>
      </c>
      <c r="Z31" s="408">
        <f>'SAR and RAR'!AC26</f>
        <v>37.26</v>
      </c>
      <c r="AA31" s="408">
        <f>'SAR and RAR'!AD26</f>
        <v>43.182000000000002</v>
      </c>
      <c r="AB31" s="408">
        <f>'SAR and RAR'!AE26</f>
        <v>41.024999999999999</v>
      </c>
      <c r="AC31" s="408">
        <f>'SAR and RAR'!AF26</f>
        <v>45.698999999999998</v>
      </c>
    </row>
    <row r="32" spans="2:29" ht="15.5">
      <c r="R32" s="1"/>
      <c r="S32" s="1"/>
      <c r="T32" s="101"/>
      <c r="U32" s="102"/>
      <c r="V32" s="101"/>
      <c r="W32" s="107"/>
      <c r="X32" s="107"/>
      <c r="Y32" s="49" t="s">
        <v>161</v>
      </c>
      <c r="Z32" s="408">
        <f>'SAR and RAR'!AC27</f>
        <v>35.117000000000004</v>
      </c>
      <c r="AA32" s="408">
        <f>'SAR and RAR'!AD27</f>
        <v>39.322999999999993</v>
      </c>
      <c r="AB32" s="408">
        <f>'SAR and RAR'!AE27</f>
        <v>36.465000000000003</v>
      </c>
      <c r="AC32" s="408">
        <f>'SAR and RAR'!AF27</f>
        <v>40.177999999999997</v>
      </c>
    </row>
    <row r="33" spans="2:25" ht="15.5">
      <c r="C33" s="560" t="s">
        <v>466</v>
      </c>
      <c r="D33" s="561"/>
      <c r="E33" s="562"/>
      <c r="F33" s="276"/>
      <c r="G33" s="276"/>
      <c r="H33" s="276"/>
      <c r="I33" s="19"/>
      <c r="J33" s="19"/>
      <c r="K33" s="19"/>
      <c r="L33" s="1"/>
      <c r="M33" s="1"/>
      <c r="N33" s="1"/>
      <c r="O33" s="1"/>
      <c r="P33" s="1"/>
      <c r="Q33" s="1"/>
      <c r="R33" s="1"/>
      <c r="S33" s="1"/>
      <c r="T33" s="101"/>
      <c r="U33" s="102"/>
      <c r="V33" s="101"/>
      <c r="W33" s="107"/>
      <c r="X33" s="107"/>
      <c r="Y33" s="103"/>
    </row>
    <row r="34" spans="2:25" ht="31">
      <c r="B34" s="1"/>
      <c r="C34" s="80" t="s">
        <v>333</v>
      </c>
      <c r="D34" s="80" t="s">
        <v>334</v>
      </c>
      <c r="E34" s="80" t="s">
        <v>335</v>
      </c>
      <c r="F34" s="80"/>
      <c r="G34" s="80"/>
      <c r="H34" s="304"/>
      <c r="I34" s="19"/>
      <c r="J34" s="19"/>
      <c r="K34" s="19"/>
      <c r="L34" s="1"/>
      <c r="M34" s="1"/>
      <c r="N34" s="1"/>
      <c r="O34" s="1"/>
      <c r="P34" s="1"/>
      <c r="Q34" s="415"/>
      <c r="R34" s="1"/>
      <c r="S34" s="1"/>
      <c r="T34" s="101"/>
      <c r="U34" s="102"/>
      <c r="V34" s="101"/>
      <c r="W34" s="103"/>
      <c r="X34" s="107"/>
      <c r="Y34" s="103"/>
    </row>
    <row r="35" spans="2:25" ht="15.5">
      <c r="B35" s="104" t="s">
        <v>145</v>
      </c>
      <c r="C35" s="300">
        <f>'SAR and RAR'!C38</f>
        <v>5529244.7570373612</v>
      </c>
      <c r="D35" s="300">
        <f>'SAR and RAR'!D38</f>
        <v>7311830.3174004517</v>
      </c>
      <c r="E35" s="4">
        <f>'SAR and RAR'!E38</f>
        <v>1313398.550759305</v>
      </c>
      <c r="F35" s="3"/>
      <c r="G35" s="4"/>
      <c r="H35" s="5"/>
      <c r="I35" s="19"/>
      <c r="J35" s="19"/>
      <c r="K35" s="19"/>
      <c r="L35" s="1"/>
      <c r="M35" s="1"/>
      <c r="N35" s="1"/>
      <c r="O35" s="1"/>
      <c r="P35" s="1"/>
      <c r="Q35" s="1"/>
      <c r="R35" s="1"/>
      <c r="S35" s="1"/>
      <c r="T35" s="101"/>
      <c r="U35" s="102"/>
      <c r="V35" s="102"/>
      <c r="W35" s="100"/>
      <c r="X35" s="107"/>
      <c r="Y35" s="103"/>
    </row>
    <row r="36" spans="2:25" ht="15.5">
      <c r="B36" s="104" t="s">
        <v>161</v>
      </c>
      <c r="C36" s="300">
        <f>'SAR and RAR'!C39</f>
        <v>17431428.835748378</v>
      </c>
      <c r="D36" s="300">
        <f>'SAR and RAR'!D39</f>
        <v>19476455.217814039</v>
      </c>
      <c r="E36" s="4">
        <f>'SAR and RAR'!E39</f>
        <v>3218717.0926473769</v>
      </c>
      <c r="F36" s="3"/>
      <c r="G36" s="4"/>
      <c r="H36" s="5"/>
      <c r="I36" s="19"/>
      <c r="J36" s="19"/>
      <c r="K36" s="19"/>
      <c r="L36" s="1"/>
      <c r="M36" s="1"/>
      <c r="N36" s="1"/>
      <c r="O36" s="1"/>
      <c r="P36" s="1"/>
      <c r="Q36" s="1"/>
      <c r="R36" s="1"/>
      <c r="S36" s="1"/>
      <c r="T36" s="101"/>
      <c r="U36" s="102"/>
      <c r="V36" s="101"/>
      <c r="W36" s="103"/>
      <c r="X36" s="107"/>
      <c r="Y36" s="107"/>
    </row>
    <row r="37" spans="2:25" ht="15.5">
      <c r="E37" s="1"/>
      <c r="F37" s="3"/>
      <c r="G37" s="4"/>
      <c r="H37" s="5"/>
      <c r="I37" s="19"/>
      <c r="J37" s="19"/>
      <c r="K37" s="19"/>
      <c r="L37" s="1"/>
      <c r="M37" s="1"/>
      <c r="N37" s="1"/>
      <c r="O37" s="1"/>
      <c r="P37" s="1"/>
      <c r="Q37" s="1"/>
      <c r="R37" s="1"/>
      <c r="S37" s="1"/>
      <c r="T37" s="101"/>
      <c r="U37" s="102"/>
      <c r="V37" s="102"/>
      <c r="W37" s="102"/>
      <c r="X37" s="102"/>
      <c r="Y37" s="103"/>
    </row>
    <row r="38" spans="2:25" ht="15.5">
      <c r="E38" s="1"/>
      <c r="F38" s="3"/>
      <c r="G38" s="4"/>
      <c r="H38" s="5"/>
      <c r="I38" s="19"/>
      <c r="J38" s="19"/>
      <c r="K38" s="19"/>
      <c r="L38" s="1"/>
      <c r="M38" s="1"/>
      <c r="N38" s="1"/>
      <c r="O38" s="1"/>
      <c r="P38" s="1"/>
      <c r="Q38" s="1"/>
      <c r="R38" s="1"/>
      <c r="S38" s="1"/>
      <c r="T38" s="101"/>
      <c r="U38" s="546"/>
      <c r="V38" s="546"/>
      <c r="W38" s="102"/>
      <c r="X38" s="107"/>
      <c r="Y38" s="102"/>
    </row>
    <row r="39" spans="2:25" ht="15.5">
      <c r="E39" s="1"/>
      <c r="F39" s="3"/>
      <c r="G39" s="4"/>
      <c r="H39" s="5"/>
      <c r="I39" s="19"/>
      <c r="J39" s="19"/>
      <c r="K39" s="19"/>
      <c r="L39" s="1"/>
      <c r="M39" s="1"/>
      <c r="N39" s="1"/>
      <c r="O39" s="1"/>
      <c r="P39" s="1"/>
      <c r="Q39" s="1"/>
      <c r="R39" s="1"/>
      <c r="S39" s="1"/>
      <c r="T39" s="101"/>
      <c r="U39" s="102"/>
      <c r="V39" s="101"/>
      <c r="W39" s="107"/>
      <c r="X39" s="103"/>
      <c r="Y39" s="103"/>
    </row>
    <row r="40" spans="2:25" ht="15.5">
      <c r="B40" s="2"/>
      <c r="C40" s="2"/>
      <c r="E40" s="1"/>
      <c r="F40" s="3"/>
      <c r="G40" s="4"/>
      <c r="H40" s="5"/>
      <c r="I40" s="19"/>
      <c r="J40" s="19"/>
      <c r="K40" s="19"/>
      <c r="L40" s="1"/>
      <c r="M40" s="1"/>
      <c r="N40" s="1"/>
      <c r="O40" s="1"/>
      <c r="P40" s="1"/>
      <c r="Q40" s="1"/>
      <c r="R40" s="1"/>
      <c r="S40" s="1"/>
      <c r="T40" s="101"/>
      <c r="U40" s="102"/>
      <c r="V40" s="101"/>
      <c r="W40" s="107"/>
      <c r="X40" s="107"/>
      <c r="Y40" s="103"/>
    </row>
    <row r="41" spans="2:25" ht="15.5">
      <c r="B41" s="2"/>
      <c r="C41" s="2"/>
      <c r="E41" s="1"/>
      <c r="F41" s="3"/>
      <c r="G41" s="4"/>
      <c r="H41" s="5"/>
      <c r="I41" s="19"/>
      <c r="J41" s="19"/>
      <c r="K41" s="19"/>
      <c r="L41" s="1"/>
      <c r="M41" s="1"/>
      <c r="N41" s="1"/>
      <c r="O41" s="1"/>
      <c r="P41" s="1"/>
      <c r="Q41" s="1"/>
      <c r="R41" s="1"/>
      <c r="S41" s="1"/>
      <c r="T41" s="101"/>
      <c r="U41" s="102"/>
      <c r="V41" s="101"/>
      <c r="W41" s="107"/>
      <c r="X41" s="107"/>
      <c r="Y41" s="107"/>
    </row>
    <row r="42" spans="2:25" ht="15.5">
      <c r="B42" s="2"/>
      <c r="C42" s="2"/>
      <c r="E42" s="1"/>
      <c r="F42" s="19"/>
      <c r="G42" s="19"/>
      <c r="H42" s="19"/>
      <c r="I42" s="19"/>
      <c r="J42" s="19"/>
      <c r="K42" s="19"/>
      <c r="L42" s="1"/>
      <c r="M42" s="1"/>
      <c r="N42" s="1"/>
      <c r="O42" s="1"/>
      <c r="P42" s="1"/>
      <c r="Q42" s="1"/>
      <c r="R42" s="1"/>
      <c r="S42" s="1"/>
      <c r="T42" s="101"/>
      <c r="U42" s="102"/>
      <c r="V42" s="101"/>
      <c r="W42" s="107"/>
      <c r="X42" s="103"/>
      <c r="Y42" s="103"/>
    </row>
    <row r="43" spans="2:25" ht="15.5">
      <c r="B43" s="2"/>
      <c r="C43" s="2"/>
      <c r="D43" s="1"/>
      <c r="E43" s="1"/>
      <c r="F43" s="19"/>
      <c r="G43" s="19"/>
      <c r="H43" s="19"/>
      <c r="I43" s="19"/>
      <c r="J43" s="19"/>
      <c r="K43" s="19"/>
      <c r="L43" s="1"/>
      <c r="M43" s="1"/>
      <c r="N43" s="1"/>
      <c r="O43" s="1"/>
      <c r="P43" s="1"/>
      <c r="Q43" s="1"/>
      <c r="R43" s="1"/>
      <c r="S43" s="1"/>
      <c r="T43" s="101"/>
      <c r="U43" s="102"/>
      <c r="V43" s="101"/>
      <c r="W43" s="107"/>
      <c r="X43" s="100"/>
      <c r="Y43" s="103"/>
    </row>
    <row r="44" spans="2:25" ht="15.5">
      <c r="B44" s="2"/>
      <c r="C44" s="2"/>
      <c r="D44" s="1"/>
      <c r="E44" s="1"/>
      <c r="F44" s="19"/>
      <c r="G44" s="19"/>
      <c r="H44" s="19"/>
      <c r="I44" s="19"/>
      <c r="J44" s="19"/>
      <c r="K44" s="19"/>
      <c r="L44" s="1"/>
      <c r="M44" s="1"/>
      <c r="N44" s="1"/>
      <c r="O44" s="1"/>
      <c r="P44" s="1"/>
      <c r="Q44" s="1"/>
      <c r="R44" s="1"/>
      <c r="S44" s="1"/>
      <c r="T44" s="101"/>
      <c r="U44" s="102"/>
      <c r="V44" s="101"/>
      <c r="W44" s="107"/>
      <c r="X44" s="103"/>
      <c r="Y44" s="100"/>
    </row>
    <row r="45" spans="2:25" ht="15.5">
      <c r="B45" s="2"/>
      <c r="C45" s="2"/>
      <c r="D45" s="1"/>
      <c r="E45" s="1"/>
      <c r="F45" s="19"/>
      <c r="G45" s="19"/>
      <c r="H45" s="19"/>
      <c r="I45" s="19"/>
      <c r="J45" s="19"/>
      <c r="K45" s="19"/>
      <c r="L45" s="1"/>
      <c r="M45" s="1"/>
      <c r="N45" s="1"/>
      <c r="O45" s="1"/>
      <c r="P45" s="1"/>
      <c r="Q45" s="1"/>
      <c r="R45" s="1"/>
      <c r="S45" s="1"/>
      <c r="T45" s="101"/>
      <c r="U45" s="102"/>
      <c r="V45" s="102"/>
      <c r="W45" s="100"/>
      <c r="X45" s="102"/>
      <c r="Y45" s="103"/>
    </row>
    <row r="46" spans="2:25" ht="15.5">
      <c r="B46" s="2"/>
      <c r="C46" s="2"/>
      <c r="D46" s="1"/>
      <c r="E46" s="1"/>
      <c r="F46" s="19"/>
      <c r="G46" s="19"/>
      <c r="H46" s="19"/>
      <c r="I46" s="19"/>
      <c r="J46" s="19"/>
      <c r="K46" s="19"/>
      <c r="L46" s="1"/>
      <c r="M46" s="1"/>
      <c r="N46" s="1"/>
      <c r="O46" s="1"/>
      <c r="P46" s="1"/>
      <c r="Q46" s="1"/>
      <c r="R46" s="1"/>
      <c r="S46" s="1"/>
      <c r="T46" s="101"/>
      <c r="U46" s="102"/>
      <c r="V46" s="101"/>
      <c r="W46" s="107"/>
      <c r="X46" s="102"/>
      <c r="Y46" s="102"/>
    </row>
    <row r="47" spans="2:25" ht="15.5">
      <c r="B47" s="2"/>
      <c r="C47" s="2"/>
      <c r="D47" s="1"/>
      <c r="E47" s="1"/>
      <c r="F47" s="19"/>
      <c r="G47" s="19"/>
      <c r="H47" s="19"/>
      <c r="I47" s="19"/>
      <c r="J47" s="19"/>
      <c r="K47" s="19"/>
      <c r="L47" s="1"/>
      <c r="M47" s="1"/>
      <c r="N47" s="1"/>
      <c r="O47" s="1"/>
      <c r="P47" s="1"/>
      <c r="Q47" s="1"/>
      <c r="R47" s="1"/>
      <c r="S47" s="1"/>
      <c r="T47" s="101"/>
      <c r="U47" s="102"/>
      <c r="V47" s="102"/>
      <c r="W47" s="102"/>
      <c r="X47" s="103"/>
      <c r="Y47" s="102"/>
    </row>
    <row r="48" spans="2:25" ht="15.5">
      <c r="B48" s="2"/>
      <c r="C48" s="2"/>
      <c r="D48" s="1"/>
      <c r="E48" s="1"/>
      <c r="F48" s="19"/>
      <c r="G48" s="19"/>
      <c r="H48" s="19"/>
      <c r="I48" s="19"/>
      <c r="J48" s="19"/>
      <c r="K48" s="19"/>
      <c r="L48" s="1"/>
      <c r="M48" s="1"/>
      <c r="N48" s="1"/>
      <c r="O48" s="1"/>
      <c r="P48" s="1"/>
      <c r="Q48" s="1"/>
      <c r="R48" s="1"/>
      <c r="S48" s="1"/>
      <c r="T48" s="101"/>
      <c r="U48" s="546"/>
      <c r="V48" s="546"/>
      <c r="W48" s="102"/>
      <c r="X48" s="103"/>
      <c r="Y48" s="103"/>
    </row>
    <row r="49" spans="2:25" ht="15.5">
      <c r="B49" s="2"/>
      <c r="C49" s="2"/>
      <c r="D49" s="1"/>
      <c r="E49" s="1"/>
      <c r="F49" s="19"/>
      <c r="G49" s="19"/>
      <c r="H49" s="19"/>
      <c r="I49" s="19"/>
      <c r="J49" s="19"/>
      <c r="K49" s="19"/>
      <c r="L49" s="1"/>
      <c r="M49" s="1"/>
      <c r="N49" s="1"/>
      <c r="O49" s="1"/>
      <c r="P49" s="1"/>
      <c r="Q49" s="1"/>
      <c r="R49" s="1"/>
      <c r="S49" s="1"/>
      <c r="T49" s="101"/>
      <c r="U49" s="102"/>
      <c r="V49" s="101"/>
      <c r="W49" s="107"/>
      <c r="X49" s="103"/>
      <c r="Y49" s="103"/>
    </row>
    <row r="50" spans="2:25" ht="15.5">
      <c r="B50" s="2"/>
      <c r="C50" s="2"/>
      <c r="D50" s="1"/>
      <c r="E50" s="1"/>
      <c r="F50" s="19"/>
      <c r="G50" s="19"/>
      <c r="H50" s="19"/>
      <c r="I50" s="19"/>
      <c r="J50" s="19"/>
      <c r="K50" s="19"/>
      <c r="L50" s="1"/>
      <c r="M50" s="1"/>
      <c r="N50" s="1"/>
      <c r="O50" s="1"/>
      <c r="P50" s="1"/>
      <c r="Q50" s="1"/>
      <c r="R50" s="1"/>
      <c r="S50" s="1"/>
      <c r="T50" s="101"/>
      <c r="U50" s="102"/>
      <c r="V50" s="101"/>
      <c r="W50" s="107"/>
      <c r="X50" s="107"/>
      <c r="Y50" s="103"/>
    </row>
    <row r="51" spans="2:25" ht="15.5">
      <c r="B51" s="2"/>
      <c r="C51" s="2"/>
      <c r="D51" s="1"/>
      <c r="E51" s="1"/>
      <c r="F51" s="19"/>
      <c r="G51" s="19"/>
      <c r="H51" s="19"/>
      <c r="I51" s="19"/>
      <c r="J51" s="19"/>
      <c r="K51" s="19"/>
      <c r="L51" s="1"/>
      <c r="M51" s="1"/>
      <c r="N51" s="1"/>
      <c r="O51" s="1"/>
      <c r="P51" s="1"/>
      <c r="Q51" s="1"/>
      <c r="R51" s="1"/>
      <c r="S51" s="1"/>
      <c r="T51" s="101"/>
      <c r="U51" s="102"/>
      <c r="V51" s="102"/>
      <c r="W51" s="100"/>
      <c r="X51" s="107"/>
      <c r="Y51" s="103"/>
    </row>
    <row r="52" spans="2:25" ht="15.5">
      <c r="B52" s="2"/>
      <c r="C52" s="2"/>
      <c r="D52" s="1"/>
      <c r="E52" s="1"/>
      <c r="F52" s="19"/>
      <c r="G52" s="19"/>
      <c r="H52" s="19"/>
      <c r="I52" s="19"/>
      <c r="J52" s="19"/>
      <c r="K52" s="19"/>
      <c r="L52" s="1"/>
      <c r="M52" s="1"/>
      <c r="N52" s="1"/>
      <c r="O52" s="1"/>
      <c r="P52" s="1"/>
      <c r="Q52" s="1"/>
      <c r="R52" s="1"/>
      <c r="S52" s="1"/>
      <c r="T52" s="101"/>
      <c r="U52" s="102"/>
      <c r="V52" s="101"/>
      <c r="W52" s="107"/>
      <c r="X52" s="103"/>
      <c r="Y52" s="103"/>
    </row>
    <row r="53" spans="2:25" ht="15.5">
      <c r="B53" s="2"/>
      <c r="C53" s="2"/>
      <c r="D53" s="1"/>
      <c r="E53" s="1"/>
      <c r="F53" s="19"/>
      <c r="G53" s="19"/>
      <c r="H53" s="19"/>
      <c r="I53" s="19"/>
      <c r="J53" s="19"/>
      <c r="K53" s="19"/>
      <c r="L53" s="1"/>
      <c r="M53" s="1"/>
      <c r="N53" s="1"/>
      <c r="O53" s="1"/>
      <c r="P53" s="1"/>
      <c r="Q53" s="1"/>
      <c r="R53" s="1"/>
      <c r="S53" s="1"/>
      <c r="T53" s="101"/>
      <c r="U53" s="102"/>
      <c r="V53" s="102"/>
      <c r="W53" s="102"/>
      <c r="X53" s="100"/>
      <c r="Y53" s="103"/>
    </row>
    <row r="54" spans="2:25" ht="15.5">
      <c r="B54" s="2"/>
      <c r="C54" s="2"/>
      <c r="D54" s="1"/>
      <c r="E54" s="1"/>
      <c r="F54" s="19"/>
      <c r="G54" s="19"/>
      <c r="H54" s="19"/>
      <c r="I54" s="19"/>
      <c r="J54" s="19"/>
      <c r="K54" s="19"/>
      <c r="L54" s="1"/>
      <c r="M54" s="1"/>
      <c r="N54" s="1"/>
      <c r="O54" s="1"/>
      <c r="P54" s="1"/>
      <c r="Q54" s="1"/>
      <c r="R54" s="1"/>
      <c r="S54" s="1"/>
      <c r="T54" s="101"/>
      <c r="U54" s="546"/>
      <c r="V54" s="546"/>
      <c r="W54" s="102"/>
      <c r="X54" s="103"/>
      <c r="Y54" s="100"/>
    </row>
    <row r="55" spans="2:25" ht="15.5">
      <c r="B55" s="2"/>
      <c r="C55" s="2"/>
      <c r="D55" s="1"/>
      <c r="E55" s="1"/>
      <c r="F55" s="19"/>
      <c r="G55" s="19"/>
      <c r="H55" s="19"/>
      <c r="I55" s="19"/>
      <c r="J55" s="19"/>
      <c r="K55" s="19"/>
      <c r="L55" s="1"/>
      <c r="M55" s="1"/>
      <c r="N55" s="1"/>
      <c r="O55" s="1"/>
      <c r="P55" s="1"/>
      <c r="Q55" s="1"/>
      <c r="R55" s="1"/>
      <c r="S55" s="1"/>
      <c r="T55" s="101"/>
      <c r="U55" s="102"/>
      <c r="V55" s="101"/>
      <c r="W55" s="107"/>
      <c r="X55" s="102"/>
      <c r="Y55" s="103"/>
    </row>
    <row r="56" spans="2:25" ht="15.5">
      <c r="B56" s="1"/>
      <c r="C56" s="1"/>
      <c r="D56" s="1"/>
      <c r="E56" s="1"/>
      <c r="F56" s="19"/>
      <c r="G56" s="19"/>
      <c r="H56" s="19"/>
      <c r="I56" s="19"/>
      <c r="J56" s="19"/>
      <c r="K56" s="19"/>
      <c r="L56" s="1"/>
      <c r="M56" s="1"/>
      <c r="N56" s="1"/>
      <c r="O56" s="1"/>
      <c r="P56" s="1"/>
      <c r="Q56" s="1"/>
      <c r="R56" s="1"/>
      <c r="S56" s="1"/>
      <c r="T56" s="101"/>
      <c r="U56" s="102"/>
      <c r="V56" s="101"/>
      <c r="W56" s="107"/>
      <c r="X56" s="102"/>
      <c r="Y56" s="102"/>
    </row>
    <row r="57" spans="2:25" ht="15.5">
      <c r="B57" s="1"/>
      <c r="C57" s="1"/>
      <c r="D57" s="1"/>
      <c r="E57" s="1"/>
      <c r="F57" s="19"/>
      <c r="G57" s="19"/>
      <c r="H57" s="19"/>
      <c r="I57" s="19"/>
      <c r="J57" s="19"/>
      <c r="K57" s="19"/>
      <c r="L57" s="1"/>
      <c r="M57" s="1"/>
      <c r="N57" s="1"/>
      <c r="O57" s="1"/>
      <c r="P57" s="1"/>
      <c r="Q57" s="1"/>
      <c r="R57" s="1"/>
      <c r="S57" s="1"/>
      <c r="T57" s="101"/>
      <c r="U57" s="102"/>
      <c r="V57" s="101"/>
      <c r="W57" s="103"/>
      <c r="X57" s="107"/>
      <c r="Y57" s="102"/>
    </row>
    <row r="58" spans="2:25" ht="15.5">
      <c r="B58" s="1"/>
      <c r="C58" s="1"/>
      <c r="D58" s="1"/>
      <c r="E58" s="1"/>
      <c r="F58" s="19"/>
      <c r="G58" s="19"/>
      <c r="H58" s="19"/>
      <c r="I58" s="19"/>
      <c r="J58" s="19"/>
      <c r="K58" s="19"/>
      <c r="L58" s="1"/>
      <c r="M58" s="1"/>
      <c r="N58" s="1"/>
      <c r="O58" s="1"/>
      <c r="P58" s="1"/>
      <c r="Q58" s="1"/>
      <c r="R58" s="1"/>
      <c r="S58" s="1"/>
      <c r="T58" s="101"/>
      <c r="U58" s="102"/>
      <c r="V58" s="101"/>
      <c r="W58" s="107"/>
      <c r="X58" s="107"/>
      <c r="Y58" s="103"/>
    </row>
    <row r="59" spans="2:25" ht="15.5">
      <c r="B59" s="1"/>
      <c r="C59" s="1"/>
      <c r="D59" s="1"/>
      <c r="E59" s="1"/>
      <c r="F59" s="19"/>
      <c r="G59" s="19"/>
      <c r="H59" s="19"/>
      <c r="I59" s="19"/>
      <c r="J59" s="19"/>
      <c r="K59" s="19"/>
      <c r="L59" s="1"/>
      <c r="M59" s="1"/>
      <c r="N59" s="1"/>
      <c r="O59" s="1"/>
      <c r="P59" s="1"/>
      <c r="Q59" s="1"/>
      <c r="R59" s="1"/>
      <c r="S59" s="1"/>
      <c r="T59" s="101"/>
      <c r="U59" s="102"/>
      <c r="V59" s="101"/>
      <c r="W59" s="107"/>
      <c r="X59" s="100"/>
      <c r="Y59" s="103"/>
    </row>
    <row r="60" spans="2:25" ht="15.5">
      <c r="B60" s="1"/>
      <c r="C60" s="1"/>
      <c r="D60" s="1"/>
      <c r="E60" s="1"/>
      <c r="F60" s="19"/>
      <c r="G60" s="19"/>
      <c r="H60" s="19"/>
      <c r="I60" s="19"/>
      <c r="J60" s="19"/>
      <c r="K60" s="19"/>
      <c r="L60" s="1"/>
      <c r="M60" s="1"/>
      <c r="N60" s="1"/>
      <c r="O60" s="1"/>
      <c r="P60" s="1"/>
      <c r="Q60" s="1"/>
      <c r="R60" s="1"/>
      <c r="S60" s="1"/>
      <c r="T60" s="101"/>
      <c r="U60" s="102"/>
      <c r="V60" s="102"/>
      <c r="W60" s="100"/>
      <c r="X60" s="107"/>
      <c r="Y60" s="100"/>
    </row>
    <row r="61" spans="2:25" ht="15.5">
      <c r="B61" s="1"/>
      <c r="C61" s="1"/>
      <c r="D61" s="1"/>
      <c r="E61" s="1"/>
      <c r="F61" s="19"/>
      <c r="G61" s="19"/>
      <c r="H61" s="19"/>
      <c r="I61" s="19"/>
      <c r="J61" s="19"/>
      <c r="K61" s="19"/>
      <c r="L61" s="1"/>
      <c r="M61" s="1"/>
      <c r="N61" s="1"/>
      <c r="O61" s="1"/>
      <c r="P61" s="1"/>
      <c r="Q61" s="1"/>
      <c r="R61" s="1"/>
      <c r="S61" s="1"/>
      <c r="T61" s="101"/>
      <c r="U61" s="102"/>
      <c r="V61" s="101"/>
      <c r="W61" s="103"/>
      <c r="X61" s="102"/>
      <c r="Y61" s="103"/>
    </row>
    <row r="62" spans="2:25" ht="15.5">
      <c r="B62" s="1"/>
      <c r="C62" s="1"/>
      <c r="D62" s="1"/>
      <c r="E62" s="1"/>
      <c r="F62" s="19"/>
      <c r="G62" s="19"/>
      <c r="H62" s="19"/>
      <c r="I62" s="19"/>
      <c r="J62" s="19"/>
      <c r="K62" s="19"/>
      <c r="L62" s="1"/>
      <c r="M62" s="1"/>
      <c r="N62" s="1"/>
      <c r="O62" s="1"/>
      <c r="P62" s="1"/>
      <c r="Q62" s="1"/>
      <c r="R62" s="1"/>
      <c r="S62" s="1"/>
      <c r="T62" s="101"/>
      <c r="U62" s="102"/>
      <c r="V62" s="102"/>
      <c r="W62" s="102"/>
      <c r="X62" s="102"/>
      <c r="Y62" s="102"/>
    </row>
    <row r="63" spans="2:25" ht="15.5">
      <c r="B63" s="1"/>
      <c r="C63" s="1"/>
      <c r="D63" s="1"/>
      <c r="E63" s="1"/>
      <c r="F63" s="19"/>
      <c r="G63" s="19"/>
      <c r="H63" s="19"/>
      <c r="I63" s="19"/>
      <c r="J63" s="19"/>
      <c r="K63" s="19"/>
      <c r="L63" s="1"/>
      <c r="M63" s="1"/>
      <c r="N63" s="1"/>
      <c r="O63" s="1"/>
      <c r="P63" s="1"/>
      <c r="Q63" s="1"/>
      <c r="R63" s="1"/>
      <c r="S63" s="1"/>
      <c r="T63" s="101"/>
      <c r="U63" s="102"/>
      <c r="V63" s="102"/>
      <c r="W63" s="102"/>
      <c r="X63" s="107"/>
      <c r="Y63" s="102"/>
    </row>
    <row r="64" spans="2:25" ht="15.5">
      <c r="B64" s="1"/>
      <c r="C64" s="1"/>
      <c r="D64" s="1"/>
      <c r="E64" s="1"/>
      <c r="F64" s="19"/>
      <c r="G64" s="19"/>
      <c r="H64" s="19"/>
      <c r="I64" s="19"/>
      <c r="J64" s="19"/>
      <c r="K64" s="19"/>
      <c r="L64" s="1"/>
      <c r="M64" s="1"/>
      <c r="N64" s="1"/>
      <c r="O64" s="1"/>
      <c r="P64" s="1"/>
      <c r="Q64" s="1"/>
      <c r="R64" s="1"/>
      <c r="S64" s="1"/>
      <c r="T64" s="101"/>
      <c r="U64" s="102"/>
      <c r="V64" s="101"/>
      <c r="W64" s="103"/>
      <c r="X64" s="107"/>
      <c r="Y64" s="103"/>
    </row>
    <row r="65" spans="2:25" ht="15.5">
      <c r="B65" s="1"/>
      <c r="C65" s="1"/>
      <c r="D65" s="1"/>
      <c r="E65" s="1"/>
      <c r="F65" s="19"/>
      <c r="G65" s="19"/>
      <c r="H65" s="19"/>
      <c r="I65" s="19"/>
      <c r="J65" s="19"/>
      <c r="K65" s="19"/>
      <c r="L65" s="1"/>
      <c r="M65" s="1"/>
      <c r="N65" s="1"/>
      <c r="O65" s="1"/>
      <c r="P65" s="1"/>
      <c r="Q65" s="1"/>
      <c r="R65" s="1"/>
      <c r="S65" s="1"/>
      <c r="T65" s="101"/>
      <c r="U65" s="102"/>
      <c r="V65" s="102"/>
      <c r="W65" s="100"/>
      <c r="X65" s="107"/>
      <c r="Y65" s="103"/>
    </row>
    <row r="66" spans="2:25" ht="15.5">
      <c r="B66" s="1"/>
      <c r="C66" s="1"/>
      <c r="D66" s="1"/>
      <c r="E66" s="1"/>
      <c r="F66" s="19"/>
      <c r="G66" s="19"/>
      <c r="H66" s="19"/>
      <c r="I66" s="19"/>
      <c r="J66" s="19"/>
      <c r="K66" s="19"/>
      <c r="L66" s="1"/>
      <c r="M66" s="1"/>
      <c r="N66" s="1"/>
      <c r="O66" s="1"/>
      <c r="P66" s="1"/>
      <c r="Q66" s="1"/>
      <c r="R66" s="1"/>
      <c r="S66" s="1"/>
      <c r="T66" s="101"/>
      <c r="U66" s="546"/>
      <c r="V66" s="546"/>
      <c r="W66" s="102"/>
      <c r="X66" s="107"/>
      <c r="Y66" s="103"/>
    </row>
    <row r="67" spans="2:25" ht="15.5">
      <c r="B67" s="1"/>
      <c r="C67" s="1"/>
      <c r="D67" s="1"/>
      <c r="E67" s="1"/>
      <c r="F67" s="19"/>
      <c r="G67" s="19"/>
      <c r="H67" s="19"/>
      <c r="I67" s="19"/>
      <c r="J67" s="19"/>
      <c r="K67" s="19"/>
      <c r="L67" s="1"/>
      <c r="M67" s="1"/>
      <c r="N67" s="1"/>
      <c r="O67" s="1"/>
      <c r="P67" s="1"/>
      <c r="Q67" s="1"/>
      <c r="R67" s="1"/>
      <c r="S67" s="1"/>
      <c r="T67" s="101"/>
      <c r="U67" s="102"/>
      <c r="V67" s="102"/>
      <c r="W67" s="102"/>
      <c r="X67" s="107"/>
      <c r="Y67" s="107"/>
    </row>
    <row r="68" spans="2:25" ht="15.5">
      <c r="B68" s="1"/>
      <c r="C68" s="1"/>
      <c r="D68" s="1"/>
      <c r="E68" s="1"/>
      <c r="F68" s="19"/>
      <c r="G68" s="19"/>
      <c r="H68" s="19"/>
      <c r="I68" s="19"/>
      <c r="J68" s="19"/>
      <c r="K68" s="19"/>
      <c r="L68" s="1"/>
      <c r="M68" s="1"/>
      <c r="N68" s="1"/>
      <c r="O68" s="1"/>
      <c r="P68" s="1"/>
      <c r="Q68" s="1"/>
      <c r="R68" s="1"/>
      <c r="S68" s="1"/>
      <c r="T68" s="101"/>
      <c r="U68" s="102"/>
      <c r="V68" s="101"/>
      <c r="W68" s="102"/>
      <c r="X68" s="100"/>
      <c r="Y68" s="107"/>
    </row>
    <row r="69" spans="2:25" ht="15.5">
      <c r="B69" s="1"/>
      <c r="C69" s="1"/>
      <c r="D69" s="1"/>
      <c r="E69" s="1"/>
      <c r="F69" s="19"/>
      <c r="G69" s="19"/>
      <c r="H69" s="19"/>
      <c r="I69" s="19"/>
      <c r="J69" s="19"/>
      <c r="K69" s="19"/>
      <c r="L69" s="1"/>
      <c r="M69" s="1"/>
      <c r="N69" s="1"/>
      <c r="O69" s="1"/>
      <c r="P69" s="1"/>
      <c r="Q69" s="1"/>
      <c r="R69" s="1"/>
      <c r="S69" s="1"/>
      <c r="T69" s="101"/>
      <c r="U69" s="102"/>
      <c r="V69" s="102"/>
      <c r="W69" s="100"/>
      <c r="X69" s="107"/>
      <c r="Y69" s="100"/>
    </row>
    <row r="70" spans="2:25" ht="15.5">
      <c r="B70" s="1"/>
      <c r="C70" s="1"/>
      <c r="D70" s="1"/>
      <c r="E70" s="1"/>
      <c r="F70" s="19"/>
      <c r="G70" s="19"/>
      <c r="H70" s="19"/>
      <c r="I70" s="19"/>
      <c r="J70" s="19"/>
      <c r="K70" s="19"/>
      <c r="L70" s="1"/>
      <c r="M70" s="1"/>
      <c r="N70" s="1"/>
      <c r="O70" s="1"/>
      <c r="P70" s="1"/>
      <c r="Q70" s="1"/>
      <c r="R70" s="1"/>
      <c r="S70" s="1"/>
      <c r="T70" s="101"/>
      <c r="U70" s="102"/>
      <c r="V70" s="101"/>
      <c r="W70" s="102"/>
      <c r="X70" s="102"/>
      <c r="Y70" s="103"/>
    </row>
    <row r="71" spans="2:25" ht="15.5">
      <c r="B71" s="1"/>
      <c r="C71" s="1"/>
      <c r="D71" s="1"/>
      <c r="E71" s="1"/>
      <c r="F71" s="19"/>
      <c r="G71" s="19"/>
      <c r="H71" s="19"/>
      <c r="I71" s="19"/>
      <c r="J71" s="19"/>
      <c r="K71" s="19"/>
      <c r="L71" s="1"/>
      <c r="M71" s="1"/>
      <c r="N71" s="1"/>
      <c r="O71" s="1"/>
      <c r="P71" s="1"/>
      <c r="Q71" s="1"/>
      <c r="R71" s="1"/>
      <c r="S71" s="1"/>
      <c r="T71" s="101"/>
      <c r="U71" s="102"/>
      <c r="V71" s="102"/>
      <c r="W71" s="102"/>
      <c r="X71" s="102"/>
      <c r="Y71" s="102"/>
    </row>
    <row r="72" spans="2:25" ht="15.5">
      <c r="B72" s="1"/>
      <c r="C72" s="1"/>
      <c r="D72" s="1"/>
      <c r="E72" s="1"/>
      <c r="F72" s="19"/>
      <c r="G72" s="19"/>
      <c r="H72" s="19"/>
      <c r="I72" s="19"/>
      <c r="J72" s="19"/>
      <c r="K72" s="19"/>
      <c r="L72" s="1"/>
      <c r="M72" s="1"/>
      <c r="N72" s="1"/>
      <c r="O72" s="1"/>
      <c r="P72" s="1"/>
      <c r="Q72" s="1"/>
      <c r="R72" s="1"/>
      <c r="S72" s="1"/>
      <c r="T72" s="101"/>
      <c r="U72" s="102"/>
      <c r="V72" s="102"/>
      <c r="W72" s="100"/>
      <c r="X72" s="103"/>
      <c r="Y72" s="102"/>
    </row>
    <row r="73" spans="2:25" ht="15.5">
      <c r="B73" s="1"/>
      <c r="C73" s="1"/>
      <c r="D73" s="1"/>
      <c r="E73" s="1"/>
      <c r="F73" s="19"/>
      <c r="G73" s="19"/>
      <c r="H73" s="19"/>
      <c r="I73" s="19"/>
      <c r="J73" s="19"/>
      <c r="K73" s="19"/>
      <c r="L73" s="1"/>
      <c r="M73" s="1"/>
      <c r="N73" s="1"/>
      <c r="O73" s="1"/>
      <c r="P73" s="1"/>
      <c r="Q73" s="1"/>
      <c r="R73" s="1"/>
      <c r="S73" s="1"/>
      <c r="T73" s="101"/>
      <c r="U73" s="546"/>
      <c r="V73" s="546"/>
      <c r="W73" s="103"/>
      <c r="X73" s="100"/>
      <c r="Y73" s="103"/>
    </row>
    <row r="74" spans="2:25" ht="15.5">
      <c r="B74" s="1"/>
      <c r="C74" s="1"/>
      <c r="D74" s="1"/>
      <c r="E74" s="1"/>
      <c r="F74" s="19"/>
      <c r="G74" s="19"/>
      <c r="H74" s="19"/>
      <c r="I74" s="19"/>
      <c r="J74" s="19"/>
      <c r="K74" s="19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02"/>
      <c r="Y74" s="100"/>
    </row>
    <row r="75" spans="2:25" ht="15.5">
      <c r="B75" s="1"/>
      <c r="C75" s="1"/>
      <c r="D75" s="1"/>
      <c r="E75" s="1"/>
      <c r="X75" s="102"/>
      <c r="Y75" s="102"/>
    </row>
    <row r="76" spans="2:25" ht="15.5">
      <c r="B76" s="1"/>
      <c r="C76" s="1"/>
      <c r="D76" s="1"/>
      <c r="X76" s="102"/>
      <c r="Y76" s="102"/>
    </row>
    <row r="77" spans="2:25" ht="15.5">
      <c r="B77" s="1"/>
      <c r="C77" s="1"/>
      <c r="D77" s="1"/>
      <c r="X77" s="100"/>
      <c r="Y77" s="102"/>
    </row>
    <row r="78" spans="2:25" ht="15.5">
      <c r="B78" s="1"/>
      <c r="C78" s="1"/>
      <c r="D78" s="1"/>
      <c r="X78" s="102"/>
      <c r="Y78" s="100"/>
    </row>
    <row r="79" spans="2:25" ht="15.5">
      <c r="B79" s="1"/>
      <c r="C79" s="1"/>
      <c r="D79" s="1"/>
      <c r="X79" s="102"/>
      <c r="Y79" s="102"/>
    </row>
    <row r="80" spans="2:25" ht="15.5">
      <c r="B80" s="1"/>
      <c r="C80" s="1"/>
      <c r="D80" s="1"/>
      <c r="X80" s="100"/>
      <c r="Y80" s="102"/>
    </row>
    <row r="81" spans="2:25" ht="15.5">
      <c r="B81" s="1"/>
      <c r="C81" s="1"/>
      <c r="D81" s="1"/>
      <c r="X81" s="103"/>
      <c r="Y81" s="100"/>
    </row>
    <row r="82" spans="2:25" ht="15.5">
      <c r="B82" s="1"/>
      <c r="C82" s="1"/>
      <c r="D82" s="1"/>
      <c r="X82" s="1"/>
      <c r="Y82" s="103"/>
    </row>
    <row r="83" spans="2:25" ht="15.5">
      <c r="B83" s="1"/>
      <c r="C83" s="1"/>
      <c r="D83" s="1"/>
      <c r="Y83" s="1"/>
    </row>
    <row r="84" spans="2:25" ht="15.5">
      <c r="B84" s="1"/>
      <c r="C84" s="1"/>
      <c r="D84" s="1"/>
    </row>
  </sheetData>
  <mergeCells count="18">
    <mergeCell ref="W18:X18"/>
    <mergeCell ref="U17:V17"/>
    <mergeCell ref="W17:X17"/>
    <mergeCell ref="G18:T18"/>
    <mergeCell ref="G8:T8"/>
    <mergeCell ref="G4:T4"/>
    <mergeCell ref="C23:E23"/>
    <mergeCell ref="C33:E33"/>
    <mergeCell ref="U66:V66"/>
    <mergeCell ref="U18:V18"/>
    <mergeCell ref="F27:I27"/>
    <mergeCell ref="Z29:AA29"/>
    <mergeCell ref="AB29:AC29"/>
    <mergeCell ref="U73:V73"/>
    <mergeCell ref="P27:T27"/>
    <mergeCell ref="U38:V38"/>
    <mergeCell ref="U48:V48"/>
    <mergeCell ref="U54:V5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B8127-2810-44C9-93B5-DC983F08148F}">
  <sheetPr codeName="Sheet10">
    <tabColor rgb="FF92D050"/>
  </sheetPr>
  <dimension ref="A1:AE97"/>
  <sheetViews>
    <sheetView zoomScale="70" zoomScaleNormal="70" workbookViewId="0"/>
  </sheetViews>
  <sheetFormatPr defaultColWidth="8.81640625" defaultRowHeight="14.5"/>
  <cols>
    <col min="1" max="1" width="7.453125" style="6" customWidth="1"/>
    <col min="2" max="2" width="14.453125" style="6" customWidth="1"/>
    <col min="3" max="4" width="13" style="6" customWidth="1"/>
    <col min="5" max="5" width="18" style="6" bestFit="1" customWidth="1"/>
    <col min="6" max="6" width="13.54296875" style="6" customWidth="1"/>
    <col min="7" max="7" width="15" style="6" bestFit="1" customWidth="1"/>
    <col min="8" max="8" width="14.1796875" style="6" customWidth="1"/>
    <col min="9" max="10" width="15.54296875" style="6" customWidth="1"/>
    <col min="11" max="11" width="15" style="6" bestFit="1" customWidth="1"/>
    <col min="12" max="17" width="15.54296875" style="6" customWidth="1"/>
    <col min="18" max="18" width="15" style="6" customWidth="1"/>
    <col min="19" max="19" width="14" style="6" customWidth="1"/>
    <col min="20" max="20" width="15.54296875" style="6" customWidth="1"/>
    <col min="21" max="21" width="16.54296875" style="6" customWidth="1"/>
    <col min="22" max="23" width="14" style="6" customWidth="1"/>
    <col min="24" max="24" width="29.1796875" style="6" bestFit="1" customWidth="1"/>
    <col min="25" max="25" width="14.81640625" style="6" bestFit="1" customWidth="1"/>
    <col min="26" max="26" width="12.81640625" style="6" customWidth="1"/>
    <col min="27" max="27" width="14.7265625" style="6" customWidth="1"/>
    <col min="28" max="28" width="8.81640625" style="6"/>
    <col min="29" max="31" width="16.26953125" style="6" customWidth="1"/>
    <col min="32" max="16384" width="8.81640625" style="6"/>
  </cols>
  <sheetData>
    <row r="1" spans="1:31" s="169" customFormat="1" ht="25.5" customHeight="1">
      <c r="A1" s="396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</row>
    <row r="2" spans="1:31">
      <c r="A2" s="84"/>
      <c r="B2" s="569"/>
      <c r="C2" s="569"/>
      <c r="D2" s="569"/>
      <c r="F2" s="84"/>
    </row>
    <row r="3" spans="1:31">
      <c r="E3" s="570" t="s">
        <v>208</v>
      </c>
      <c r="F3" s="570"/>
      <c r="G3" s="570"/>
      <c r="H3" s="570"/>
      <c r="I3" s="570"/>
      <c r="J3" s="245"/>
      <c r="K3" s="245"/>
      <c r="M3" s="108"/>
      <c r="N3" s="108"/>
      <c r="O3" s="108"/>
      <c r="P3" s="570" t="s">
        <v>209</v>
      </c>
      <c r="Q3" s="570"/>
      <c r="R3" s="570"/>
      <c r="S3" s="570"/>
      <c r="T3" s="570"/>
      <c r="U3" s="245"/>
      <c r="V3" s="245"/>
    </row>
    <row r="4" spans="1:31" ht="15.75" customHeight="1">
      <c r="D4" s="1"/>
      <c r="E4" s="146">
        <f>'Res Bill Impact'!E4</f>
        <v>2026</v>
      </c>
      <c r="F4" s="176">
        <f>'Res Bill Impact'!F4</f>
        <v>46023</v>
      </c>
      <c r="G4" s="176">
        <f>'Res Bill Impact'!G4</f>
        <v>46023</v>
      </c>
      <c r="H4" s="109" t="s">
        <v>174</v>
      </c>
      <c r="I4" s="109" t="s">
        <v>174</v>
      </c>
      <c r="J4" s="109"/>
      <c r="K4" s="109"/>
      <c r="L4" s="19"/>
      <c r="O4" s="1"/>
      <c r="P4" s="146">
        <f>'Res Bill Impact'!P4</f>
        <v>2025</v>
      </c>
      <c r="Q4" s="176">
        <f>'Res Bill Impact'!Q4</f>
        <v>46023</v>
      </c>
      <c r="R4" s="176">
        <f>'Res Bill Impact'!R4</f>
        <v>46023</v>
      </c>
      <c r="S4" s="109" t="s">
        <v>174</v>
      </c>
      <c r="T4" s="109" t="s">
        <v>174</v>
      </c>
      <c r="U4" s="109"/>
      <c r="V4" s="109"/>
    </row>
    <row r="5" spans="1:31" ht="30.75" customHeight="1">
      <c r="D5" s="1"/>
      <c r="E5" s="109" t="s">
        <v>126</v>
      </c>
      <c r="F5" s="109" t="s">
        <v>175</v>
      </c>
      <c r="G5" s="109" t="s">
        <v>176</v>
      </c>
      <c r="H5" s="109" t="s">
        <v>175</v>
      </c>
      <c r="I5" s="109" t="s">
        <v>176</v>
      </c>
      <c r="J5" s="109"/>
      <c r="K5" s="109"/>
      <c r="L5" s="80"/>
      <c r="M5" s="110"/>
      <c r="N5" s="110"/>
      <c r="O5" s="80"/>
      <c r="P5" s="109" t="s">
        <v>126</v>
      </c>
      <c r="Q5" s="109" t="s">
        <v>175</v>
      </c>
      <c r="R5" s="109" t="s">
        <v>176</v>
      </c>
      <c r="S5" s="109" t="s">
        <v>175</v>
      </c>
      <c r="T5" s="109" t="s">
        <v>176</v>
      </c>
      <c r="U5" s="109"/>
      <c r="V5" s="109"/>
      <c r="AD5" s="44"/>
      <c r="AE5" s="44"/>
    </row>
    <row r="6" spans="1:31" ht="42" customHeight="1">
      <c r="B6" s="111"/>
      <c r="D6" s="111"/>
      <c r="E6" s="1"/>
      <c r="F6" s="1"/>
      <c r="G6" s="1"/>
      <c r="J6" s="19"/>
      <c r="K6" s="19"/>
      <c r="L6" s="19"/>
      <c r="O6" s="111"/>
      <c r="P6" s="1"/>
      <c r="Q6" s="1"/>
      <c r="R6" s="1"/>
      <c r="U6" s="19"/>
      <c r="V6" s="19"/>
      <c r="Y6" s="264" t="s">
        <v>112</v>
      </c>
      <c r="Z6" s="264" t="s">
        <v>324</v>
      </c>
      <c r="AA6" s="264" t="s">
        <v>3</v>
      </c>
      <c r="AC6" s="110"/>
      <c r="AD6" s="110"/>
      <c r="AE6" s="110"/>
    </row>
    <row r="7" spans="1:31" ht="15.5">
      <c r="D7" s="112" t="s">
        <v>181</v>
      </c>
      <c r="E7" s="241">
        <f>'Res Bill Impact'!E7</f>
        <v>116485106.94088674</v>
      </c>
      <c r="F7" s="113">
        <f>'Res Bill Impact'!F7</f>
        <v>0.4208350234396428</v>
      </c>
      <c r="G7" s="114">
        <f t="shared" ref="G7:G12" si="0">F7*E7</f>
        <v>49021012.70983737</v>
      </c>
      <c r="H7" s="171">
        <f>F7+(F7*$AD$12)</f>
        <v>0.4208350234396428</v>
      </c>
      <c r="I7" s="114">
        <f t="shared" ref="I7:I12" si="1">E7*H7</f>
        <v>49021012.70983737</v>
      </c>
      <c r="J7" s="171"/>
      <c r="K7" s="269"/>
      <c r="L7" s="115"/>
      <c r="O7" s="112" t="s">
        <v>181</v>
      </c>
      <c r="P7" s="241">
        <f>'Res Bill Impact'!P7</f>
        <v>58116210.602119073</v>
      </c>
      <c r="Q7" s="113">
        <f>'Res Bill Impact'!Q7</f>
        <v>0.26408999999999999</v>
      </c>
      <c r="R7" s="114">
        <f>'Res Bill Impact'!R7</f>
        <v>15347910.057913626</v>
      </c>
      <c r="S7" s="171">
        <f t="shared" ref="S7:S12" si="2">H7*(1+(Q7/F7-1))</f>
        <v>0.26408999999999999</v>
      </c>
      <c r="T7" s="114">
        <f t="shared" ref="T7:T12" si="3">P7*S7</f>
        <v>15347910.057913626</v>
      </c>
      <c r="U7" s="171"/>
      <c r="V7" s="269"/>
      <c r="W7" s="115"/>
      <c r="X7" s="6" t="s">
        <v>182</v>
      </c>
      <c r="AC7" s="306"/>
      <c r="AD7" s="275"/>
      <c r="AE7" s="275"/>
    </row>
    <row r="8" spans="1:31" ht="15.5">
      <c r="D8" s="116" t="s">
        <v>183</v>
      </c>
      <c r="E8" s="241">
        <f>'Res Bill Impact'!E8</f>
        <v>154152455.51785704</v>
      </c>
      <c r="F8" s="113">
        <f>'Res Bill Impact'!F8</f>
        <v>0.4208350234396428</v>
      </c>
      <c r="G8" s="114">
        <f t="shared" si="0"/>
        <v>64872752.23113586</v>
      </c>
      <c r="H8" s="171">
        <f>H7</f>
        <v>0.4208350234396428</v>
      </c>
      <c r="I8" s="114">
        <f t="shared" si="1"/>
        <v>64872752.23113586</v>
      </c>
      <c r="J8" s="171"/>
      <c r="K8" s="269"/>
      <c r="L8" s="115"/>
      <c r="O8" s="116" t="s">
        <v>183</v>
      </c>
      <c r="P8" s="241">
        <f>'Res Bill Impact'!P8</f>
        <v>78094743.784878477</v>
      </c>
      <c r="Q8" s="113">
        <f>'Res Bill Impact'!Q8</f>
        <v>0.26408999999999999</v>
      </c>
      <c r="R8" s="114">
        <f>'Res Bill Impact'!R8</f>
        <v>20624040.886148557</v>
      </c>
      <c r="S8" s="171">
        <f t="shared" si="2"/>
        <v>0.26408999999999999</v>
      </c>
      <c r="T8" s="114">
        <f t="shared" si="3"/>
        <v>20624040.886148557</v>
      </c>
      <c r="U8" s="171"/>
      <c r="V8" s="269"/>
      <c r="W8" s="115"/>
      <c r="X8" s="6" t="s">
        <v>184</v>
      </c>
      <c r="Y8" s="117">
        <f>'Res Bill Impact'!Y8</f>
        <v>1686164600</v>
      </c>
      <c r="Z8" s="117">
        <f>'Res Bill Impact'!Z8</f>
        <v>1455893922</v>
      </c>
      <c r="AA8" s="117">
        <f>'Res Bill Impact'!AA8</f>
        <v>230270678</v>
      </c>
    </row>
    <row r="9" spans="1:31" ht="15.5">
      <c r="D9" s="112" t="s">
        <v>210</v>
      </c>
      <c r="E9" s="241">
        <f>'Res Bill Impact'!E9</f>
        <v>89068921.568368956</v>
      </c>
      <c r="F9" s="113">
        <f>'Res Bill Impact'!F9</f>
        <v>0.52988360789167288</v>
      </c>
      <c r="G9" s="114">
        <f t="shared" si="0"/>
        <v>47196161.511667781</v>
      </c>
      <c r="H9" s="171">
        <f>F9/F$7*H$7</f>
        <v>0.52988360789167288</v>
      </c>
      <c r="I9" s="114">
        <f t="shared" si="1"/>
        <v>47196161.511667781</v>
      </c>
      <c r="J9" s="171"/>
      <c r="K9" s="269"/>
      <c r="L9" s="115"/>
      <c r="O9" s="112" t="s">
        <v>185</v>
      </c>
      <c r="P9" s="241">
        <f>'Res Bill Impact'!P9</f>
        <v>30578684.714064509</v>
      </c>
      <c r="Q9" s="113">
        <f>'Res Bill Impact'!Q9</f>
        <v>0.33495999999999998</v>
      </c>
      <c r="R9" s="114">
        <f>'Res Bill Impact'!R9</f>
        <v>10242636.231823048</v>
      </c>
      <c r="S9" s="171">
        <f t="shared" si="2"/>
        <v>0.33495999999999998</v>
      </c>
      <c r="T9" s="114">
        <f t="shared" si="3"/>
        <v>10242636.231823048</v>
      </c>
      <c r="U9" s="171"/>
      <c r="V9" s="269"/>
      <c r="W9" s="115"/>
      <c r="X9" s="6" t="s">
        <v>262</v>
      </c>
      <c r="Y9" s="196">
        <f>('Hypothetical SAR and RAR'!V20+'Hypothetical SAR and RAR'!X20)*1000</f>
        <v>0</v>
      </c>
      <c r="Z9" s="196">
        <f>('Hypothetical SAR and RAR'!V20)*1000</f>
        <v>0</v>
      </c>
      <c r="AA9" s="170">
        <f>('Hypothetical SAR and RAR'!X20)*1000</f>
        <v>0</v>
      </c>
    </row>
    <row r="10" spans="1:31" ht="15.5">
      <c r="D10" s="116" t="s">
        <v>183</v>
      </c>
      <c r="E10" s="241">
        <f>'Res Bill Impact'!E10</f>
        <v>84528618.696129948</v>
      </c>
      <c r="F10" s="113">
        <f>'Res Bill Impact'!F10</f>
        <v>0.52988360789167288</v>
      </c>
      <c r="G10" s="114">
        <f t="shared" si="0"/>
        <v>44790329.444804847</v>
      </c>
      <c r="H10" s="171">
        <f>H9</f>
        <v>0.52988360789167288</v>
      </c>
      <c r="I10" s="114">
        <f t="shared" si="1"/>
        <v>44790329.444804847</v>
      </c>
      <c r="J10" s="171"/>
      <c r="K10" s="269"/>
      <c r="L10" s="115"/>
      <c r="O10" s="116" t="s">
        <v>183</v>
      </c>
      <c r="P10" s="241">
        <f>'Res Bill Impact'!P10</f>
        <v>31395953.493242923</v>
      </c>
      <c r="Q10" s="113">
        <f>'Res Bill Impact'!Q10</f>
        <v>0.33495999999999998</v>
      </c>
      <c r="R10" s="114">
        <f>'Res Bill Impact'!R10</f>
        <v>10516388.582096649</v>
      </c>
      <c r="S10" s="171">
        <f t="shared" si="2"/>
        <v>0.33495999999999998</v>
      </c>
      <c r="T10" s="114">
        <f t="shared" si="3"/>
        <v>10516388.582096649</v>
      </c>
      <c r="U10" s="171"/>
      <c r="V10" s="269"/>
      <c r="W10" s="115"/>
      <c r="X10" s="6" t="s">
        <v>263</v>
      </c>
      <c r="Y10" s="117">
        <f>Y8+Y9</f>
        <v>1686164600</v>
      </c>
      <c r="Z10" s="117">
        <f>Z8+Z9</f>
        <v>1455893922</v>
      </c>
      <c r="AA10" s="117">
        <f>AA8+AA9</f>
        <v>230270678</v>
      </c>
      <c r="AD10" s="44" t="s">
        <v>326</v>
      </c>
      <c r="AE10" s="44"/>
    </row>
    <row r="11" spans="1:31" ht="15.5">
      <c r="D11" s="112" t="s">
        <v>188</v>
      </c>
      <c r="E11" s="241">
        <f>'Res Bill Impact'!E11</f>
        <v>0</v>
      </c>
      <c r="F11" s="113">
        <f>'Res Bill Impact'!F11</f>
        <v>0</v>
      </c>
      <c r="G11" s="114">
        <f t="shared" si="0"/>
        <v>0</v>
      </c>
      <c r="H11" s="171">
        <f>F11/F$7*H$7</f>
        <v>0</v>
      </c>
      <c r="I11" s="114">
        <f t="shared" si="1"/>
        <v>0</v>
      </c>
      <c r="J11" s="171"/>
      <c r="K11" s="269"/>
      <c r="L11" s="115"/>
      <c r="O11" s="112" t="s">
        <v>188</v>
      </c>
      <c r="P11" s="241">
        <f>'Res Bill Impact'!P11</f>
        <v>0</v>
      </c>
      <c r="Q11" s="113">
        <f>'Res Bill Impact'!Q11</f>
        <v>0</v>
      </c>
      <c r="R11" s="114">
        <f>'Res Bill Impact'!R11</f>
        <v>0</v>
      </c>
      <c r="S11" s="171">
        <f>IFERROR(H11*(1+(Q11/F11-1)),0)</f>
        <v>0</v>
      </c>
      <c r="T11" s="114">
        <f t="shared" si="3"/>
        <v>0</v>
      </c>
      <c r="U11" s="171"/>
      <c r="V11" s="269"/>
      <c r="W11" s="115"/>
      <c r="Y11" s="117"/>
      <c r="AC11" s="131" t="s">
        <v>325</v>
      </c>
      <c r="AD11" s="264" t="s">
        <v>327</v>
      </c>
      <c r="AE11" s="44"/>
    </row>
    <row r="12" spans="1:31" ht="15.5">
      <c r="D12" s="116" t="s">
        <v>183</v>
      </c>
      <c r="E12" s="241">
        <f>'Res Bill Impact'!E12</f>
        <v>0</v>
      </c>
      <c r="F12" s="113">
        <f>'Res Bill Impact'!F12</f>
        <v>0</v>
      </c>
      <c r="G12" s="114">
        <f t="shared" si="0"/>
        <v>0</v>
      </c>
      <c r="H12" s="171">
        <f>H11</f>
        <v>0</v>
      </c>
      <c r="I12" s="114">
        <f t="shared" si="1"/>
        <v>0</v>
      </c>
      <c r="J12" s="171"/>
      <c r="K12" s="269"/>
      <c r="L12" s="115"/>
      <c r="O12" s="116" t="s">
        <v>183</v>
      </c>
      <c r="P12" s="241">
        <f>'Res Bill Impact'!P12</f>
        <v>0</v>
      </c>
      <c r="Q12" s="113">
        <f>'Res Bill Impact'!Q12</f>
        <v>0</v>
      </c>
      <c r="R12" s="114">
        <f>'Res Bill Impact'!R12</f>
        <v>0</v>
      </c>
      <c r="S12" s="171">
        <f>IFERROR(H12*(1+(Q12/F12-1)),0)</f>
        <v>0</v>
      </c>
      <c r="T12" s="114">
        <f t="shared" si="3"/>
        <v>0</v>
      </c>
      <c r="U12" s="171"/>
      <c r="V12" s="269"/>
      <c r="W12" s="115"/>
      <c r="X12" s="6" t="s">
        <v>362</v>
      </c>
      <c r="Y12" s="264" t="s">
        <v>112</v>
      </c>
      <c r="Z12" s="264" t="s">
        <v>324</v>
      </c>
      <c r="AA12" s="264" t="s">
        <v>3</v>
      </c>
      <c r="AC12" s="6">
        <f>'Res Bill Impact'!AC16</f>
        <v>0.45699000000000001</v>
      </c>
      <c r="AD12" s="165">
        <f>Y14/100/AC12</f>
        <v>0</v>
      </c>
      <c r="AE12" s="272"/>
    </row>
    <row r="13" spans="1:31" ht="15.5">
      <c r="D13" s="116"/>
      <c r="E13" s="118"/>
      <c r="F13" s="119"/>
      <c r="G13" s="120"/>
      <c r="H13" s="1"/>
      <c r="I13" s="121"/>
      <c r="J13" s="1"/>
      <c r="K13" s="121"/>
      <c r="L13" s="115"/>
      <c r="O13" s="116"/>
      <c r="P13" s="120"/>
      <c r="Q13" s="119"/>
      <c r="R13" s="120"/>
      <c r="S13" s="1"/>
      <c r="T13" s="121"/>
      <c r="U13" s="1"/>
      <c r="V13" s="121"/>
      <c r="X13" s="6" t="s">
        <v>363</v>
      </c>
      <c r="Y13" s="303">
        <f>+Z13+AA13</f>
        <v>45.698999999999998</v>
      </c>
      <c r="Z13" s="303">
        <f>'Res Bill Impact'!Z15</f>
        <v>28.167000000000002</v>
      </c>
      <c r="AA13" s="303">
        <f>'Res Bill Impact'!AA15</f>
        <v>17.532</v>
      </c>
      <c r="AC13" s="271"/>
      <c r="AD13" s="96"/>
      <c r="AE13" s="265"/>
    </row>
    <row r="14" spans="1:31" ht="15.5">
      <c r="D14" s="116"/>
      <c r="E14" s="707" t="s">
        <v>471</v>
      </c>
      <c r="F14" s="113">
        <v>0.79342999999999997</v>
      </c>
      <c r="G14" s="119"/>
      <c r="H14" s="171"/>
      <c r="I14" s="120"/>
      <c r="J14" s="120"/>
      <c r="K14" s="120"/>
      <c r="L14" s="115"/>
      <c r="O14" s="116"/>
      <c r="P14" s="707" t="s">
        <v>471</v>
      </c>
      <c r="Q14" s="784">
        <v>0.19713</v>
      </c>
      <c r="R14" s="119"/>
      <c r="S14" s="120"/>
      <c r="T14" s="120"/>
      <c r="U14" s="120"/>
      <c r="V14" s="120"/>
      <c r="X14" s="6" t="s">
        <v>262</v>
      </c>
      <c r="Y14" s="303">
        <f>+Z14+AA14</f>
        <v>0</v>
      </c>
      <c r="Z14" s="303">
        <f>+Z9/(IF('Hypothetical Summary'!$H$3=2026,'Hypothetical SAR and RAR'!$C$25,'Hypothetical SAR and RAR'!$C$35)*1000)*100</f>
        <v>0</v>
      </c>
      <c r="AA14" s="303">
        <f>+AA9/(IF('Hypothetical Summary'!$H$3=2026,'Hypothetical SAR and RAR'!$E$25,'Hypothetical SAR and RAR'!$E$35)*1000)*100</f>
        <v>0</v>
      </c>
      <c r="AD14" s="44"/>
      <c r="AE14" s="44"/>
    </row>
    <row r="15" spans="1:31" ht="15.5">
      <c r="D15" s="116"/>
      <c r="E15" s="707" t="s">
        <v>472</v>
      </c>
      <c r="F15" s="708">
        <f>F14*30</f>
        <v>23.802899999999998</v>
      </c>
      <c r="G15" s="462" t="s">
        <v>473</v>
      </c>
      <c r="I15" s="120"/>
      <c r="J15" s="239"/>
      <c r="K15" s="120"/>
      <c r="L15" s="115"/>
      <c r="O15" s="122"/>
      <c r="P15" s="707" t="s">
        <v>472</v>
      </c>
      <c r="Q15" s="708">
        <f>Q14*30</f>
        <v>5.9138999999999999</v>
      </c>
      <c r="R15" s="462" t="s">
        <v>473</v>
      </c>
      <c r="S15" s="120"/>
      <c r="T15" s="120"/>
      <c r="U15" s="120"/>
      <c r="V15" s="120"/>
      <c r="X15" s="6" t="s">
        <v>263</v>
      </c>
      <c r="Y15" s="303">
        <f>+Y14+Y13</f>
        <v>45.698999999999998</v>
      </c>
      <c r="Z15" s="303">
        <f>+Z14+Z13</f>
        <v>28.167000000000002</v>
      </c>
      <c r="AA15" s="303">
        <f>+AA14+AA13</f>
        <v>17.532</v>
      </c>
      <c r="AC15" s="44"/>
      <c r="AD15" s="44"/>
      <c r="AE15" s="44"/>
    </row>
    <row r="16" spans="1:31" ht="15.5">
      <c r="P16" s="120"/>
      <c r="Q16" s="119"/>
      <c r="R16" s="120"/>
      <c r="AC16" s="267"/>
      <c r="AD16" s="266"/>
      <c r="AE16" s="267"/>
    </row>
    <row r="17" spans="1:31" ht="15.5">
      <c r="O17" s="123"/>
      <c r="R17" s="120"/>
      <c r="Y17" s="44"/>
      <c r="Z17" s="301"/>
      <c r="AA17" s="301"/>
    </row>
    <row r="18" spans="1:31" ht="15.5">
      <c r="Y18" s="44"/>
      <c r="Z18" s="301"/>
      <c r="AA18" s="301"/>
    </row>
    <row r="19" spans="1:31">
      <c r="B19" s="7"/>
      <c r="P19" s="6" t="str">
        <f>'Res Bill Impact'!P19</f>
        <v>2025 Recorded Data - Average Monthly Usage - BASIC kWh</v>
      </c>
      <c r="AD19" s="44"/>
      <c r="AE19" s="44"/>
    </row>
    <row r="20" spans="1:31">
      <c r="B20" s="124" t="s">
        <v>211</v>
      </c>
      <c r="C20" s="124"/>
      <c r="E20" s="125"/>
      <c r="F20" s="125"/>
      <c r="H20" s="124" t="s">
        <v>271</v>
      </c>
      <c r="I20" s="124"/>
      <c r="J20" s="124"/>
      <c r="K20" s="124" t="s">
        <v>270</v>
      </c>
      <c r="L20" s="124"/>
      <c r="M20" s="124"/>
      <c r="N20" s="124"/>
      <c r="P20" s="126" t="s">
        <v>191</v>
      </c>
      <c r="Q20" s="127" t="s">
        <v>192</v>
      </c>
      <c r="R20" s="127" t="s">
        <v>193</v>
      </c>
      <c r="S20" s="127" t="s">
        <v>192</v>
      </c>
      <c r="T20" s="127" t="s">
        <v>193</v>
      </c>
      <c r="U20" s="580" t="s">
        <v>196</v>
      </c>
      <c r="V20" s="581"/>
      <c r="AD20" s="44"/>
      <c r="AE20" s="44"/>
    </row>
    <row r="21" spans="1:31">
      <c r="B21" s="128" t="s">
        <v>175</v>
      </c>
      <c r="C21" s="129" t="str">
        <f>'Res Bill Impact'!C21</f>
        <v>10/1/2025</v>
      </c>
      <c r="D21" s="129" t="str">
        <f>'Res Bill Impact'!D21</f>
        <v>1/1/26</v>
      </c>
      <c r="E21" s="130" t="s">
        <v>174</v>
      </c>
      <c r="F21" s="125"/>
      <c r="H21" s="131" t="s">
        <v>191</v>
      </c>
      <c r="I21" s="131" t="s">
        <v>192</v>
      </c>
      <c r="J21" s="131" t="s">
        <v>193</v>
      </c>
      <c r="K21" s="131" t="s">
        <v>191</v>
      </c>
      <c r="L21" s="131" t="s">
        <v>192</v>
      </c>
      <c r="M21" s="131" t="s">
        <v>193</v>
      </c>
      <c r="P21" s="49"/>
      <c r="Q21" s="560" t="s">
        <v>149</v>
      </c>
      <c r="R21" s="562"/>
      <c r="S21" s="560" t="s">
        <v>150</v>
      </c>
      <c r="T21" s="562"/>
      <c r="U21" s="44" t="s">
        <v>149</v>
      </c>
      <c r="V21" s="44" t="s">
        <v>150</v>
      </c>
      <c r="AD21" s="272"/>
      <c r="AE21" s="272"/>
    </row>
    <row r="22" spans="1:31">
      <c r="A22" s="6" t="s">
        <v>192</v>
      </c>
      <c r="B22" s="132" t="s">
        <v>194</v>
      </c>
      <c r="C22" s="135">
        <f>'Res Bill Impact'!C22</f>
        <v>0.3739683403997679</v>
      </c>
      <c r="D22" s="135">
        <f>'Res Bill Impact'!D22</f>
        <v>0.4208350234396428</v>
      </c>
      <c r="E22" s="135">
        <f>H7</f>
        <v>0.4208350234396428</v>
      </c>
      <c r="F22" s="246"/>
      <c r="H22" s="6" t="s">
        <v>125</v>
      </c>
      <c r="I22" s="153">
        <f>'Res Bill Impact'!I22</f>
        <v>351</v>
      </c>
      <c r="J22" s="153">
        <f>'Res Bill Impact'!J22</f>
        <v>359</v>
      </c>
      <c r="K22" s="6" t="s">
        <v>125</v>
      </c>
      <c r="L22" s="153">
        <f>'Res Bill Impact'!L22</f>
        <v>235</v>
      </c>
      <c r="M22" s="153">
        <f>'Res Bill Impact'!M22</f>
        <v>343</v>
      </c>
      <c r="N22" s="117"/>
      <c r="P22" s="136" t="s">
        <v>125</v>
      </c>
      <c r="Q22" s="137">
        <f>'Res Bill Impact'!Q22</f>
        <v>334.36541599999998</v>
      </c>
      <c r="R22" s="137">
        <f>'Res Bill Impact'!R22</f>
        <v>309.27334100000002</v>
      </c>
      <c r="S22" s="137">
        <f>'Res Bill Impact'!S22</f>
        <v>329.33632999999998</v>
      </c>
      <c r="T22" s="137">
        <f>'Res Bill Impact'!T22</f>
        <v>300.562815</v>
      </c>
      <c r="U22" s="197">
        <f>'Res Bill Impact'!U22</f>
        <v>0.59302976011933228</v>
      </c>
      <c r="V22" s="197">
        <f>'Res Bill Impact'!V22</f>
        <v>0.5004157582517873</v>
      </c>
    </row>
    <row r="23" spans="1:31">
      <c r="B23" s="132" t="s">
        <v>195</v>
      </c>
      <c r="C23" s="135">
        <f>'Res Bill Impact'!C23</f>
        <v>0.47087262801621554</v>
      </c>
      <c r="D23" s="135">
        <f>'Res Bill Impact'!D23</f>
        <v>0.52988360789167288</v>
      </c>
      <c r="E23" s="135">
        <f>H9</f>
        <v>0.52988360789167288</v>
      </c>
      <c r="F23" s="246"/>
      <c r="H23" s="6" t="s">
        <v>197</v>
      </c>
      <c r="I23" s="153">
        <f>'Res Bill Impact'!I23</f>
        <v>530</v>
      </c>
      <c r="J23" s="153">
        <f>'Res Bill Impact'!J23</f>
        <v>503</v>
      </c>
      <c r="K23" s="6" t="s">
        <v>197</v>
      </c>
      <c r="L23" s="153">
        <f>'Res Bill Impact'!L23</f>
        <v>593</v>
      </c>
      <c r="M23" s="153">
        <f>'Res Bill Impact'!M23</f>
        <v>863</v>
      </c>
      <c r="N23" s="117"/>
      <c r="P23" s="139" t="s">
        <v>197</v>
      </c>
      <c r="Q23" s="137">
        <f>'Res Bill Impact'!Q23</f>
        <v>370.89176200000003</v>
      </c>
      <c r="R23" s="137">
        <f>'Res Bill Impact'!R23</f>
        <v>320.932299</v>
      </c>
      <c r="S23" s="137">
        <f>'Res Bill Impact'!S23</f>
        <v>595.62742000000003</v>
      </c>
      <c r="T23" s="137">
        <f>'Res Bill Impact'!T23</f>
        <v>535.42582900000002</v>
      </c>
      <c r="U23" s="197">
        <f>'Res Bill Impact'!U23</f>
        <v>8.43340424866614E-3</v>
      </c>
      <c r="V23" s="197">
        <f>'Res Bill Impact'!V23</f>
        <v>7.9450387872027576E-3</v>
      </c>
    </row>
    <row r="24" spans="1:31">
      <c r="B24" s="132"/>
      <c r="C24" s="135"/>
      <c r="D24" s="135"/>
      <c r="E24" s="135"/>
      <c r="F24" s="246"/>
      <c r="H24" s="6" t="s">
        <v>198</v>
      </c>
      <c r="I24" s="153">
        <f>'Res Bill Impact'!I24</f>
        <v>620</v>
      </c>
      <c r="J24" s="153">
        <f>'Res Bill Impact'!J24</f>
        <v>425</v>
      </c>
      <c r="K24" s="6" t="s">
        <v>198</v>
      </c>
      <c r="L24" s="153">
        <f>'Res Bill Impact'!L24</f>
        <v>662</v>
      </c>
      <c r="M24" s="153">
        <f>'Res Bill Impact'!M24</f>
        <v>667</v>
      </c>
      <c r="N24" s="117"/>
      <c r="P24" s="139" t="s">
        <v>198</v>
      </c>
      <c r="Q24" s="137">
        <f>'Res Bill Impact'!Q24</f>
        <v>400.96965999999998</v>
      </c>
      <c r="R24" s="137">
        <f>'Res Bill Impact'!R24</f>
        <v>153.73130499999999</v>
      </c>
      <c r="S24" s="137">
        <f>'Res Bill Impact'!S24</f>
        <v>651.39212799999996</v>
      </c>
      <c r="T24" s="137">
        <f>'Res Bill Impact'!T24</f>
        <v>320.86506100000003</v>
      </c>
      <c r="U24" s="197">
        <f>'Res Bill Impact'!U24</f>
        <v>1.1233729911021911E-3</v>
      </c>
      <c r="V24" s="197">
        <f>'Res Bill Impact'!V24</f>
        <v>1.5362774425797293E-3</v>
      </c>
    </row>
    <row r="25" spans="1:31">
      <c r="A25" s="193" t="s">
        <v>193</v>
      </c>
      <c r="B25" s="198" t="s">
        <v>194</v>
      </c>
      <c r="C25" s="199">
        <f>'Res Bill Impact'!C25</f>
        <v>0.3739683403997679</v>
      </c>
      <c r="D25" s="199">
        <f>'Res Bill Impact'!D25</f>
        <v>0.4208350234396428</v>
      </c>
      <c r="E25" s="199">
        <f>H8</f>
        <v>0.4208350234396428</v>
      </c>
      <c r="F25" s="246"/>
      <c r="H25" s="6" t="s">
        <v>199</v>
      </c>
      <c r="I25" s="153">
        <f>'Res Bill Impact'!I25</f>
        <v>406</v>
      </c>
      <c r="J25" s="153">
        <f>'Res Bill Impact'!J25</f>
        <v>374</v>
      </c>
      <c r="K25" s="6" t="s">
        <v>199</v>
      </c>
      <c r="L25" s="153">
        <f>'Res Bill Impact'!L25</f>
        <v>341</v>
      </c>
      <c r="M25" s="153">
        <f>'Res Bill Impact'!M25</f>
        <v>475</v>
      </c>
      <c r="N25" s="117"/>
      <c r="P25" s="142" t="s">
        <v>199</v>
      </c>
      <c r="Q25" s="143">
        <f>'Res Bill Impact'!Q25</f>
        <v>325.12078600000001</v>
      </c>
      <c r="R25" s="143">
        <f>'Res Bill Impact'!R25</f>
        <v>273.16046899999998</v>
      </c>
      <c r="S25" s="143">
        <f>'Res Bill Impact'!S25</f>
        <v>427.16779600000001</v>
      </c>
      <c r="T25" s="143">
        <f>'Res Bill Impact'!T25</f>
        <v>342.00768900000003</v>
      </c>
      <c r="U25" s="197">
        <f>'Res Bill Impact'!U25</f>
        <v>0.39741346264089933</v>
      </c>
      <c r="V25" s="197">
        <f>'Res Bill Impact'!V25</f>
        <v>0.49010292551843027</v>
      </c>
    </row>
    <row r="26" spans="1:31">
      <c r="A26" s="193"/>
      <c r="B26" s="198" t="s">
        <v>195</v>
      </c>
      <c r="C26" s="199">
        <f>'Res Bill Impact'!C26</f>
        <v>0.47087262801621554</v>
      </c>
      <c r="D26" s="199">
        <f>'Res Bill Impact'!D26</f>
        <v>0.52988360789167288</v>
      </c>
      <c r="E26" s="199">
        <f>H10</f>
        <v>0.52988360789167288</v>
      </c>
      <c r="F26" s="246"/>
      <c r="I26" s="117"/>
      <c r="J26" s="117"/>
      <c r="M26" s="117"/>
      <c r="N26" s="117"/>
      <c r="Q26" s="147"/>
      <c r="R26" s="147"/>
      <c r="S26" s="147"/>
      <c r="T26" s="147"/>
      <c r="U26" s="200"/>
      <c r="V26" s="200"/>
    </row>
    <row r="27" spans="1:31">
      <c r="A27" s="193"/>
      <c r="B27" s="198"/>
      <c r="C27" s="199"/>
      <c r="D27" s="199"/>
      <c r="E27" s="199"/>
      <c r="F27" s="246"/>
      <c r="I27" s="117"/>
      <c r="J27" s="117"/>
      <c r="M27" s="117"/>
      <c r="N27" s="117"/>
      <c r="Q27" s="147"/>
      <c r="R27" s="147"/>
      <c r="S27" s="147"/>
      <c r="T27" s="147"/>
      <c r="U27" s="200"/>
      <c r="V27" s="200"/>
    </row>
    <row r="28" spans="1:31">
      <c r="I28" s="117"/>
      <c r="J28" s="117"/>
      <c r="M28" s="117"/>
      <c r="N28" s="117"/>
      <c r="P28" s="6" t="str">
        <f>'Res Bill Impact'!P28</f>
        <v>2025 Recorded Data - Average Monthly Usage - ALL-ELECTRIC kWh</v>
      </c>
    </row>
    <row r="29" spans="1:31">
      <c r="B29" s="124" t="s">
        <v>212</v>
      </c>
      <c r="C29" s="124"/>
      <c r="D29" s="124"/>
      <c r="E29" s="125"/>
      <c r="F29" s="125"/>
      <c r="H29" s="124" t="s">
        <v>267</v>
      </c>
      <c r="I29" s="124"/>
      <c r="J29" s="124"/>
      <c r="K29" s="124" t="s">
        <v>266</v>
      </c>
      <c r="L29" s="124"/>
      <c r="M29" s="124"/>
      <c r="N29" s="117"/>
      <c r="P29" s="126" t="s">
        <v>191</v>
      </c>
      <c r="Q29" s="127" t="s">
        <v>192</v>
      </c>
      <c r="R29" s="127" t="s">
        <v>193</v>
      </c>
      <c r="S29" s="127" t="s">
        <v>192</v>
      </c>
      <c r="T29" s="127" t="s">
        <v>193</v>
      </c>
      <c r="U29" s="580" t="s">
        <v>196</v>
      </c>
      <c r="V29" s="581"/>
    </row>
    <row r="30" spans="1:31">
      <c r="B30" s="128" t="s">
        <v>175</v>
      </c>
      <c r="C30" s="129" t="str">
        <f>C21</f>
        <v>10/1/2025</v>
      </c>
      <c r="D30" s="129" t="str">
        <f>D21</f>
        <v>1/1/26</v>
      </c>
      <c r="E30" s="130" t="s">
        <v>174</v>
      </c>
      <c r="F30" s="125"/>
      <c r="H30" s="131" t="s">
        <v>191</v>
      </c>
      <c r="I30" s="131" t="s">
        <v>192</v>
      </c>
      <c r="J30" s="131" t="s">
        <v>193</v>
      </c>
      <c r="K30" s="131" t="s">
        <v>191</v>
      </c>
      <c r="L30" s="131" t="s">
        <v>192</v>
      </c>
      <c r="M30" s="131" t="s">
        <v>193</v>
      </c>
      <c r="N30" s="117"/>
      <c r="P30" s="49"/>
      <c r="Q30" s="560" t="s">
        <v>149</v>
      </c>
      <c r="R30" s="562"/>
      <c r="S30" s="560" t="s">
        <v>150</v>
      </c>
      <c r="T30" s="562"/>
      <c r="U30" s="44" t="s">
        <v>149</v>
      </c>
      <c r="V30" s="44" t="s">
        <v>150</v>
      </c>
    </row>
    <row r="31" spans="1:31">
      <c r="A31" s="6" t="s">
        <v>192</v>
      </c>
      <c r="B31" s="132" t="s">
        <v>194</v>
      </c>
      <c r="C31" s="134">
        <f>'Res Bill Impact'!C31</f>
        <v>0.23921000000000001</v>
      </c>
      <c r="D31" s="135">
        <f>'Res Bill Impact'!D31</f>
        <v>0.26408999999999999</v>
      </c>
      <c r="E31" s="135">
        <f>S7</f>
        <v>0.26408999999999999</v>
      </c>
      <c r="F31" s="246"/>
      <c r="H31" s="6" t="s">
        <v>125</v>
      </c>
      <c r="I31" s="153">
        <f>'Res Bill Impact'!I31</f>
        <v>270</v>
      </c>
      <c r="J31" s="153">
        <f>'Res Bill Impact'!J31</f>
        <v>276</v>
      </c>
      <c r="K31" s="6" t="s">
        <v>125</v>
      </c>
      <c r="L31" s="153">
        <f>'Res Bill Impact'!L31</f>
        <v>181</v>
      </c>
      <c r="M31" s="153">
        <f>'Res Bill Impact'!M31</f>
        <v>264</v>
      </c>
      <c r="N31" s="117"/>
      <c r="P31" s="136" t="s">
        <v>125</v>
      </c>
      <c r="Q31" s="137">
        <f>'Res Bill Impact'!Q31</f>
        <v>283.425005</v>
      </c>
      <c r="R31" s="137">
        <f>'Res Bill Impact'!R31</f>
        <v>272.60744599999998</v>
      </c>
      <c r="S31" s="137">
        <f>'Res Bill Impact'!S31</f>
        <v>293.30439200000001</v>
      </c>
      <c r="T31" s="137">
        <f>'Res Bill Impact'!T31</f>
        <v>284.82109400000002</v>
      </c>
      <c r="U31" s="197">
        <f>'Res Bill Impact'!U31</f>
        <v>0.58383763710758863</v>
      </c>
      <c r="V31" s="197">
        <f>'Res Bill Impact'!V31</f>
        <v>0.44804334178157046</v>
      </c>
    </row>
    <row r="32" spans="1:31">
      <c r="B32" s="132" t="s">
        <v>195</v>
      </c>
      <c r="C32" s="134">
        <f>'Res Bill Impact'!C32</f>
        <v>0.30220000000000002</v>
      </c>
      <c r="D32" s="135">
        <f>'Res Bill Impact'!D32</f>
        <v>0.33495999999999998</v>
      </c>
      <c r="E32" s="135">
        <f>S9</f>
        <v>0.33495999999999998</v>
      </c>
      <c r="F32" s="246"/>
      <c r="H32" s="6" t="s">
        <v>197</v>
      </c>
      <c r="I32" s="153">
        <f>'Res Bill Impact'!I32</f>
        <v>408</v>
      </c>
      <c r="J32" s="153">
        <f>'Res Bill Impact'!J32</f>
        <v>387</v>
      </c>
      <c r="K32" s="6" t="s">
        <v>197</v>
      </c>
      <c r="L32" s="153">
        <f>'Res Bill Impact'!L32</f>
        <v>456</v>
      </c>
      <c r="M32" s="153">
        <f>'Res Bill Impact'!M32</f>
        <v>664</v>
      </c>
      <c r="N32" s="117"/>
      <c r="P32" s="139" t="s">
        <v>197</v>
      </c>
      <c r="Q32" s="137">
        <f>'Res Bill Impact'!Q32</f>
        <v>393.67990800000001</v>
      </c>
      <c r="R32" s="137">
        <f>'Res Bill Impact'!R32</f>
        <v>457.21679599999999</v>
      </c>
      <c r="S32" s="137">
        <f>'Res Bill Impact'!S32</f>
        <v>614.42968800000006</v>
      </c>
      <c r="T32" s="137">
        <f>'Res Bill Impact'!T32</f>
        <v>691.41233199999999</v>
      </c>
      <c r="U32" s="197">
        <f>'Res Bill Impact'!U32</f>
        <v>2.0596224598562734E-2</v>
      </c>
      <c r="V32" s="197">
        <f>'Res Bill Impact'!V32</f>
        <v>1.4334875717906388E-2</v>
      </c>
    </row>
    <row r="33" spans="1:27">
      <c r="B33" s="132"/>
      <c r="C33" s="134"/>
      <c r="D33" s="135"/>
      <c r="E33" s="135"/>
      <c r="F33" s="246"/>
      <c r="H33" s="6" t="s">
        <v>198</v>
      </c>
      <c r="I33" s="153">
        <f>'Res Bill Impact'!I33</f>
        <v>477</v>
      </c>
      <c r="J33" s="153">
        <f>'Res Bill Impact'!J33</f>
        <v>327</v>
      </c>
      <c r="K33" s="6" t="s">
        <v>198</v>
      </c>
      <c r="L33" s="153">
        <f>'Res Bill Impact'!L33</f>
        <v>509</v>
      </c>
      <c r="M33" s="153">
        <f>'Res Bill Impact'!M33</f>
        <v>513</v>
      </c>
      <c r="N33" s="117"/>
      <c r="P33" s="139" t="s">
        <v>198</v>
      </c>
      <c r="Q33" s="137">
        <f>'Res Bill Impact'!Q33</f>
        <v>347.61028700000003</v>
      </c>
      <c r="R33" s="137">
        <f>'Res Bill Impact'!R33</f>
        <v>178.718932</v>
      </c>
      <c r="S33" s="137">
        <f>'Res Bill Impact'!S33</f>
        <v>706.90564700000004</v>
      </c>
      <c r="T33" s="137">
        <f>'Res Bill Impact'!T33</f>
        <v>394.63204200000001</v>
      </c>
      <c r="U33" s="197">
        <f>'Res Bill Impact'!U33</f>
        <v>5.596052676821511E-3</v>
      </c>
      <c r="V33" s="197">
        <f>'Res Bill Impact'!V33</f>
        <v>3.7086985839514496E-3</v>
      </c>
    </row>
    <row r="34" spans="1:27">
      <c r="A34" s="193" t="s">
        <v>193</v>
      </c>
      <c r="B34" s="198" t="s">
        <v>194</v>
      </c>
      <c r="C34" s="199">
        <f>'Res Bill Impact'!C34</f>
        <v>0.23921000000000001</v>
      </c>
      <c r="D34" s="199">
        <f>'Res Bill Impact'!D34</f>
        <v>0.26408999999999999</v>
      </c>
      <c r="E34" s="199">
        <f>S8</f>
        <v>0.26408999999999999</v>
      </c>
      <c r="F34" s="246"/>
      <c r="H34" s="6" t="s">
        <v>199</v>
      </c>
      <c r="I34" s="153">
        <f>'Res Bill Impact'!I34</f>
        <v>312</v>
      </c>
      <c r="J34" s="153">
        <f>'Res Bill Impact'!J34</f>
        <v>288</v>
      </c>
      <c r="K34" s="6" t="s">
        <v>199</v>
      </c>
      <c r="L34" s="153">
        <f>'Res Bill Impact'!L34</f>
        <v>262</v>
      </c>
      <c r="M34" s="153">
        <f>'Res Bill Impact'!M34</f>
        <v>365</v>
      </c>
      <c r="N34" s="117"/>
      <c r="P34" s="142" t="s">
        <v>199</v>
      </c>
      <c r="Q34" s="143">
        <f>'Res Bill Impact'!Q34</f>
        <v>331.02294799999999</v>
      </c>
      <c r="R34" s="143">
        <f>'Res Bill Impact'!R34</f>
        <v>327.76564100000002</v>
      </c>
      <c r="S34" s="143">
        <f>'Res Bill Impact'!S34</f>
        <v>390.24194699999998</v>
      </c>
      <c r="T34" s="143">
        <f>'Res Bill Impact'!T34</f>
        <v>346.22200400000003</v>
      </c>
      <c r="U34" s="197">
        <f>'Res Bill Impact'!U34</f>
        <v>0.38997008561702712</v>
      </c>
      <c r="V34" s="197">
        <f>'Res Bill Impact'!V34</f>
        <v>0.53391308391657177</v>
      </c>
    </row>
    <row r="35" spans="1:27">
      <c r="A35" s="193"/>
      <c r="B35" s="198" t="s">
        <v>195</v>
      </c>
      <c r="C35" s="199">
        <f>'Res Bill Impact'!C35</f>
        <v>0.30220000000000002</v>
      </c>
      <c r="D35" s="199">
        <f>'Res Bill Impact'!D35</f>
        <v>0.33495999999999998</v>
      </c>
      <c r="E35" s="199">
        <f>S10</f>
        <v>0.33495999999999998</v>
      </c>
      <c r="F35" s="246"/>
      <c r="I35" s="117"/>
      <c r="J35" s="117"/>
      <c r="M35" s="117"/>
      <c r="N35" s="117"/>
      <c r="Q35" s="147"/>
      <c r="R35" s="147"/>
      <c r="S35" s="147"/>
      <c r="T35" s="147"/>
      <c r="U35" s="200"/>
      <c r="V35" s="200"/>
    </row>
    <row r="36" spans="1:27">
      <c r="A36" s="193"/>
      <c r="B36" s="198"/>
      <c r="C36" s="199"/>
      <c r="D36" s="199"/>
      <c r="E36" s="199"/>
      <c r="F36" s="246"/>
      <c r="I36" s="117"/>
      <c r="J36" s="117"/>
      <c r="M36" s="117"/>
      <c r="N36" s="117"/>
      <c r="Q36" s="147"/>
      <c r="R36" s="147"/>
      <c r="S36" s="147"/>
      <c r="T36" s="147"/>
      <c r="U36" s="200"/>
      <c r="V36" s="200"/>
    </row>
    <row r="37" spans="1:27">
      <c r="B37" s="7"/>
      <c r="C37" s="201"/>
      <c r="D37" s="201"/>
      <c r="E37" s="202"/>
      <c r="F37" s="202"/>
      <c r="I37" s="117"/>
      <c r="J37" s="117"/>
      <c r="M37" s="117"/>
      <c r="N37" s="117"/>
      <c r="Q37" s="147"/>
      <c r="R37" s="147"/>
      <c r="S37" s="147"/>
      <c r="T37" s="147"/>
      <c r="U37" s="200"/>
      <c r="V37" s="200"/>
    </row>
    <row r="38" spans="1:27">
      <c r="B38" s="7"/>
      <c r="C38" s="201"/>
      <c r="D38" s="201"/>
      <c r="E38" s="202"/>
      <c r="F38" s="202"/>
    </row>
    <row r="39" spans="1:27" ht="18">
      <c r="A39" s="237"/>
      <c r="B39" s="579" t="s">
        <v>260</v>
      </c>
      <c r="C39" s="579"/>
      <c r="D39" s="579"/>
      <c r="E39" s="579"/>
      <c r="F39" s="579"/>
      <c r="G39" s="579"/>
      <c r="H39" s="579"/>
      <c r="I39" s="237"/>
      <c r="J39" s="237"/>
      <c r="N39" s="48"/>
    </row>
    <row r="40" spans="1:27">
      <c r="B40" s="7"/>
      <c r="C40" s="480" t="str">
        <f>'Res Bill Impact'!C40</f>
        <v>2025 Recorded Average Basic Bundled Non-CARE Customer Bill</v>
      </c>
      <c r="D40" s="481"/>
      <c r="E40" s="481"/>
      <c r="F40" s="481"/>
      <c r="G40" s="481"/>
      <c r="H40" s="482"/>
      <c r="L40" s="480" t="str">
        <f>'Res Bill Impact'!N40</f>
        <v xml:space="preserve">2025 Recorded Average All-Electric Bundled Non-CARE Customer </v>
      </c>
      <c r="M40" s="481"/>
      <c r="N40" s="481"/>
      <c r="O40" s="481"/>
      <c r="P40" s="481"/>
      <c r="Q40" s="482"/>
      <c r="R40" s="448"/>
      <c r="S40" s="448"/>
      <c r="T40" s="448"/>
      <c r="U40" s="448"/>
    </row>
    <row r="41" spans="1:27">
      <c r="B41" s="7"/>
      <c r="C41" s="577" t="str">
        <f>C30</f>
        <v>10/1/2025</v>
      </c>
      <c r="D41" s="577"/>
      <c r="E41" s="578" t="str">
        <f>D30</f>
        <v>1/1/26</v>
      </c>
      <c r="F41" s="577"/>
      <c r="G41" s="577" t="str">
        <f>E30</f>
        <v>Proposed</v>
      </c>
      <c r="H41" s="577"/>
      <c r="I41" s="578"/>
      <c r="J41" s="577"/>
      <c r="K41" s="7"/>
      <c r="L41" s="254" t="str">
        <f>C41</f>
        <v>10/1/2025</v>
      </c>
      <c r="M41" s="254"/>
      <c r="N41" s="255" t="str">
        <f>E41</f>
        <v>1/1/26</v>
      </c>
      <c r="O41" s="254"/>
      <c r="P41" s="254" t="str">
        <f>G41</f>
        <v>Proposed</v>
      </c>
      <c r="Q41" s="254"/>
      <c r="R41" s="448"/>
      <c r="S41" s="448"/>
      <c r="T41" s="448"/>
      <c r="U41" s="448"/>
    </row>
    <row r="42" spans="1:27">
      <c r="B42" s="7"/>
      <c r="C42" s="201" t="s">
        <v>192</v>
      </c>
      <c r="D42" s="201" t="s">
        <v>193</v>
      </c>
      <c r="E42" s="201" t="s">
        <v>192</v>
      </c>
      <c r="F42" s="201" t="s">
        <v>193</v>
      </c>
      <c r="G42" s="201" t="s">
        <v>192</v>
      </c>
      <c r="H42" s="201" t="s">
        <v>193</v>
      </c>
      <c r="I42" s="201"/>
      <c r="J42" s="201"/>
      <c r="K42" s="7"/>
      <c r="L42" s="201" t="s">
        <v>192</v>
      </c>
      <c r="M42" s="201" t="s">
        <v>193</v>
      </c>
      <c r="N42" s="201" t="s">
        <v>192</v>
      </c>
      <c r="O42" s="201" t="s">
        <v>193</v>
      </c>
      <c r="P42" s="201" t="s">
        <v>192</v>
      </c>
      <c r="Q42" s="201" t="s">
        <v>193</v>
      </c>
    </row>
    <row r="43" spans="1:27">
      <c r="B43" s="136" t="s">
        <v>125</v>
      </c>
      <c r="C43" s="203">
        <f>$F$15+IF($Q22&gt;$I22,C$22*$I22+C$23*($Q22-$I22),$Q22*C$22)+('Hypothetical SAR and RAR'!$C$21*$Q22)</f>
        <v>149.179345124598</v>
      </c>
      <c r="D43" s="203">
        <f>$F$15+IF($R22&gt;$J22,C$25*$J22+C$26*($R22-$J22),$R22*C$25)+('Hypothetical SAR and RAR'!$C$21*$R22)</f>
        <v>139.77061140466148</v>
      </c>
      <c r="E43" s="203">
        <f>$F$15+IF($Q22&gt;$I22,D$22*$I22+D$23*($Q22-$I22),$Q22*D$22)+('Hypothetical SAR and RAR'!$C$21*$Q22)</f>
        <v>164.84994309576589</v>
      </c>
      <c r="F43" s="203">
        <f>$F$15+IF($R22&gt;$J22,D$25*$J22+D$26*($R22-$J22),$R22*D$25)+('Hypothetical SAR and RAR'!$C$21*$R22)</f>
        <v>154.26522704999164</v>
      </c>
      <c r="G43" s="203">
        <f>$F$15+IF($Q22&gt;$I22,E$22*$I22+E$23*($Q22-$I22),$Q22*E$22)+('Hypothetical SAR and RAR'!$C$21*$Q22)</f>
        <v>164.84994309576589</v>
      </c>
      <c r="H43" s="203">
        <f>$F$15+IF($R22&gt;$J22,E$25*$J22+E$26*($R22-$J22),$R22*E$25)+('Hypothetical SAR and RAR'!$C$21*$R22)</f>
        <v>154.26522704999164</v>
      </c>
      <c r="I43" s="247"/>
      <c r="J43" s="247"/>
      <c r="K43" s="136" t="s">
        <v>125</v>
      </c>
      <c r="L43" s="203">
        <f>$F$15+IF($Q31&gt;$L22,C$22*$L22+C$23*($Q31-$L22),$Q31*C$22)+('Hypothetical SAR and RAR'!$C$21*$Q31)</f>
        <v>134.77089436499384</v>
      </c>
      <c r="M43" s="203">
        <f>$F$15+IF($R31&gt;$M22,C$25*$M22+C$26*($R31-$M22),$R31*C$25)+('Hypothetical SAR and RAR'!$C$21*$R31)</f>
        <v>126.02206160723932</v>
      </c>
      <c r="N43" s="203">
        <f>$F$15+IF($Q31&gt;$L22,D$22*$L22+D$23*($Q31-$L22),$Q31*D$22)+('Hypothetical SAR and RAR'!$C$21*$Q31)</f>
        <v>148.64217187488833</v>
      </c>
      <c r="O43" s="203">
        <f>$F$15+IF($R31&gt;$M22,D$22*$M22+D$23*($R31-$M22),$R31*D$22)+('Hypothetical SAR and RAR'!$C$21*$R31)</f>
        <v>138.79826837323114</v>
      </c>
      <c r="P43" s="203">
        <f>$F$15+IF($Q31&gt;$L22,E$22*$L22+E$23*($Q31-$L22),$Q31*E$22)+('Hypothetical SAR and RAR'!$C$21*$Q31)</f>
        <v>148.64217187488833</v>
      </c>
      <c r="Q43" s="203">
        <f>$F$15+IF($R31&gt;$M22,E$25*$M22+E$26*($R31-$M22),$R31*E$25)+('Hypothetical SAR and RAR'!$C$21*$R31)</f>
        <v>138.79826837323114</v>
      </c>
      <c r="R43" s="447"/>
      <c r="S43" s="447"/>
      <c r="T43" s="447"/>
      <c r="U43" s="447"/>
      <c r="W43" s="447"/>
      <c r="X43" s="447"/>
      <c r="Y43" s="447"/>
      <c r="Z43" s="447"/>
    </row>
    <row r="44" spans="1:27">
      <c r="B44" s="139" t="s">
        <v>197</v>
      </c>
      <c r="C44" s="203">
        <f>$F$15+IF($Q23&gt;$I23,C$22*$I23+C$23*($Q23-$I23),$Q23*C$22)+('Hypothetical SAR and RAR'!$C$21*$Q23)</f>
        <v>162.87556846508571</v>
      </c>
      <c r="D44" s="203">
        <f>$F$15+IF($R23&gt;$J23,C$25*$J23+C$26*($R23-$J23),$R23*C$25)+('Hypothetical SAR and RAR'!$C$21*$R23)</f>
        <v>144.14235153671208</v>
      </c>
      <c r="E44" s="203">
        <f>$F$15+IF($Q23&gt;$I23,D$22*$I23+D$23*($Q23-$I23),$Q23*D$22)+('Hypothetical SAR and RAR'!$C$21*$Q23)</f>
        <v>180.25803511684043</v>
      </c>
      <c r="F44" s="203">
        <f>$F$15+IF($R23&gt;$J23,D$25*$J23+D$26*($R23-$J23),$R23*D$25)+('Hypothetical SAR and RAR'!$C$21*$R23)</f>
        <v>159.18338387120343</v>
      </c>
      <c r="G44" s="203">
        <f>$F$15+IF($Q23&gt;$I23,E$22*$I23+E$23*($Q23-$I23),$Q23*E$22)+('Hypothetical SAR and RAR'!$C$21*$Q23)</f>
        <v>180.25803511684043</v>
      </c>
      <c r="H44" s="203">
        <f>$F$15+IF($R23&gt;$J23,E$25*$J23+E$26*($R23-$J23),$R23*E$25)+('Hypothetical SAR and RAR'!$C$21*$R23)</f>
        <v>159.18338387120343</v>
      </c>
      <c r="I44" s="247"/>
      <c r="J44" s="247"/>
      <c r="K44" s="139" t="s">
        <v>197</v>
      </c>
      <c r="L44" s="203">
        <f>$F$15+IF($Q32&gt;$L23,C$22*$L23+C$23*($Q32-$L23),$Q32*C$22)+('Hypothetical SAR and RAR'!$C$21*$Q32)</f>
        <v>171.4204017514933</v>
      </c>
      <c r="M44" s="203">
        <f>$F$15+IF($R32&gt;$M23,C$25*$M23+C$26*($R32-$M23),$R32*C$25)+('Hypothetical SAR and RAR'!$C$21*$R32)</f>
        <v>195.24472319901923</v>
      </c>
      <c r="N44" s="203">
        <f>$F$15+IF($Q32&gt;$L23,D$22*$L23+D$23*($Q32-$L23),$Q32*D$22)+('Hypothetical SAR and RAR'!$C$21*$Q32)</f>
        <v>189.87087321889641</v>
      </c>
      <c r="O44" s="203">
        <f>$F$15+IF($R32&gt;$M23,D$22*$M23+D$23*($R32-$M23),$R32*D$22)+('Hypothetical SAR and RAR'!$C$21*$R32)</f>
        <v>216.67295785765839</v>
      </c>
      <c r="P44" s="203">
        <f>$F$15+IF($Q32&gt;$L23,E$22*$L23+E$23*($Q32-$L23),$Q32*E$22)+('Hypothetical SAR and RAR'!$C$21*$Q32)</f>
        <v>189.87087321889641</v>
      </c>
      <c r="Q44" s="203">
        <f>$F$15+IF($R32&gt;$M23,E$25*$M23+E$26*($R32-$M23),$R32*E$25)+('Hypothetical SAR and RAR'!$C$21*$R32)</f>
        <v>216.67295785765839</v>
      </c>
      <c r="R44" s="447"/>
      <c r="S44" s="447"/>
      <c r="T44" s="447"/>
      <c r="U44" s="447"/>
      <c r="W44" s="447"/>
      <c r="X44" s="447"/>
      <c r="Y44" s="447"/>
      <c r="Z44" s="447"/>
    </row>
    <row r="45" spans="1:27">
      <c r="B45" s="139" t="s">
        <v>198</v>
      </c>
      <c r="C45" s="203">
        <f>$F$15+IF($Q24&gt;$I24,C$22*$I24+C$23*($Q24-$I24),$Q24*C$22)+('Hypothetical SAR and RAR'!$C$21*$Q24)</f>
        <v>174.15382796085916</v>
      </c>
      <c r="D45" s="203">
        <f>$F$15+IF($R24&gt;$J24,C$25*$J24+C$26*($R24-$J24),$R24*C$25)+('Hypothetical SAR and RAR'!$C$21*$R24)</f>
        <v>81.447272303340526</v>
      </c>
      <c r="E45" s="203">
        <f>$F$15+IF($Q24&gt;$I24,D$22*$I24+D$23*($Q24-$I24),$Q24*D$22)+('Hypothetical SAR and RAR'!$C$21*$Q24)</f>
        <v>192.94594592468556</v>
      </c>
      <c r="F45" s="203">
        <f>$F$15+IF($R24&gt;$J24,D$25*$J24+D$26*($R24-$J24),$R24*D$25)+('Hypothetical SAR and RAR'!$C$21*$R24)</f>
        <v>88.652148648081862</v>
      </c>
      <c r="G45" s="203">
        <f>$F$15+IF($Q24&gt;$I24,E$22*$I24+E$23*($Q24-$I24),$Q24*E$22)+('Hypothetical SAR and RAR'!$C$21*$Q24)</f>
        <v>192.94594592468556</v>
      </c>
      <c r="H45" s="203">
        <f>$F$15+IF($R24&gt;$J24,E$25*$J24+E$26*($R24-$J24),$R24*E$25)+('Hypothetical SAR and RAR'!$C$21*$R24)</f>
        <v>88.652148648081862</v>
      </c>
      <c r="I45" s="247"/>
      <c r="J45" s="247"/>
      <c r="K45" s="139" t="s">
        <v>198</v>
      </c>
      <c r="L45" s="203">
        <f>$F$15+IF($Q33&gt;$L24,C$22*$L24+C$23*($Q33-$L24),$Q33*C$22)+('Hypothetical SAR and RAR'!$C$21*$Q33)</f>
        <v>154.14575242227701</v>
      </c>
      <c r="M45" s="203">
        <f>$F$15+IF($R33&gt;$M24,C$25*$M24+C$26*($R33-$M24),$R33*C$25)+('Hypothetical SAR and RAR'!$C$21*$R33)</f>
        <v>90.816841330058963</v>
      </c>
      <c r="N45" s="203">
        <f>$F$15+IF($Q33&gt;$L24,D$22*$L24+D$23*($Q33-$L24),$Q33*D$22)+('Hypothetical SAR and RAR'!$C$21*$Q33)</f>
        <v>170.43709356450597</v>
      </c>
      <c r="O45" s="203">
        <f>$F$15+IF($R33&gt;$M24,D$22*$M24+D$23*($R33-$M24),$R33*D$22)+('Hypothetical SAR and RAR'!$C$21*$R33)</f>
        <v>99.192804869327915</v>
      </c>
      <c r="P45" s="203">
        <f>$F$15+IF($Q33&gt;$L24,E$22*$L24+E$23*($Q33-$L24),$Q33*E$22)+('Hypothetical SAR and RAR'!$C$21*$Q33)</f>
        <v>170.43709356450597</v>
      </c>
      <c r="Q45" s="203">
        <f>$F$15+IF($R33&gt;$M24,E$25*$M24+E$26*($R33-$M24),$R33*E$25)+('Hypothetical SAR and RAR'!$C$21*$R33)</f>
        <v>99.192804869327915</v>
      </c>
      <c r="R45" s="447"/>
      <c r="S45" s="447"/>
      <c r="T45" s="447"/>
      <c r="U45" s="447"/>
      <c r="W45" s="447"/>
      <c r="X45" s="447"/>
      <c r="Y45" s="447"/>
      <c r="Z45" s="447"/>
      <c r="AA45" s="10"/>
    </row>
    <row r="46" spans="1:27">
      <c r="B46" s="142" t="s">
        <v>199</v>
      </c>
      <c r="C46" s="203">
        <f>$F$15+IF($Q25&gt;$I25,C$22*$I25+C$23*($Q25-$I25),$Q25*C$22)+('Hypothetical SAR and RAR'!$C$21*$Q25)</f>
        <v>145.71290155588812</v>
      </c>
      <c r="D46" s="203">
        <f>$F$15+IF($R25&gt;$J25,C$25*$J25+C$26*($R25-$J25),$R25*C$25)+('Hypothetical SAR and RAR'!$C$21*$R25)</f>
        <v>126.22942772375224</v>
      </c>
      <c r="E46" s="203">
        <f>$F$15+IF($Q25&gt;$I25,D$22*$I25+D$23*($Q25-$I25),$Q25*D$22)+('Hypothetical SAR and RAR'!$C$21*$Q25)</f>
        <v>160.9502343830251</v>
      </c>
      <c r="F46" s="203">
        <f>$F$15+IF($R25&gt;$J25,D$25*$J25+D$26*($R25-$J25),$R25*D$25)+('Hypothetical SAR and RAR'!$C$21*$R25)</f>
        <v>139.03155284339883</v>
      </c>
      <c r="G46" s="203">
        <f>$F$15+IF($Q25&gt;$I25,E$22*$I25+E$23*($Q25-$I25),$Q25*E$22)+('Hypothetical SAR and RAR'!$C$21*$Q25)</f>
        <v>160.9502343830251</v>
      </c>
      <c r="H46" s="203">
        <f>$F$15+IF($R25&gt;$J25,E$25*$J25+E$26*($R25-$J25),$R25*E$25)+('Hypothetical SAR and RAR'!$C$21*$R25)</f>
        <v>139.03155284339883</v>
      </c>
      <c r="I46" s="247"/>
      <c r="J46" s="247"/>
      <c r="K46" s="142" t="s">
        <v>199</v>
      </c>
      <c r="L46" s="203">
        <f>$F$15+IF($Q34&gt;$L25,C$22*$L25+C$23*($Q34-$L25),$Q34*C$22)+('Hypothetical SAR and RAR'!$C$21*$Q34)</f>
        <v>147.92602544579867</v>
      </c>
      <c r="M46" s="203">
        <f>$F$15+IF($R34&gt;$M25,C$25*$M25+C$26*($R34-$M25),$R34*C$25)+('Hypothetical SAR and RAR'!$C$21*$R34)</f>
        <v>146.70463844583614</v>
      </c>
      <c r="N46" s="203">
        <f>$F$15+IF($Q34&gt;$L25,D$22*$L25+D$23*($Q34-$L25),$Q34*D$22)+('Hypothetical SAR and RAR'!$C$21*$Q34)</f>
        <v>163.43997302863966</v>
      </c>
      <c r="O46" s="203">
        <f>$F$15+IF($R34&gt;$M25,D$22*$M25+D$23*($R34-$M25),$R34*D$22)+('Hypothetical SAR and RAR'!$C$21*$R34)</f>
        <v>162.06592685394455</v>
      </c>
      <c r="P46" s="203">
        <f>$F$15+IF($Q34&gt;$L25,E$22*$L25+E$23*($Q34-$L25),$Q34*E$22)+('Hypothetical SAR and RAR'!$C$21*$Q34)</f>
        <v>163.43997302863966</v>
      </c>
      <c r="Q46" s="203">
        <f>$F$15+IF($R34&gt;$M25,E$25*$M25+E$26*($R34-$M25),$R34*E$25)+('Hypothetical SAR and RAR'!$C$21*$R34)</f>
        <v>162.06592685394455</v>
      </c>
      <c r="R46" s="447"/>
      <c r="S46" s="447"/>
      <c r="T46" s="447"/>
      <c r="U46" s="447"/>
      <c r="W46" s="447"/>
      <c r="X46" s="447"/>
      <c r="Y46" s="447"/>
      <c r="Z46" s="447"/>
    </row>
    <row r="47" spans="1:27" s="10" customFormat="1">
      <c r="B47" s="6" t="s">
        <v>112</v>
      </c>
      <c r="C47" s="204">
        <f t="shared" ref="C47:H47" si="4">SUMPRODUCT(C43:C46,$U$22:$U$25)</f>
        <v>147.94529523050306</v>
      </c>
      <c r="D47" s="204">
        <f t="shared" si="4"/>
        <v>134.36051249768127</v>
      </c>
      <c r="E47" s="204">
        <f t="shared" si="4"/>
        <v>163.46165131239499</v>
      </c>
      <c r="F47" s="204">
        <f t="shared" si="4"/>
        <v>148.17892867929805</v>
      </c>
      <c r="G47" s="204">
        <f>SUMPRODUCT(G43:G46,$U$22:$U$25)</f>
        <v>163.46165131239499</v>
      </c>
      <c r="H47" s="204">
        <f t="shared" si="4"/>
        <v>148.17892867929805</v>
      </c>
      <c r="I47" s="248"/>
      <c r="J47" s="248"/>
      <c r="K47" s="6" t="s">
        <v>112</v>
      </c>
      <c r="L47" s="204">
        <f t="shared" ref="L47:Q47" si="5">SUMPRODUCT(L43:L46,$U$31:$U$34)</f>
        <v>140.76426617073204</v>
      </c>
      <c r="M47" s="204">
        <f t="shared" si="5"/>
        <v>135.31636308605206</v>
      </c>
      <c r="N47" s="204">
        <f t="shared" si="5"/>
        <v>155.38399278041103</v>
      </c>
      <c r="O47" s="204">
        <f t="shared" si="5"/>
        <v>149.2542494781695</v>
      </c>
      <c r="P47" s="204">
        <f t="shared" si="5"/>
        <v>155.38399278041103</v>
      </c>
      <c r="Q47" s="204">
        <f t="shared" si="5"/>
        <v>149.2542494781695</v>
      </c>
      <c r="R47" s="447"/>
      <c r="S47" s="447"/>
      <c r="T47" s="447"/>
      <c r="U47" s="447"/>
      <c r="W47" s="447"/>
      <c r="X47" s="447"/>
      <c r="Y47" s="447"/>
      <c r="Z47" s="447"/>
      <c r="AA47" s="6"/>
    </row>
    <row r="48" spans="1:27">
      <c r="B48" s="7"/>
      <c r="C48" s="369"/>
      <c r="D48" s="369"/>
      <c r="E48" s="369"/>
      <c r="F48" s="369"/>
      <c r="G48" s="145"/>
      <c r="H48" s="145"/>
      <c r="I48" s="145"/>
      <c r="J48" s="145"/>
      <c r="K48" s="7"/>
      <c r="L48" s="201"/>
      <c r="M48" s="201"/>
      <c r="N48" s="202"/>
      <c r="O48" s="144"/>
      <c r="P48" s="145"/>
      <c r="Q48" s="145"/>
    </row>
    <row r="49" spans="2:27">
      <c r="B49" s="7"/>
      <c r="C49" s="201"/>
      <c r="D49" s="201"/>
      <c r="E49" s="202"/>
      <c r="F49" s="201"/>
      <c r="G49" s="145"/>
      <c r="H49" s="145"/>
      <c r="I49" s="145"/>
      <c r="J49" s="145"/>
      <c r="K49" s="7"/>
      <c r="L49" s="201"/>
      <c r="M49" s="201"/>
      <c r="N49" s="202"/>
      <c r="O49" s="201"/>
      <c r="P49" s="145"/>
      <c r="Q49" s="145"/>
    </row>
    <row r="50" spans="2:27">
      <c r="B50" s="7"/>
      <c r="C50" s="480" t="str">
        <f>'Res Bill Impact'!C50</f>
        <v>2025 Recorded Average Basic Bundled CARE Customer Bill</v>
      </c>
      <c r="D50" s="365"/>
      <c r="E50" s="365"/>
      <c r="F50" s="365"/>
      <c r="G50" s="365"/>
      <c r="H50" s="474"/>
      <c r="K50" s="7"/>
      <c r="L50" s="480" t="str">
        <f>'Res Bill Impact'!N50</f>
        <v xml:space="preserve">2025 Recorded Average All-Electric Bundled CARE Customer </v>
      </c>
      <c r="M50" s="481"/>
      <c r="N50" s="481"/>
      <c r="O50" s="481"/>
      <c r="P50" s="481"/>
      <c r="Q50" s="482"/>
    </row>
    <row r="51" spans="2:27">
      <c r="B51" s="7"/>
      <c r="C51" s="577" t="str">
        <f>C30</f>
        <v>10/1/2025</v>
      </c>
      <c r="D51" s="577"/>
      <c r="E51" s="578" t="str">
        <f>D30</f>
        <v>1/1/26</v>
      </c>
      <c r="F51" s="577"/>
      <c r="G51" s="577" t="str">
        <f>E30</f>
        <v>Proposed</v>
      </c>
      <c r="H51" s="577"/>
      <c r="I51" s="575"/>
      <c r="J51" s="576"/>
      <c r="K51" s="7"/>
      <c r="L51" s="254" t="str">
        <f>L41</f>
        <v>10/1/2025</v>
      </c>
      <c r="M51" s="254"/>
      <c r="N51" s="255" t="str">
        <f>N41</f>
        <v>1/1/26</v>
      </c>
      <c r="O51" s="254"/>
      <c r="P51" s="254" t="str">
        <f>P41</f>
        <v>Proposed</v>
      </c>
      <c r="Q51" s="254"/>
    </row>
    <row r="52" spans="2:27">
      <c r="B52" s="7"/>
      <c r="C52" s="201" t="s">
        <v>192</v>
      </c>
      <c r="D52" s="201" t="s">
        <v>193</v>
      </c>
      <c r="E52" s="201" t="s">
        <v>192</v>
      </c>
      <c r="F52" s="201" t="s">
        <v>193</v>
      </c>
      <c r="G52" s="201" t="s">
        <v>192</v>
      </c>
      <c r="H52" s="201" t="s">
        <v>193</v>
      </c>
      <c r="I52" s="247"/>
      <c r="J52" s="247"/>
      <c r="K52" s="7"/>
      <c r="L52" s="201" t="s">
        <v>192</v>
      </c>
      <c r="M52" s="201" t="s">
        <v>193</v>
      </c>
      <c r="N52" s="201" t="s">
        <v>192</v>
      </c>
      <c r="O52" s="201" t="s">
        <v>193</v>
      </c>
      <c r="P52" s="201" t="s">
        <v>192</v>
      </c>
      <c r="Q52" s="201" t="s">
        <v>193</v>
      </c>
    </row>
    <row r="53" spans="2:27">
      <c r="B53" s="136" t="s">
        <v>125</v>
      </c>
      <c r="C53" s="203">
        <f>$Q$15+IF($S22&gt;$I22,C$31*$I22+C$32*($S22-$I22),$S22*C$31)+('Hypothetical SAR and RAR'!$C$21*$S22)</f>
        <v>85.023779829299997</v>
      </c>
      <c r="D53" s="203">
        <f>$Q$15+IF($T22&gt;$J22,C$34*$J22+C$35*($T22-$J22),$T22*C$34)+('Hypothetical SAR and RAR'!$C$21*$T22)</f>
        <v>78.112093791150002</v>
      </c>
      <c r="E53" s="203">
        <f>$Q$15+IF($S22&gt;$I22,D$31*$I22+D$32*($S22-$I22),$S22*D$31)+('Hypothetical SAR and RAR'!$C$21*$S22)</f>
        <v>93.217667719699989</v>
      </c>
      <c r="F53" s="203">
        <f>$Q$15+IF($T22&gt;$J22,D$34*$J22+D$35*($T22-$J22),$T22*D$34)+('Hypothetical SAR and RAR'!$C$21*$T22)</f>
        <v>85.590096628349997</v>
      </c>
      <c r="G53" s="203">
        <f>$Q$15+IF($S22&gt;$I22,E$31*$I22+E$32*($S22-$I22),$S22*E$31)+('Hypothetical SAR and RAR'!$C$21*$S22)</f>
        <v>93.217667719699989</v>
      </c>
      <c r="H53" s="203">
        <f>$Q$15+IF($T22&gt;$J22,E$34*$J22+E$35*($T22-$J22),$T22*E$34)+('Hypothetical SAR and RAR'!$C$21*$T22)</f>
        <v>85.590096628349997</v>
      </c>
      <c r="I53" s="247"/>
      <c r="J53" s="247"/>
      <c r="K53" s="136" t="s">
        <v>125</v>
      </c>
      <c r="L53" s="203">
        <f>$Q$15+IF($S31&gt;$L22,C$31*$L22+C$32*($S31-$L22),$S31*C$31)+('Hypothetical SAR and RAR'!$C$21*$S31)</f>
        <v>80.041141654400008</v>
      </c>
      <c r="M53" s="203">
        <f>$Q$15+IF($T31&gt;$M22,C$34*$M22+C$35*($T31-$M22),$T31*C$34)+('Hypothetical SAR and RAR'!$C$21*$T31)</f>
        <v>74.330774989739993</v>
      </c>
      <c r="N53" s="203">
        <f>$Q$15+IF($S31&gt;$L22,D$31*$L22+D$32*($S31-$L22),$S31*D$31)+('Hypothetical SAR and RAR'!$C$21*$S31)</f>
        <v>87.797993536319993</v>
      </c>
      <c r="O53" s="203">
        <f>$Q$15+IF($T31&gt;$M22,D$34*$M22+D$35*($T31-$M22),$T31*D$34)+('Hypothetical SAR and RAR'!$C$21*$T31)</f>
        <v>81.417123808459991</v>
      </c>
      <c r="P53" s="203">
        <f>$Q$15+IF($S31&gt;$L22,E$31*$L22+E$32*($S31-$L22),$S31*E$31)+('Hypothetical SAR and RAR'!$C$21*$S31)</f>
        <v>87.797993536319993</v>
      </c>
      <c r="Q53" s="203">
        <f>$Q$15+IF($T31&gt;$M22,E$34*$M22+E$35*($T31-$M22),$T31*E$34)+('Hypothetical SAR and RAR'!$C$21*$T31)</f>
        <v>81.417123808459991</v>
      </c>
      <c r="R53" s="447"/>
      <c r="S53" s="447"/>
      <c r="T53" s="447"/>
      <c r="U53" s="447"/>
      <c r="W53" s="447"/>
      <c r="X53" s="447"/>
      <c r="Y53" s="447"/>
      <c r="Z53" s="447"/>
    </row>
    <row r="54" spans="2:27">
      <c r="B54" s="139" t="s">
        <v>197</v>
      </c>
      <c r="C54" s="203">
        <f>$Q$15+IF($S23&gt;$I23,C$31*$I23+C$32*($S23-$I23),$S23*C$31)+('Hypothetical SAR and RAR'!$C$21*$S23)</f>
        <v>153.12343374400004</v>
      </c>
      <c r="D54" s="203">
        <f>$Q$15+IF($T23&gt;$J23,C$34*$J23+C$35*($T23-$J23),$T23*C$34)+('Hypothetical SAR and RAR'!$C$21*$T23)</f>
        <v>136.57104135280002</v>
      </c>
      <c r="E54" s="203">
        <f>$Q$15+IF($S23&gt;$I23,D$31*$I23+D$32*($S23-$I23),$S23*D$31)+('Hypothetical SAR and RAR'!$C$21*$S23)</f>
        <v>168.45978802320002</v>
      </c>
      <c r="F54" s="203">
        <f>$Q$15+IF($T23&gt;$J23,D$34*$J23+D$35*($T23-$J23),$T23*D$34)+('Hypothetical SAR and RAR'!$C$21*$T23)</f>
        <v>150.14795151083999</v>
      </c>
      <c r="G54" s="203">
        <f>$Q$15+IF($S23&gt;$I23,E$31*$I23+E$32*($S23-$I23),$S23*E$31)+('Hypothetical SAR and RAR'!$C$21*$S23)</f>
        <v>168.45978802320002</v>
      </c>
      <c r="H54" s="203">
        <f>$Q$15+IF($T23&gt;$J23,E$34*$J23+E$35*($T23-$J23),$T23*E$34)+('Hypothetical SAR and RAR'!$C$21*$T23)</f>
        <v>150.14795151083999</v>
      </c>
      <c r="I54" s="247"/>
      <c r="J54" s="247"/>
      <c r="K54" s="139" t="s">
        <v>197</v>
      </c>
      <c r="L54" s="203">
        <f>$Q$15+IF($S32&gt;$L23,C$31*$L23+C$32*($S32-$L23),$S32*C$31)+('Hypothetical SAR and RAR'!$C$21*$S32)</f>
        <v>154.85591140160003</v>
      </c>
      <c r="M54" s="203">
        <f>$Q$15+IF($T32&gt;$M23,C$34*$M23+C$35*($T32-$M23),$T32*C$34)+('Hypothetical SAR and RAR'!$C$21*$T32)</f>
        <v>171.99805626972002</v>
      </c>
      <c r="N54" s="203">
        <f>$Q$15+IF($S32&gt;$L23,D$31*$L23+D$32*($S32-$L23),$S32*D$31)+('Hypothetical SAR and RAR'!$C$21*$S32)</f>
        <v>170.31178798048003</v>
      </c>
      <c r="O54" s="203">
        <f>$Q$15+IF($T32&gt;$M23,D$34*$M23+D$35*($T32-$M23),$T32*D$34)+('Hypothetical SAR and RAR'!$C$21*$T32)</f>
        <v>189.20039508988</v>
      </c>
      <c r="P54" s="203">
        <f>$Q$15+IF($S32&gt;$L23,E$31*$L23+E$32*($S32-$L23),$S32*E$31)+('Hypothetical SAR and RAR'!$C$21*$S32)</f>
        <v>170.31178798048003</v>
      </c>
      <c r="Q54" s="203">
        <f>$Q$15+IF($T32&gt;$M23,E$34*$M23+E$35*($T32-$M23),$T32*E$34)+('Hypothetical SAR and RAR'!$C$21*$T32)</f>
        <v>189.20039508988</v>
      </c>
      <c r="R54" s="447"/>
      <c r="S54" s="447"/>
      <c r="T54" s="447"/>
      <c r="U54" s="447"/>
      <c r="W54" s="447"/>
      <c r="X54" s="447"/>
      <c r="Y54" s="447"/>
      <c r="Z54" s="447"/>
    </row>
    <row r="55" spans="2:27">
      <c r="B55" s="139" t="s">
        <v>198</v>
      </c>
      <c r="C55" s="203">
        <f>$Q$15+IF($S24&gt;$I24,C$31*$I24+C$32*($S24-$I24),$S24*C$31)+('Hypothetical SAR and RAR'!$C$21*$S24)</f>
        <v>164.36219320960001</v>
      </c>
      <c r="D55" s="203">
        <f>$Q$15+IF($T24&gt;$J24,C$34*$J24+C$35*($T24-$J24),$T24*C$34)+('Hypothetical SAR and RAR'!$C$21*$T24)</f>
        <v>82.988896302810019</v>
      </c>
      <c r="E55" s="203">
        <f>$Q$15+IF($S24&gt;$I24,D$31*$I24+D$32*($S24-$I24),$S24*D$31)+('Hypothetical SAR and RAR'!$C$21*$S24)</f>
        <v>180.81619932287998</v>
      </c>
      <c r="F55" s="203">
        <f>$Q$15+IF($T24&gt;$J24,D$34*$J24+D$35*($T24-$J24),$T24*D$34)+('Hypothetical SAR and RAR'!$C$21*$T24)</f>
        <v>90.972019020490009</v>
      </c>
      <c r="G55" s="203">
        <f>$Q$15+IF($S24&gt;$I24,E$31*$I24+E$32*($S24-$I24),$S24*E$31)+('Hypothetical SAR and RAR'!$C$21*$S24)</f>
        <v>180.81619932287998</v>
      </c>
      <c r="H55" s="203">
        <f>$Q$15+IF($T24&gt;$J24,E$34*$J24+E$35*($T24-$J24),$T24*E$34)+('Hypothetical SAR and RAR'!$C$21*$T24)</f>
        <v>90.972019020490009</v>
      </c>
      <c r="I55" s="247"/>
      <c r="J55" s="247"/>
      <c r="K55" s="139" t="s">
        <v>198</v>
      </c>
      <c r="L55" s="203">
        <f>$Q$15+IF($S33&gt;$L24,C$31*$L24+C$32*($S33-$L24),$S33*C$31)+('Hypothetical SAR and RAR'!$C$21*$S33)</f>
        <v>178.54831217040004</v>
      </c>
      <c r="M55" s="203">
        <f>$Q$15+IF($T33&gt;$M24,C$34*$M24+C$35*($T33-$M24),$T33*C$34)+('Hypothetical SAR and RAR'!$C$21*$T33)</f>
        <v>100.70846280882</v>
      </c>
      <c r="N55" s="203">
        <f>$Q$15+IF($S33&gt;$L24,D$31*$L24+D$32*($S33-$L24),$S33*D$31)+('Hypothetical SAR and RAR'!$C$21*$S33)</f>
        <v>196.48998116612003</v>
      </c>
      <c r="O55" s="203">
        <f>$Q$15+IF($T33&gt;$M24,D$34*$M24+D$35*($T33-$M24),$T33*D$34)+('Hypothetical SAR and RAR'!$C$21*$T33)</f>
        <v>110.52690801378</v>
      </c>
      <c r="P55" s="203">
        <f>$Q$15+IF($S33&gt;$L24,E$31*$L24+E$32*($S33-$L24),$S33*E$31)+('Hypothetical SAR and RAR'!$C$21*$S33)</f>
        <v>196.48998116612003</v>
      </c>
      <c r="Q55" s="203">
        <f>$Q$15+IF($T33&gt;$M24,E$34*$M24+E$35*($T33-$M24),$T33*E$34)+('Hypothetical SAR and RAR'!$C$21*$T33)</f>
        <v>110.52690801378</v>
      </c>
      <c r="R55" s="447"/>
      <c r="S55" s="447"/>
      <c r="T55" s="447"/>
      <c r="U55" s="447"/>
      <c r="W55" s="447"/>
      <c r="X55" s="447"/>
      <c r="Y55" s="447"/>
      <c r="Z55" s="447"/>
    </row>
    <row r="56" spans="2:27">
      <c r="B56" s="142" t="s">
        <v>199</v>
      </c>
      <c r="C56" s="203">
        <f>$Q$15+IF($S25&gt;$I25,C$31*$I25+C$32*($S25-$I25),$S25*C$31)+('Hypothetical SAR and RAR'!$C$21*$S25)</f>
        <v>109.85723574720001</v>
      </c>
      <c r="D56" s="203">
        <f>$Q$15+IF($T25&gt;$J25,C$34*$J25+C$35*($T25-$J25),$T25*C$34)+('Hypothetical SAR and RAR'!$C$21*$T25)</f>
        <v>88.06756697469001</v>
      </c>
      <c r="E56" s="203">
        <f>$Q$15+IF($S25&gt;$I25,D$31*$I25+D$32*($S25-$I25),$S25*D$31)+('Hypothetical SAR and RAR'!$C$21*$S25)</f>
        <v>120.65197274416001</v>
      </c>
      <c r="F56" s="203">
        <f>$Q$15+IF($T25&gt;$J25,D$34*$J25+D$35*($T25-$J25),$T25*D$34)+('Hypothetical SAR and RAR'!$C$21*$T25)</f>
        <v>96.576718277010002</v>
      </c>
      <c r="G56" s="203">
        <f>$Q$15+IF($S25&gt;$I25,E$31*$I25+E$32*($S25-$I25),$S25*E$31)+('Hypothetical SAR and RAR'!$C$21*$S25)</f>
        <v>120.65197274416001</v>
      </c>
      <c r="H56" s="203">
        <f>$Q$15+IF($T25&gt;$J25,E$34*$J25+E$35*($T25-$J25),$T25*E$34)+('Hypothetical SAR and RAR'!$C$21*$T25)</f>
        <v>96.576718277010002</v>
      </c>
      <c r="I56" s="247"/>
      <c r="J56" s="247"/>
      <c r="K56" s="142" t="s">
        <v>199</v>
      </c>
      <c r="L56" s="203">
        <f>$Q$15+IF($S34&gt;$L25,C$31*$L25+C$32*($S34-$L25),$S34*C$31)+('Hypothetical SAR and RAR'!$C$21*$S34)</f>
        <v>102.7556683304</v>
      </c>
      <c r="M56" s="203">
        <f>$Q$15+IF($T34&gt;$M25,C$34*$M25+C$35*($T34-$M25),$T34*C$34)+('Hypothetical SAR and RAR'!$C$21*$T34)</f>
        <v>89.079887580840008</v>
      </c>
      <c r="N56" s="203">
        <f>$Q$15+IF($S34&gt;$L25,D$31*$L25+D$32*($S34-$L25),$S34*D$31)+('Hypothetical SAR and RAR'!$C$21*$S34)</f>
        <v>112.85291451411999</v>
      </c>
      <c r="O56" s="203">
        <f>$Q$15+IF($T34&gt;$M25,D$34*$M25+D$35*($T34-$M25),$T34*D$34)+('Hypothetical SAR and RAR'!$C$21*$T34)</f>
        <v>97.69389104036</v>
      </c>
      <c r="P56" s="203">
        <f>$Q$15+IF($S34&gt;$L25,E$31*$L25+E$32*($S34-$L25),$S34*E$31)+('Hypothetical SAR and RAR'!$C$21*$S34)</f>
        <v>112.85291451411999</v>
      </c>
      <c r="Q56" s="203">
        <f>$Q$15+IF($T34&gt;$M25,E$34*$M25+E$35*($T34-$M25),$T34*E$34)+('Hypothetical SAR and RAR'!$C$21*$T34)</f>
        <v>97.69389104036</v>
      </c>
      <c r="R56" s="447"/>
      <c r="S56" s="447"/>
      <c r="T56" s="447"/>
      <c r="U56" s="447"/>
      <c r="W56" s="447"/>
      <c r="X56" s="447"/>
      <c r="Y56" s="447"/>
      <c r="Z56" s="447"/>
    </row>
    <row r="57" spans="2:27">
      <c r="B57" s="6" t="s">
        <v>112</v>
      </c>
      <c r="C57" s="204">
        <f t="shared" ref="C57:H57" si="6">SUMPRODUCT(C53:C56,$V$22:$V$25)</f>
        <v>97.857669431949361</v>
      </c>
      <c r="D57" s="204">
        <f t="shared" si="6"/>
        <v>83.463251050850189</v>
      </c>
      <c r="E57" s="204">
        <f t="shared" si="6"/>
        <v>107.39567808410057</v>
      </c>
      <c r="F57" s="204">
        <f t="shared" si="6"/>
        <v>91.495854826951131</v>
      </c>
      <c r="G57" s="204">
        <f t="shared" si="6"/>
        <v>107.39567808410057</v>
      </c>
      <c r="H57" s="204">
        <f t="shared" si="6"/>
        <v>91.495854826951131</v>
      </c>
      <c r="I57" s="204"/>
      <c r="J57" s="204"/>
      <c r="K57" s="6" t="s">
        <v>112</v>
      </c>
      <c r="L57" s="204">
        <f t="shared" ref="L57:Q57" si="7">SUMPRODUCT(L53:L56,$V$31:$V$34)</f>
        <v>93.606518471680062</v>
      </c>
      <c r="M57" s="204">
        <f t="shared" si="7"/>
        <v>83.703394410603806</v>
      </c>
      <c r="N57" s="204">
        <f t="shared" si="7"/>
        <v>102.76107447184262</v>
      </c>
      <c r="O57" s="204">
        <f t="shared" si="7"/>
        <v>91.760522011185884</v>
      </c>
      <c r="P57" s="204">
        <f t="shared" si="7"/>
        <v>102.76107447184262</v>
      </c>
      <c r="Q57" s="204">
        <f t="shared" si="7"/>
        <v>91.760522011185884</v>
      </c>
      <c r="R57" s="447"/>
      <c r="S57" s="447"/>
      <c r="T57" s="447"/>
      <c r="U57" s="447"/>
      <c r="W57" s="447"/>
      <c r="X57" s="447"/>
      <c r="Y57" s="447"/>
      <c r="Z57" s="447"/>
    </row>
    <row r="58" spans="2:27">
      <c r="B58" s="7"/>
      <c r="C58" s="369"/>
      <c r="D58" s="369"/>
      <c r="E58" s="369"/>
      <c r="F58" s="369"/>
      <c r="G58" s="145"/>
      <c r="H58" s="145"/>
      <c r="I58" s="145"/>
      <c r="J58" s="145"/>
      <c r="K58" s="7"/>
      <c r="L58" s="201"/>
      <c r="M58" s="201"/>
      <c r="N58" s="202"/>
      <c r="O58" s="201"/>
      <c r="P58" s="145"/>
      <c r="Q58" s="145"/>
    </row>
    <row r="59" spans="2:27">
      <c r="B59" s="7"/>
      <c r="C59" s="201"/>
      <c r="D59" s="201"/>
      <c r="E59" s="202"/>
      <c r="G59" s="145"/>
      <c r="H59" s="145"/>
      <c r="I59" s="145"/>
      <c r="K59" s="7"/>
      <c r="L59" s="201"/>
      <c r="M59" s="201"/>
      <c r="N59" s="202"/>
      <c r="P59" s="145"/>
      <c r="Q59" s="145"/>
    </row>
    <row r="60" spans="2:27">
      <c r="B60" s="7"/>
      <c r="C60" s="568" t="s">
        <v>268</v>
      </c>
      <c r="D60" s="568"/>
      <c r="E60" s="568"/>
      <c r="F60" s="568"/>
      <c r="G60" s="568"/>
      <c r="H60" s="568"/>
      <c r="K60" s="7"/>
      <c r="L60" s="568" t="s">
        <v>273</v>
      </c>
      <c r="M60" s="568"/>
      <c r="N60" s="568"/>
      <c r="O60" s="568"/>
      <c r="P60" s="568"/>
      <c r="Q60" s="568"/>
    </row>
    <row r="61" spans="2:27">
      <c r="B61" s="7"/>
      <c r="C61" s="577" t="str">
        <f>C51</f>
        <v>10/1/2025</v>
      </c>
      <c r="D61" s="577"/>
      <c r="E61" s="578" t="str">
        <f>D30</f>
        <v>1/1/26</v>
      </c>
      <c r="F61" s="577"/>
      <c r="G61" s="577" t="str">
        <f>G51</f>
        <v>Proposed</v>
      </c>
      <c r="H61" s="577"/>
      <c r="I61" s="575"/>
      <c r="J61" s="576"/>
      <c r="K61" s="7"/>
      <c r="L61" s="254" t="str">
        <f>L51</f>
        <v>10/1/2025</v>
      </c>
      <c r="M61" s="254"/>
      <c r="N61" s="255" t="str">
        <f>N51</f>
        <v>1/1/26</v>
      </c>
      <c r="O61" s="254"/>
      <c r="P61" s="254" t="str">
        <f>P51</f>
        <v>Proposed</v>
      </c>
      <c r="Q61" s="254"/>
    </row>
    <row r="62" spans="2:27" ht="15" customHeight="1">
      <c r="B62" s="7"/>
      <c r="C62" s="201" t="s">
        <v>192</v>
      </c>
      <c r="D62" s="201" t="s">
        <v>193</v>
      </c>
      <c r="E62" s="201" t="s">
        <v>192</v>
      </c>
      <c r="F62" s="201" t="s">
        <v>193</v>
      </c>
      <c r="G62" s="201" t="s">
        <v>192</v>
      </c>
      <c r="H62" s="201" t="s">
        <v>193</v>
      </c>
      <c r="I62" s="247"/>
      <c r="J62" s="247"/>
      <c r="K62" s="7"/>
      <c r="L62" s="201" t="s">
        <v>192</v>
      </c>
      <c r="M62" s="201" t="s">
        <v>193</v>
      </c>
      <c r="N62" s="201" t="s">
        <v>192</v>
      </c>
      <c r="O62" s="201" t="s">
        <v>193</v>
      </c>
      <c r="P62" s="201" t="s">
        <v>192</v>
      </c>
      <c r="Q62" s="201" t="s">
        <v>193</v>
      </c>
    </row>
    <row r="63" spans="2:27" ht="15" customHeight="1">
      <c r="B63" s="136" t="s">
        <v>125</v>
      </c>
      <c r="C63" s="203">
        <f>$F$15+($C$22*$I31)+('Hypothetical SAR and RAR'!$C$21*$I31)</f>
        <v>125.04435190793733</v>
      </c>
      <c r="D63" s="203">
        <f>$F$15+($C$25*$J31)+('Hypothetical SAR and RAR'!$C$21*$J31)</f>
        <v>127.29416195033593</v>
      </c>
      <c r="E63" s="203">
        <f>$F$15+($D$22*$I31)+('Hypothetical SAR and RAR'!$C$21*$I31)</f>
        <v>137.69835632870357</v>
      </c>
      <c r="F63" s="203">
        <f>$F$15+($D$25*$J31)+('Hypothetical SAR and RAR'!$C$21*$J31)</f>
        <v>140.22936646934141</v>
      </c>
      <c r="G63" s="203">
        <f>$F$15+($E$22*$I31)+('Hypothetical SAR and RAR'!$C$21*$I31)</f>
        <v>137.69835632870357</v>
      </c>
      <c r="H63" s="203">
        <f>$F$15+($E$25*$J31)+('Hypothetical SAR and RAR'!$C$21*$J31)</f>
        <v>140.22936646934141</v>
      </c>
      <c r="I63" s="247"/>
      <c r="J63" s="247"/>
      <c r="K63" s="136" t="s">
        <v>125</v>
      </c>
      <c r="L63" s="203">
        <f>$F$15+($C$22*$L31)+('Hypothetical SAR and RAR'!$C$21*$L31)</f>
        <v>91.672169612357976</v>
      </c>
      <c r="M63" s="203">
        <f>$F$15+($C$25*$M31)+('Hypothetical SAR and RAR'!$C$21*$M31)</f>
        <v>122.79454186553872</v>
      </c>
      <c r="N63" s="203">
        <f>$F$15+($D$22*$L31)+('Hypothetical SAR and RAR'!$C$21*$L31)</f>
        <v>100.15503924257534</v>
      </c>
      <c r="O63" s="203">
        <f>$F$15+($D$25*$M31)+('Hypothetical SAR and RAR'!$C$21*$M31)</f>
        <v>135.16734618806572</v>
      </c>
      <c r="P63" s="203">
        <f>$F$15+($E$22*$L31)+('Hypothetical SAR and RAR'!$C$21*$L31)</f>
        <v>100.15503924257534</v>
      </c>
      <c r="Q63" s="203">
        <f>$F$15+($E$25*$M31)+('Hypothetical SAR and RAR'!$C$21*$M31)</f>
        <v>135.16734618806572</v>
      </c>
      <c r="R63" s="447"/>
      <c r="S63" s="447"/>
      <c r="T63" s="447"/>
      <c r="U63" s="447"/>
      <c r="W63" s="447"/>
      <c r="X63" s="447"/>
      <c r="Y63" s="447"/>
      <c r="Z63" s="447"/>
      <c r="AA63" s="10"/>
    </row>
    <row r="64" spans="2:27">
      <c r="B64" s="139" t="s">
        <v>197</v>
      </c>
      <c r="C64" s="203">
        <f>$F$15+($C$22*$I32)+('Hypothetical SAR and RAR'!$C$21*$I32)</f>
        <v>176.7899828831053</v>
      </c>
      <c r="D64" s="203">
        <f>$F$15+($C$25*$J32)+('Hypothetical SAR and RAR'!$C$21*$J32)</f>
        <v>168.91564773471018</v>
      </c>
      <c r="E64" s="203">
        <f>$F$15+($D$22*$I32)+('Hypothetical SAR and RAR'!$C$21*$I32)</f>
        <v>195.91158956337424</v>
      </c>
      <c r="F64" s="203">
        <f>$F$15+($D$25*$J32)+('Hypothetical SAR and RAR'!$C$21*$J32)</f>
        <v>187.05305407114176</v>
      </c>
      <c r="G64" s="203">
        <f>$F$15+($E$22*$I32)+('Hypothetical SAR and RAR'!$C$21*$I32)</f>
        <v>195.91158956337424</v>
      </c>
      <c r="H64" s="203">
        <f>$F$15+($E$25*$J32)+('Hypothetical SAR and RAR'!$C$21*$J32)</f>
        <v>187.05305407114176</v>
      </c>
      <c r="I64" s="247"/>
      <c r="J64" s="247"/>
      <c r="K64" s="139" t="s">
        <v>197</v>
      </c>
      <c r="L64" s="203">
        <f>$F$15+($C$22*$L32)+('Hypothetical SAR and RAR'!$C$21*$L32)</f>
        <v>194.78846322229415</v>
      </c>
      <c r="M64" s="203">
        <f>$F$15+($C$25*$M32)+('Hypothetical SAR and RAR'!$C$21*$M32)</f>
        <v>272.78187802544591</v>
      </c>
      <c r="N64" s="203">
        <f>$F$15+($D$22*$L32)+('Hypothetical SAR and RAR'!$C$21*$L32)</f>
        <v>216.15967068847709</v>
      </c>
      <c r="O64" s="203">
        <f>$F$15+($D$25*$M32)+('Hypothetical SAR and RAR'!$C$21*$M32)</f>
        <v>303.90135556392283</v>
      </c>
      <c r="P64" s="203">
        <f>$F$15+($E$22*$L32)+('Hypothetical SAR and RAR'!$C$21*$L32)</f>
        <v>216.15967068847709</v>
      </c>
      <c r="Q64" s="203">
        <f>$F$15+($E$25*$M32)+('Hypothetical SAR and RAR'!$C$21*$M32)</f>
        <v>303.90135556392283</v>
      </c>
      <c r="R64" s="447"/>
      <c r="S64" s="447"/>
      <c r="T64" s="447"/>
      <c r="U64" s="447"/>
      <c r="W64" s="447"/>
      <c r="X64" s="447"/>
      <c r="Y64" s="447"/>
      <c r="Z64" s="447"/>
    </row>
    <row r="65" spans="2:27" s="10" customFormat="1" ht="15" customHeight="1">
      <c r="B65" s="139" t="s">
        <v>198</v>
      </c>
      <c r="C65" s="203">
        <f>$F$15+($C$22*$I33)+('Hypothetical SAR and RAR'!$C$21*$I33)</f>
        <v>202.66279837068927</v>
      </c>
      <c r="D65" s="203">
        <f>$F$15+($C$25*$J33)+('Hypothetical SAR and RAR'!$C$21*$J33)</f>
        <v>146.4175473107241</v>
      </c>
      <c r="E65" s="203">
        <f>$F$15+($D$22*$I33)+('Hypothetical SAR and RAR'!$C$21*$I33)</f>
        <v>225.01820618070963</v>
      </c>
      <c r="F65" s="203">
        <f>$F$15+($D$25*$J33)+('Hypothetical SAR and RAR'!$C$21*$J33)</f>
        <v>161.74295266476318</v>
      </c>
      <c r="G65" s="203">
        <f>$F$15+($E$22*$I33)+('Hypothetical SAR and RAR'!$C$21*$I33)</f>
        <v>225.01820618070963</v>
      </c>
      <c r="H65" s="203">
        <f>$F$15+($E$25*$J33)+('Hypothetical SAR and RAR'!$C$21*$J33)</f>
        <v>161.74295266476318</v>
      </c>
      <c r="I65" s="247"/>
      <c r="J65" s="247"/>
      <c r="K65" s="139" t="s">
        <v>198</v>
      </c>
      <c r="L65" s="203">
        <f>$F$15+($C$22*$L33)+('Hypothetical SAR and RAR'!$C$21*$L33)</f>
        <v>214.66178526348185</v>
      </c>
      <c r="M65" s="203">
        <f>$F$15+($C$25*$M33)+('Hypothetical SAR and RAR'!$C$21*$M33)</f>
        <v>216.16165862508092</v>
      </c>
      <c r="N65" s="203">
        <f>$F$15+($D$22*$L33)+('Hypothetical SAR and RAR'!$C$21*$L33)</f>
        <v>238.51692693077817</v>
      </c>
      <c r="O65" s="203">
        <f>$F$15+($D$25*$M33)+('Hypothetical SAR and RAR'!$C$21*$M33)</f>
        <v>240.20426702453676</v>
      </c>
      <c r="P65" s="203">
        <f>$F$15+($E$22*$L33)+('Hypothetical SAR and RAR'!$C$21*$L33)</f>
        <v>238.51692693077817</v>
      </c>
      <c r="Q65" s="203">
        <f>$F$15+($E$25*$M33)+('Hypothetical SAR and RAR'!$C$21*$M33)</f>
        <v>240.20426702453676</v>
      </c>
      <c r="R65" s="447"/>
      <c r="S65" s="447"/>
      <c r="T65" s="447"/>
      <c r="U65" s="447"/>
      <c r="W65" s="447"/>
      <c r="X65" s="447"/>
      <c r="Y65" s="447"/>
      <c r="Z65" s="447"/>
      <c r="AA65" s="6"/>
    </row>
    <row r="66" spans="2:27">
      <c r="B66" s="142" t="s">
        <v>199</v>
      </c>
      <c r="C66" s="203">
        <f>$F$15+($C$22*$I34)+('Hypothetical SAR and RAR'!$C$21*$I34)</f>
        <v>140.79302220472761</v>
      </c>
      <c r="D66" s="203">
        <f>$F$15+($C$25*$J34)+('Hypothetical SAR and RAR'!$C$21*$J34)</f>
        <v>131.79378203513318</v>
      </c>
      <c r="E66" s="203">
        <f>$F$15+($D$22*$I34)+('Hypothetical SAR and RAR'!$C$21*$I34)</f>
        <v>155.41542731316855</v>
      </c>
      <c r="F66" s="203">
        <f>$F$15+($D$25*$J34)+('Hypothetical SAR and RAR'!$C$21*$J34)</f>
        <v>145.29138675061714</v>
      </c>
      <c r="G66" s="203">
        <f>$F$15+($E$22*$I34)+('Hypothetical SAR and RAR'!$C$21*$I34)</f>
        <v>155.41542731316855</v>
      </c>
      <c r="H66" s="203">
        <f>$F$15+($E$25*$J34)+('Hypothetical SAR and RAR'!$C$21*$J34)</f>
        <v>145.29138675061714</v>
      </c>
      <c r="I66" s="247"/>
      <c r="J66" s="247"/>
      <c r="K66" s="142" t="s">
        <v>199</v>
      </c>
      <c r="L66" s="203">
        <f>$F$15+($C$22*$L34)+('Hypothetical SAR and RAR'!$C$21*$L34)</f>
        <v>122.04460518473918</v>
      </c>
      <c r="M66" s="203">
        <f>$F$15+($C$25*$M34)+('Hypothetical SAR and RAR'!$C$21*$M34)</f>
        <v>160.6663442459153</v>
      </c>
      <c r="N66" s="203">
        <f>$F$15+($D$22*$L34)+('Hypothetical SAR and RAR'!$C$21*$L34)</f>
        <v>134.32367614118641</v>
      </c>
      <c r="O66" s="203">
        <f>$F$15+($D$25*$M34)+('Hypothetical SAR and RAR'!$C$21*$M34)</f>
        <v>177.77268355546963</v>
      </c>
      <c r="P66" s="203">
        <f>$F$15+($E$22*$L34)+('Hypothetical SAR and RAR'!$C$21*$L34)</f>
        <v>134.32367614118641</v>
      </c>
      <c r="Q66" s="203">
        <f>$F$15+($E$25*$M34)+('Hypothetical SAR and RAR'!$C$21*$M34)</f>
        <v>177.77268355546963</v>
      </c>
      <c r="R66" s="447"/>
      <c r="S66" s="447"/>
      <c r="T66" s="447"/>
      <c r="U66" s="447"/>
      <c r="W66" s="447"/>
      <c r="X66" s="447"/>
      <c r="Y66" s="447"/>
      <c r="Z66" s="447"/>
    </row>
    <row r="67" spans="2:27">
      <c r="B67" s="6" t="s">
        <v>112</v>
      </c>
      <c r="C67" s="204">
        <f t="shared" ref="C67:H67" si="8">SUMPRODUCT(C63:C66,$U$22:$U$25)</f>
        <v>131.8266717930581</v>
      </c>
      <c r="D67" s="204">
        <f t="shared" si="8"/>
        <v>129.45486505846577</v>
      </c>
      <c r="E67" s="204">
        <f t="shared" si="8"/>
        <v>145.32838734589509</v>
      </c>
      <c r="F67" s="204">
        <f t="shared" si="8"/>
        <v>142.66013234491459</v>
      </c>
      <c r="G67" s="204">
        <f t="shared" si="8"/>
        <v>145.32838734589509</v>
      </c>
      <c r="H67" s="204">
        <f t="shared" si="8"/>
        <v>142.66013234491459</v>
      </c>
      <c r="I67" s="248"/>
      <c r="J67" s="248"/>
      <c r="K67" s="6" t="s">
        <v>112</v>
      </c>
      <c r="L67" s="204">
        <f t="shared" ref="L67:Q67" si="9">SUMPRODUCT(L63:L66,$U$31:$U$34)</f>
        <v>106.32857362376443</v>
      </c>
      <c r="M67" s="204">
        <f t="shared" si="9"/>
        <v>141.17507204844424</v>
      </c>
      <c r="N67" s="204">
        <f t="shared" si="9"/>
        <v>116.64332335504474</v>
      </c>
      <c r="O67" s="204">
        <f t="shared" si="9"/>
        <v>155.8452289455077</v>
      </c>
      <c r="P67" s="204">
        <f t="shared" si="9"/>
        <v>116.64332335504474</v>
      </c>
      <c r="Q67" s="204">
        <f t="shared" si="9"/>
        <v>155.8452289455077</v>
      </c>
      <c r="R67" s="447"/>
      <c r="S67" s="447"/>
      <c r="T67" s="447"/>
      <c r="U67" s="447"/>
      <c r="W67" s="447"/>
      <c r="X67" s="447"/>
      <c r="Y67" s="447"/>
      <c r="Z67" s="447"/>
    </row>
    <row r="68" spans="2:27">
      <c r="B68" s="7"/>
      <c r="C68" s="369"/>
      <c r="D68" s="369"/>
      <c r="E68" s="369"/>
      <c r="F68" s="369"/>
      <c r="G68" s="145"/>
      <c r="H68" s="145"/>
      <c r="I68" s="145"/>
      <c r="J68" s="145"/>
      <c r="K68" s="7"/>
      <c r="L68" s="201"/>
      <c r="M68" s="201"/>
      <c r="N68" s="202"/>
      <c r="O68" s="144"/>
      <c r="P68" s="145"/>
      <c r="Q68" s="145"/>
    </row>
    <row r="69" spans="2:27">
      <c r="B69" s="7"/>
      <c r="C69" s="201"/>
      <c r="D69" s="201"/>
      <c r="E69" s="202"/>
      <c r="F69" s="201"/>
      <c r="G69" s="145"/>
      <c r="H69" s="145"/>
      <c r="I69" s="145"/>
      <c r="J69" s="145"/>
      <c r="K69" s="7"/>
      <c r="L69" s="201"/>
      <c r="M69" s="201"/>
      <c r="N69" s="202"/>
      <c r="O69" s="201"/>
      <c r="P69" s="145"/>
      <c r="Q69" s="145"/>
    </row>
    <row r="70" spans="2:27">
      <c r="B70" s="7"/>
      <c r="C70" s="568" t="s">
        <v>269</v>
      </c>
      <c r="D70" s="568"/>
      <c r="E70" s="568"/>
      <c r="F70" s="568"/>
      <c r="G70" s="568"/>
      <c r="H70" s="568"/>
      <c r="K70" s="7"/>
      <c r="L70" s="568" t="s">
        <v>274</v>
      </c>
      <c r="M70" s="568"/>
      <c r="N70" s="568"/>
      <c r="O70" s="568"/>
      <c r="P70" s="568"/>
      <c r="Q70" s="568"/>
    </row>
    <row r="71" spans="2:27">
      <c r="B71" s="7"/>
      <c r="C71" s="577" t="str">
        <f>C51</f>
        <v>10/1/2025</v>
      </c>
      <c r="D71" s="577"/>
      <c r="E71" s="578" t="str">
        <f>E61</f>
        <v>1/1/26</v>
      </c>
      <c r="F71" s="577"/>
      <c r="G71" s="577" t="str">
        <f>G61</f>
        <v>Proposed</v>
      </c>
      <c r="H71" s="577"/>
      <c r="I71" s="578"/>
      <c r="J71" s="577"/>
      <c r="K71" s="7"/>
      <c r="L71" s="254" t="str">
        <f>L51</f>
        <v>10/1/2025</v>
      </c>
      <c r="M71" s="254"/>
      <c r="N71" s="255" t="str">
        <f>N61</f>
        <v>1/1/26</v>
      </c>
      <c r="O71" s="254"/>
      <c r="P71" s="254" t="str">
        <f>P61</f>
        <v>Proposed</v>
      </c>
      <c r="Q71" s="254"/>
    </row>
    <row r="72" spans="2:27">
      <c r="B72" s="7"/>
      <c r="C72" s="201" t="s">
        <v>192</v>
      </c>
      <c r="D72" s="201" t="s">
        <v>193</v>
      </c>
      <c r="E72" s="201" t="s">
        <v>192</v>
      </c>
      <c r="F72" s="201" t="s">
        <v>193</v>
      </c>
      <c r="G72" s="201" t="s">
        <v>192</v>
      </c>
      <c r="H72" s="201" t="s">
        <v>193</v>
      </c>
      <c r="I72" s="201"/>
      <c r="J72" s="201"/>
      <c r="K72" s="7"/>
      <c r="L72" s="201" t="s">
        <v>192</v>
      </c>
      <c r="M72" s="201" t="s">
        <v>193</v>
      </c>
      <c r="N72" s="201" t="s">
        <v>192</v>
      </c>
      <c r="O72" s="201" t="s">
        <v>193</v>
      </c>
      <c r="P72" s="201" t="s">
        <v>192</v>
      </c>
      <c r="Q72" s="201" t="s">
        <v>193</v>
      </c>
    </row>
    <row r="73" spans="2:27">
      <c r="B73" s="136" t="s">
        <v>125</v>
      </c>
      <c r="C73" s="203">
        <f>$Q$15+($C$31*$I31)+('Hypothetical SAR and RAR'!$C$21*$I31)</f>
        <v>70.770600000000002</v>
      </c>
      <c r="D73" s="203">
        <f>$Q$15+($C$34*$J31)+('Hypothetical SAR and RAR'!$C$21*$J31)</f>
        <v>72.211860000000001</v>
      </c>
      <c r="E73" s="203">
        <f>$Q$15+($D$31*$I31)+('Hypothetical SAR and RAR'!$C$21*$I31)</f>
        <v>77.488199999999992</v>
      </c>
      <c r="F73" s="203">
        <f>$Q$15+($D$34*$J31)+('Hypothetical SAR and RAR'!$C$21*$J31)</f>
        <v>79.078739999999996</v>
      </c>
      <c r="G73" s="203">
        <f>$Q$15+($E$31*$I31)+('Hypothetical SAR and RAR'!$C$21*$I31)</f>
        <v>77.488199999999992</v>
      </c>
      <c r="H73" s="203">
        <f>$Q$15+($E$34*$J31)+('Hypothetical SAR and RAR'!$C$21*$J31)</f>
        <v>79.078739999999996</v>
      </c>
      <c r="I73" s="247"/>
      <c r="J73" s="247"/>
      <c r="K73" s="136" t="s">
        <v>125</v>
      </c>
      <c r="L73" s="203">
        <f>$Q$15+($C$31*$L31)+('Hypothetical SAR and RAR'!$C$21*$L31)</f>
        <v>49.391909999999996</v>
      </c>
      <c r="M73" s="203">
        <f>$Q$15+($C$34*$M31)+('Hypothetical SAR and RAR'!$C$21*$M31)</f>
        <v>69.329340000000002</v>
      </c>
      <c r="N73" s="203">
        <f>$Q$15+($D$31*$L31)+('Hypothetical SAR and RAR'!$C$21*$L31)</f>
        <v>53.895189999999992</v>
      </c>
      <c r="O73" s="203">
        <f>$Q$15+($D$34*$M31)+('Hypothetical SAR and RAR'!$C$21*$M31)</f>
        <v>75.897659999999988</v>
      </c>
      <c r="P73" s="203">
        <f>$Q$15+($E$31*$L31)+('Hypothetical SAR and RAR'!$C$21*$L31)</f>
        <v>53.895189999999992</v>
      </c>
      <c r="Q73" s="203">
        <f>$Q$15+($E$34*$M31)+('Hypothetical SAR and RAR'!$C$21*$M31)</f>
        <v>75.897659999999988</v>
      </c>
      <c r="R73" s="447"/>
      <c r="S73" s="447"/>
      <c r="T73" s="447"/>
      <c r="U73" s="447"/>
      <c r="W73" s="447"/>
      <c r="X73" s="447"/>
      <c r="Y73" s="447"/>
      <c r="Z73" s="447"/>
    </row>
    <row r="74" spans="2:27">
      <c r="B74" s="139" t="s">
        <v>197</v>
      </c>
      <c r="C74" s="203">
        <f>$Q$15+($C$31*$I32)+('Hypothetical SAR and RAR'!$C$21*$I32)</f>
        <v>103.91958</v>
      </c>
      <c r="D74" s="203">
        <f>$Q$15+($C$34*$J32)+('Hypothetical SAR and RAR'!$C$21*$J32)</f>
        <v>98.875169999999997</v>
      </c>
      <c r="E74" s="203">
        <f>$Q$15+($D$31*$I32)+('Hypothetical SAR and RAR'!$C$21*$I32)</f>
        <v>114.07061999999999</v>
      </c>
      <c r="F74" s="203">
        <f>$Q$15+($D$34*$J32)+('Hypothetical SAR and RAR'!$C$21*$J32)</f>
        <v>108.50372999999999</v>
      </c>
      <c r="G74" s="203">
        <f>$Q$15+($E$31*$I32)+('Hypothetical SAR and RAR'!$C$21*$I32)</f>
        <v>114.07061999999999</v>
      </c>
      <c r="H74" s="203">
        <f>$Q$15+($E$34*$J32)+('Hypothetical SAR and RAR'!$C$21*$J32)</f>
        <v>108.50372999999999</v>
      </c>
      <c r="I74" s="247"/>
      <c r="J74" s="247"/>
      <c r="K74" s="139" t="s">
        <v>197</v>
      </c>
      <c r="L74" s="203">
        <f>$Q$15+($C$31*$L32)+('Hypothetical SAR and RAR'!$C$21*$L32)</f>
        <v>115.44966000000001</v>
      </c>
      <c r="M74" s="203">
        <f>$Q$15+($C$34*$M32)+('Hypothetical SAR and RAR'!$C$21*$M32)</f>
        <v>165.41334000000001</v>
      </c>
      <c r="N74" s="203">
        <f>$Q$15+($D$31*$L32)+('Hypothetical SAR and RAR'!$C$21*$L32)</f>
        <v>126.79494</v>
      </c>
      <c r="O74" s="203">
        <f>$Q$15+($D$34*$M32)+('Hypothetical SAR and RAR'!$C$21*$M32)</f>
        <v>181.93366</v>
      </c>
      <c r="P74" s="203">
        <f>$Q$15+($E$31*$L32)+('Hypothetical SAR and RAR'!$C$21*$L32)</f>
        <v>126.79494</v>
      </c>
      <c r="Q74" s="203">
        <f>$Q$15+($E$34*$M32)+('Hypothetical SAR and RAR'!$C$21*$M32)</f>
        <v>181.93366</v>
      </c>
      <c r="R74" s="447"/>
      <c r="S74" s="447"/>
      <c r="T74" s="447"/>
      <c r="U74" s="447"/>
      <c r="W74" s="447"/>
      <c r="X74" s="447"/>
      <c r="Y74" s="447"/>
      <c r="Z74" s="447"/>
    </row>
    <row r="75" spans="2:27">
      <c r="B75" s="139" t="s">
        <v>198</v>
      </c>
      <c r="C75" s="203">
        <f>$Q$15+($C$31*$I33)+('Hypothetical SAR and RAR'!$C$21*$I33)</f>
        <v>120.49407000000001</v>
      </c>
      <c r="D75" s="203">
        <f>$Q$15+($C$34*$J33)+('Hypothetical SAR and RAR'!$C$21*$J33)</f>
        <v>84.462569999999999</v>
      </c>
      <c r="E75" s="203">
        <f>$Q$15+($D$31*$I33)+('Hypothetical SAR and RAR'!$C$21*$I33)</f>
        <v>132.36183</v>
      </c>
      <c r="F75" s="203">
        <f>$Q$15+($D$34*$J33)+('Hypothetical SAR and RAR'!$C$21*$J33)</f>
        <v>92.59832999999999</v>
      </c>
      <c r="G75" s="203">
        <f>$Q$15+($E$31*$I33)+('Hypothetical SAR and RAR'!$C$21*$I33)</f>
        <v>132.36183</v>
      </c>
      <c r="H75" s="203">
        <f>$Q$15+($E$34*$J33)+('Hypothetical SAR and RAR'!$C$21*$J33)</f>
        <v>92.59832999999999</v>
      </c>
      <c r="I75" s="247"/>
      <c r="J75" s="247"/>
      <c r="K75" s="139" t="s">
        <v>198</v>
      </c>
      <c r="L75" s="203">
        <f>$Q$15+($C$31*$L33)+('Hypothetical SAR and RAR'!$C$21*$L33)</f>
        <v>128.18079</v>
      </c>
      <c r="M75" s="203">
        <f>$Q$15+($C$34*$M33)+('Hypothetical SAR and RAR'!$C$21*$M33)</f>
        <v>129.14163000000002</v>
      </c>
      <c r="N75" s="203">
        <f>$Q$15+($D$31*$L33)+('Hypothetical SAR and RAR'!$C$21*$L33)</f>
        <v>140.84470999999999</v>
      </c>
      <c r="O75" s="203">
        <f>$Q$15+($D$34*$M33)+('Hypothetical SAR and RAR'!$C$21*$M33)</f>
        <v>141.90507000000002</v>
      </c>
      <c r="P75" s="203">
        <f>$Q$15+($E$31*$L33)+('Hypothetical SAR and RAR'!$C$21*$L33)</f>
        <v>140.84470999999999</v>
      </c>
      <c r="Q75" s="203">
        <f>$Q$15+($E$34*$M33)+('Hypothetical SAR and RAR'!$C$21*$M33)</f>
        <v>141.90507000000002</v>
      </c>
      <c r="R75" s="447"/>
      <c r="S75" s="447"/>
      <c r="T75" s="447"/>
      <c r="U75" s="447"/>
      <c r="W75" s="447"/>
      <c r="X75" s="447"/>
      <c r="Y75" s="447"/>
      <c r="Z75" s="447"/>
    </row>
    <row r="76" spans="2:27">
      <c r="B76" s="142" t="s">
        <v>199</v>
      </c>
      <c r="C76" s="203">
        <f>$Q$15+($C$31*$I34)+('Hypothetical SAR and RAR'!$C$21*$I34)</f>
        <v>80.85942</v>
      </c>
      <c r="D76" s="203">
        <f>$Q$15+($C$34*$J34)+('Hypothetical SAR and RAR'!$C$21*$J34)</f>
        <v>75.094380000000001</v>
      </c>
      <c r="E76" s="203">
        <f>$Q$15+($D$31*$I34)+('Hypothetical SAR and RAR'!$C$21*$I34)</f>
        <v>88.621979999999994</v>
      </c>
      <c r="F76" s="203">
        <f>$Q$15+($D$34*$J34)+('Hypothetical SAR and RAR'!$C$21*$J34)</f>
        <v>82.259819999999991</v>
      </c>
      <c r="G76" s="203">
        <f>$Q$15+($E$31*$I34)+('Hypothetical SAR and RAR'!$C$21*$I34)</f>
        <v>88.621979999999994</v>
      </c>
      <c r="H76" s="203">
        <f>$Q$15+($E$34*$J34)+('Hypothetical SAR and RAR'!$C$21*$J34)</f>
        <v>82.259819999999991</v>
      </c>
      <c r="I76" s="247"/>
      <c r="J76" s="247"/>
      <c r="K76" s="142" t="s">
        <v>199</v>
      </c>
      <c r="L76" s="203">
        <f>$Q$15+($C$31*$L34)+('Hypothetical SAR and RAR'!$C$21*$L34)</f>
        <v>68.848920000000007</v>
      </c>
      <c r="M76" s="203">
        <f>$Q$15+($C$34*$M34)+('Hypothetical SAR and RAR'!$C$21*$M34)</f>
        <v>93.590549999999993</v>
      </c>
      <c r="N76" s="203">
        <f>$Q$15+($D$31*$L34)+('Hypothetical SAR and RAR'!$C$21*$L34)</f>
        <v>75.36748</v>
      </c>
      <c r="O76" s="203">
        <f>$Q$15+($D$34*$M34)+('Hypothetical SAR and RAR'!$C$21*$M34)</f>
        <v>102.67174999999999</v>
      </c>
      <c r="P76" s="203">
        <f>$Q$15+($E$31*$L34)+('Hypothetical SAR and RAR'!$C$21*$L34)</f>
        <v>75.36748</v>
      </c>
      <c r="Q76" s="203">
        <f>$Q$15+($E$34*$M34)+('Hypothetical SAR and RAR'!$C$21*$M34)</f>
        <v>102.67174999999999</v>
      </c>
      <c r="R76" s="447"/>
      <c r="S76" s="447"/>
      <c r="T76" s="447"/>
      <c r="U76" s="447"/>
      <c r="W76" s="447"/>
      <c r="X76" s="447"/>
      <c r="Y76" s="447"/>
      <c r="Z76" s="447"/>
    </row>
    <row r="77" spans="2:27">
      <c r="B77" s="6" t="s">
        <v>112</v>
      </c>
      <c r="C77" s="204">
        <f t="shared" ref="C77:H77" si="10">SUMPRODUCT(C73:C76,$V$22:$V$25)</f>
        <v>76.054919174212856</v>
      </c>
      <c r="D77" s="204">
        <f t="shared" si="10"/>
        <v>73.855253006439199</v>
      </c>
      <c r="E77" s="204">
        <f t="shared" si="10"/>
        <v>83.319848015869795</v>
      </c>
      <c r="F77" s="204">
        <f t="shared" si="10"/>
        <v>80.892349142321137</v>
      </c>
      <c r="G77" s="204">
        <f t="shared" si="10"/>
        <v>83.319848015869795</v>
      </c>
      <c r="H77" s="204">
        <f t="shared" si="10"/>
        <v>80.892349142321137</v>
      </c>
      <c r="I77" s="248"/>
      <c r="J77" s="248"/>
      <c r="K77" s="6" t="s">
        <v>112</v>
      </c>
      <c r="L77" s="204">
        <f t="shared" ref="L77:Q77" si="11">SUMPRODUCT(L73:L76,$V$31:$V$34)</f>
        <v>61.019396057037234</v>
      </c>
      <c r="M77" s="204">
        <f t="shared" si="11"/>
        <v>83.881895404352775</v>
      </c>
      <c r="N77" s="204">
        <f t="shared" si="11"/>
        <v>66.727004990466668</v>
      </c>
      <c r="O77" s="204">
        <f t="shared" si="11"/>
        <v>91.957511430581064</v>
      </c>
      <c r="P77" s="204">
        <f t="shared" si="11"/>
        <v>66.727004990466668</v>
      </c>
      <c r="Q77" s="204">
        <f t="shared" si="11"/>
        <v>91.957511430581064</v>
      </c>
      <c r="R77" s="447"/>
      <c r="S77" s="447"/>
      <c r="T77" s="447"/>
      <c r="U77" s="447"/>
      <c r="W77" s="447"/>
      <c r="X77" s="447"/>
      <c r="Y77" s="447"/>
      <c r="Z77" s="447"/>
    </row>
    <row r="78" spans="2:27">
      <c r="B78" s="7"/>
      <c r="C78" s="369"/>
      <c r="D78" s="369"/>
      <c r="E78" s="369"/>
      <c r="F78" s="369"/>
      <c r="G78" s="145"/>
      <c r="H78" s="145"/>
      <c r="I78" s="145"/>
      <c r="K78" s="7"/>
      <c r="L78" s="201"/>
      <c r="M78" s="201"/>
      <c r="N78" s="202"/>
      <c r="P78" s="145"/>
      <c r="Q78" s="145"/>
    </row>
    <row r="79" spans="2:27" ht="15" thickBot="1"/>
    <row r="80" spans="2:27" s="709" customFormat="1" ht="15" thickBot="1">
      <c r="B80" s="713">
        <f>IF('Hypothetical Summary'!$H$9="",400,'Hypothetical Summary'!$H$9)</f>
        <v>400</v>
      </c>
      <c r="C80" s="785" t="s">
        <v>275</v>
      </c>
      <c r="D80" s="714"/>
      <c r="E80" s="714"/>
      <c r="F80" s="714"/>
      <c r="G80" s="714"/>
      <c r="H80" s="714"/>
      <c r="K80" s="713">
        <f>IF('Hypothetical Summary'!$H$9="",400,'Hypothetical Summary'!$H$9)</f>
        <v>400</v>
      </c>
      <c r="L80" s="785" t="s">
        <v>277</v>
      </c>
      <c r="M80" s="714"/>
      <c r="N80" s="714"/>
      <c r="O80" s="714"/>
      <c r="P80" s="714"/>
      <c r="Q80" s="714"/>
    </row>
    <row r="81" spans="2:26" s="709" customFormat="1">
      <c r="B81" s="786"/>
      <c r="C81" s="576" t="str">
        <f>C71</f>
        <v>10/1/2025</v>
      </c>
      <c r="D81" s="576"/>
      <c r="E81" s="575" t="str">
        <f>E71</f>
        <v>1/1/26</v>
      </c>
      <c r="F81" s="576"/>
      <c r="G81" s="576" t="str">
        <f>G71</f>
        <v>Proposed</v>
      </c>
      <c r="H81" s="576"/>
      <c r="I81" s="575"/>
      <c r="J81" s="576"/>
      <c r="K81" s="786"/>
      <c r="L81" s="504" t="str">
        <f>L71</f>
        <v>10/1/2025</v>
      </c>
      <c r="M81" s="504"/>
      <c r="N81" s="503" t="str">
        <f>N71</f>
        <v>1/1/26</v>
      </c>
      <c r="O81" s="504"/>
      <c r="P81" s="504" t="str">
        <f>P71</f>
        <v>Proposed</v>
      </c>
      <c r="Q81" s="504"/>
    </row>
    <row r="82" spans="2:26" s="709" customFormat="1">
      <c r="B82" s="786"/>
      <c r="C82" s="247" t="s">
        <v>192</v>
      </c>
      <c r="D82" s="247" t="s">
        <v>193</v>
      </c>
      <c r="E82" s="247" t="s">
        <v>192</v>
      </c>
      <c r="F82" s="247" t="s">
        <v>193</v>
      </c>
      <c r="G82" s="247" t="s">
        <v>192</v>
      </c>
      <c r="H82" s="247" t="s">
        <v>193</v>
      </c>
      <c r="I82" s="247"/>
      <c r="J82" s="247"/>
      <c r="K82" s="786"/>
      <c r="L82" s="247" t="s">
        <v>192</v>
      </c>
      <c r="M82" s="247" t="s">
        <v>193</v>
      </c>
      <c r="N82" s="247" t="s">
        <v>192</v>
      </c>
      <c r="O82" s="247" t="s">
        <v>193</v>
      </c>
      <c r="P82" s="247" t="s">
        <v>192</v>
      </c>
      <c r="Q82" s="247" t="s">
        <v>193</v>
      </c>
    </row>
    <row r="83" spans="2:26" s="709" customFormat="1">
      <c r="B83" s="787" t="s">
        <v>125</v>
      </c>
      <c r="C83" s="247">
        <f>$F$15+$C$22*MIN(I22,$B$80)+IF($B$80-I22&gt;0,$C$23*($B$80-I22))+('Hypothetical SAR and RAR'!$C$21*$B$80)</f>
        <v>178.53854625311311</v>
      </c>
      <c r="D83" s="247">
        <f>$F$15+$C$25*MIN(J22,$B$80)+IF($B$80-J22&gt;0,$C$26*($B$80-J22))+('Hypothetical SAR and RAR'!$C$21*$B$80)</f>
        <v>177.76331195218151</v>
      </c>
      <c r="E83" s="247">
        <f>$F$15+$D$22*MIN(I22,$B$80)+IF($B$80-I22&gt;0,$D$23*($B$80-I22))+('Hypothetical SAR and RAR'!$C$21*$B$80)</f>
        <v>197.88029001400659</v>
      </c>
      <c r="F83" s="247">
        <f>$F$15+$D$25*MIN(J22,$B$80)+IF($B$80-J22&gt;0,$D$26*($B$80-J22))+('Hypothetical SAR and RAR'!$C$21*$B$80)</f>
        <v>197.00790133839035</v>
      </c>
      <c r="G83" s="247">
        <f>$F$15+$E$22*MIN(I22,$B$80)+IF($B$80-I22&gt;0,$E$23*($B$80-I22))+('Hypothetical SAR and RAR'!$C$21*$B$80)</f>
        <v>197.88029001400659</v>
      </c>
      <c r="H83" s="247">
        <f>$F$15+$E$25*MIN(J22,$B$80)+IF($B$80-J22&gt;0,$E$26*($B$80-J22))+('Hypothetical SAR and RAR'!$C$21*$B$80)</f>
        <v>197.00790133839035</v>
      </c>
      <c r="I83" s="247"/>
      <c r="J83" s="247"/>
      <c r="K83" s="787" t="s">
        <v>125</v>
      </c>
      <c r="L83" s="247">
        <f>$F$15+$C$22*MIN($L22,$K$80)+IF($K$80-$L22&gt;0,$C$23*($K$80-$L22))+('Hypothetical SAR and RAR'!$C$21*$K$80)</f>
        <v>189.77944361662102</v>
      </c>
      <c r="M83" s="247">
        <f>$F$15+$C$25*MIN($M22,$K$80)+IF($K$80-$M22&gt;0,$C$26*($K$80-$M22))+('Hypothetical SAR and RAR'!$C$21*$K$80)</f>
        <v>179.31378055404465</v>
      </c>
      <c r="N83" s="247">
        <f>$F$15+$D$22*MIN($L22,$B$80)+IF($B$80-$L22&gt;0,$D$23*($B$80-$L22))+('Hypothetical SAR and RAR'!$C$21*$B$80)</f>
        <v>210.52992581044208</v>
      </c>
      <c r="O83" s="247">
        <f>$F$15+$D$25*MIN($M22,$B$80)+IF($B$80-$M22&gt;0,$D$26*($B$80-$M22))+('Hypothetical SAR and RAR'!$C$21*$B$80)</f>
        <v>198.75267868962283</v>
      </c>
      <c r="P83" s="247">
        <f>$F$15+$E$22*MIN($L22,$K$80)+IF($K$80-$L22&gt;0,$E$23*($K$80-$L22))+('Hypothetical SAR and RAR'!$C$21*$K$80)</f>
        <v>210.52992581044208</v>
      </c>
      <c r="Q83" s="247">
        <f>$F$15+$E$25*MIN($M22,$K$80)+IF($K$80-$M22&gt;0,$E$26*($K$80-$M22))+('Hypothetical SAR and RAR'!$C$21*$K$80)</f>
        <v>198.75267868962283</v>
      </c>
      <c r="R83" s="751"/>
      <c r="S83" s="751"/>
      <c r="T83" s="751"/>
      <c r="U83" s="751"/>
      <c r="W83" s="751"/>
      <c r="X83" s="751"/>
      <c r="Y83" s="751"/>
      <c r="Z83" s="751"/>
    </row>
    <row r="84" spans="2:26" s="709" customFormat="1">
      <c r="B84" s="788" t="s">
        <v>197</v>
      </c>
      <c r="C84" s="247">
        <f>$F$15+$C$22*MIN(I23,$B$80)+IF($B$80-I23&gt;0,$C$23*($B$80-I23))+('Hypothetical SAR and RAR'!$C$21*$B$80)</f>
        <v>173.79023615990715</v>
      </c>
      <c r="D84" s="247">
        <f>$F$15+$C$25*MIN(J23,$B$80)+IF($B$80-J23&gt;0,$C$26*($B$80-J23))+('Hypothetical SAR and RAR'!$C$21*$B$80)</f>
        <v>173.79023615990715</v>
      </c>
      <c r="E84" s="247">
        <f>$F$15+$D$22*MIN(I23,$B$80)+IF($B$80-I23&gt;0,$D$23*($B$80-I23))+('Hypothetical SAR and RAR'!$C$21*$B$80)</f>
        <v>192.53690937585711</v>
      </c>
      <c r="F84" s="247">
        <f>$F$15+$D$25*MIN(J23,$B$80)+IF($B$80-J23&gt;0,$D$26*($B$80-J23))+('Hypothetical SAR and RAR'!$C$21*$B$80)</f>
        <v>192.53690937585711</v>
      </c>
      <c r="G84" s="247">
        <f>$F$15+$E$22*MIN(I23,$B$80)+IF($B$80-I23&gt;0,$E$23*($B$80-I23))+('Hypothetical SAR and RAR'!$C$21*$B$80)</f>
        <v>192.53690937585711</v>
      </c>
      <c r="H84" s="247">
        <f>$F$15+$E$25*MIN(J23,$B$80)+IF($B$80-J23&gt;0,$E$26*($B$80-J23))+('Hypothetical SAR and RAR'!$C$21*$B$80)</f>
        <v>192.53690937585711</v>
      </c>
      <c r="I84" s="247"/>
      <c r="J84" s="247"/>
      <c r="K84" s="788" t="s">
        <v>197</v>
      </c>
      <c r="L84" s="247">
        <f>$F$15+$C$22*MIN($L23,$K$80)+IF($K$80-$L23&gt;0,$C$23*($K$80-$L23))+('Hypothetical SAR and RAR'!$C$21*$K$80)</f>
        <v>173.79023615990715</v>
      </c>
      <c r="M84" s="247">
        <f>$F$15+$C$25*MIN($M23,$K$80)+IF($K$80-$M23&gt;0,$C$26*($K$80-$M23))+('Hypothetical SAR and RAR'!$C$21*$K$80)</f>
        <v>173.79023615990715</v>
      </c>
      <c r="N84" s="247">
        <f>$F$15+$D$22*MIN($L23,$B$80)+IF($B$80-$L23&gt;0,$D$23*($B$80-$L23))+('Hypothetical SAR and RAR'!$C$21*$B$80)</f>
        <v>192.53690937585711</v>
      </c>
      <c r="O84" s="247">
        <f>$F$15+$D$25*MIN($M23,$B$80)+IF($B$80-$M23&gt;0,$D$26*($B$80-$M23))+('Hypothetical SAR and RAR'!$C$21*$B$80)</f>
        <v>192.53690937585711</v>
      </c>
      <c r="P84" s="247">
        <f>$F$15+$E$22*MIN($L23,$K$80)+IF($K$80-$L23&gt;0,$E$23*($K$80-$L23))+('Hypothetical SAR and RAR'!$C$21*$K$80)</f>
        <v>192.53690937585711</v>
      </c>
      <c r="Q84" s="247">
        <f>$F$15+$E$25*MIN($M23,$K$80)+IF($K$80-$M23&gt;0,$E$26*($K$80-$M23))+('Hypothetical SAR and RAR'!$C$21*$K$80)</f>
        <v>192.53690937585711</v>
      </c>
      <c r="R84" s="751"/>
      <c r="S84" s="751"/>
      <c r="T84" s="751"/>
      <c r="U84" s="751"/>
      <c r="W84" s="751"/>
      <c r="X84" s="751"/>
      <c r="Y84" s="751"/>
      <c r="Z84" s="751"/>
    </row>
    <row r="85" spans="2:26" s="709" customFormat="1">
      <c r="B85" s="788" t="s">
        <v>198</v>
      </c>
      <c r="C85" s="247">
        <f>$F$15+$C$22*MIN(I24,$B$80)+IF($B$80-I24&gt;0,$C$23*($B$80-I24))+('Hypothetical SAR and RAR'!$C$21*$B$80)</f>
        <v>173.79023615990715</v>
      </c>
      <c r="D85" s="247">
        <f>$F$15+$C$25*MIN(J24,$B$80)+IF($B$80-J24&gt;0,$C$26*($B$80-J24))+('Hypothetical SAR and RAR'!$C$21*$B$80)</f>
        <v>173.79023615990715</v>
      </c>
      <c r="E85" s="247">
        <f>$F$15+$D$22*MIN(I24,$B$80)+IF($B$80-I24&gt;0,$D$23*($B$80-I24))+('Hypothetical SAR and RAR'!$C$21*$B$80)</f>
        <v>192.53690937585711</v>
      </c>
      <c r="F85" s="247">
        <f>$F$15+$D$25*MIN(J24,$B$80)+IF($B$80-J24&gt;0,$D$26*($B$80-J24))+('Hypothetical SAR and RAR'!$C$21*$B$80)</f>
        <v>192.53690937585711</v>
      </c>
      <c r="G85" s="247">
        <f>$F$15+$E$22*MIN(I24,$B$80)+IF($B$80-I24&gt;0,$E$23*($B$80-I24))+('Hypothetical SAR and RAR'!$C$21*$B$80)</f>
        <v>192.53690937585711</v>
      </c>
      <c r="H85" s="247">
        <f>$F$15+$E$25*MIN(J24,$B$80)+IF($B$80-J24&gt;0,$E$26*($B$80-J24))+('Hypothetical SAR and RAR'!$C$21*$B$80)</f>
        <v>192.53690937585711</v>
      </c>
      <c r="I85" s="247"/>
      <c r="J85" s="247"/>
      <c r="K85" s="788" t="s">
        <v>198</v>
      </c>
      <c r="L85" s="247">
        <f>$F$15+$C$22*MIN($L24,$K$80)+IF($K$80-$L24&gt;0,$C$23*($K$80-$L24))+('Hypothetical SAR and RAR'!$C$21*$K$80)</f>
        <v>173.79023615990715</v>
      </c>
      <c r="M85" s="247">
        <f>$F$15+$C$25*MIN($M24,$K$80)+IF($K$80-$M24&gt;0,$C$26*($K$80-$M24))+('Hypothetical SAR and RAR'!$C$21*$K$80)</f>
        <v>173.79023615990715</v>
      </c>
      <c r="N85" s="247">
        <f>$F$15+$D$22*MIN($L24,$B$80)+IF($B$80-$L24&gt;0,$D$23*($B$80-$L24))+('Hypothetical SAR and RAR'!$C$21*$B$80)</f>
        <v>192.53690937585711</v>
      </c>
      <c r="O85" s="247">
        <f>$F$15+$D$25*MIN($M24,$B$80)+IF($B$80-$M24&gt;0,$D$26*($B$80-$M24))+('Hypothetical SAR and RAR'!$C$21*$B$80)</f>
        <v>192.53690937585711</v>
      </c>
      <c r="P85" s="247">
        <f>$F$15+$E$22*MIN($L24,$K$80)+IF($K$80-$L24&gt;0,$E$23*($K$80-$L24))+('Hypothetical SAR and RAR'!$C$21*$K$80)</f>
        <v>192.53690937585711</v>
      </c>
      <c r="Q85" s="247">
        <f>$F$15+$E$25*MIN($M24,$K$80)+IF($K$80-$M24&gt;0,$E$26*($K$80-$M24))+('Hypothetical SAR and RAR'!$C$21*$K$80)</f>
        <v>192.53690937585711</v>
      </c>
      <c r="R85" s="751"/>
      <c r="S85" s="751"/>
      <c r="T85" s="751"/>
      <c r="U85" s="751"/>
      <c r="W85" s="751"/>
      <c r="X85" s="751"/>
      <c r="Y85" s="751"/>
      <c r="Z85" s="751"/>
    </row>
    <row r="86" spans="2:26" s="709" customFormat="1">
      <c r="B86" s="789" t="s">
        <v>199</v>
      </c>
      <c r="C86" s="247">
        <f>$F$15+$C$22*MIN(I25,$B$80)+IF($B$80-I25&gt;0,$C$23*($B$80-I25))+('Hypothetical SAR and RAR'!$C$21*$B$80)</f>
        <v>173.79023615990715</v>
      </c>
      <c r="D86" s="247">
        <f>$F$15+$C$25*MIN(J25,$B$80)+IF($B$80-J25&gt;0,$C$26*($B$80-J25))+('Hypothetical SAR and RAR'!$C$21*$B$80)</f>
        <v>176.30974763793478</v>
      </c>
      <c r="E86" s="247">
        <f>$F$15+$D$22*MIN(I25,$B$80)+IF($B$80-I25&gt;0,$D$23*($B$80-I25))+('Hypothetical SAR and RAR'!$C$21*$B$80)</f>
        <v>192.53690937585711</v>
      </c>
      <c r="F86" s="247">
        <f>$F$15+$D$25*MIN(J25,$B$80)+IF($B$80-J25&gt;0,$D$26*($B$80-J25))+('Hypothetical SAR and RAR'!$C$21*$B$80)</f>
        <v>195.37217257160989</v>
      </c>
      <c r="G86" s="247">
        <f>$F$15+$E$22*MIN(I25,$B$80)+IF($B$80-I25&gt;0,$E$23*($B$80-I25))+('Hypothetical SAR and RAR'!$C$21*$B$80)</f>
        <v>192.53690937585711</v>
      </c>
      <c r="H86" s="247">
        <f>$F$15+$E$25*MIN(J25,$B$80)+IF($B$80-J25&gt;0,$E$26*($B$80-J25))+('Hypothetical SAR and RAR'!$C$21*$B$80)</f>
        <v>195.37217257160989</v>
      </c>
      <c r="I86" s="247"/>
      <c r="J86" s="247"/>
      <c r="K86" s="789" t="s">
        <v>199</v>
      </c>
      <c r="L86" s="247">
        <f>$F$15+$C$22*MIN($L25,$K$80)+IF($K$80-$L25&gt;0,$C$23*($K$80-$L25))+('Hypothetical SAR and RAR'!$C$21*$K$80)</f>
        <v>179.50758912927759</v>
      </c>
      <c r="M86" s="247">
        <f>$F$15+$C$25*MIN($M25,$K$80)+IF($K$80-$M25&gt;0,$C$26*($K$80-$M25))+('Hypothetical SAR and RAR'!$C$21*$K$80)</f>
        <v>173.79023615990715</v>
      </c>
      <c r="N86" s="247">
        <f>$F$15+$D$22*MIN($L25,$B$80)+IF($B$80-$L25&gt;0,$D$23*($B$80-$L25))+('Hypothetical SAR and RAR'!$C$21*$B$80)</f>
        <v>198.97077585852688</v>
      </c>
      <c r="O86" s="247">
        <f>$F$15+$D$25*MIN($M25,$B$80)+IF($B$80-$M25&gt;0,$D$26*($B$80-$M25))+('Hypothetical SAR and RAR'!$C$21*$B$80)</f>
        <v>192.53690937585711</v>
      </c>
      <c r="P86" s="247">
        <f>$F$15+$E$22*MIN($L25,$K$80)+IF($K$80-$L25&gt;0,$E$23*($K$80-$L25))+('Hypothetical SAR and RAR'!$C$21*$K$80)</f>
        <v>198.97077585852688</v>
      </c>
      <c r="Q86" s="247">
        <f>$F$15+$E$25*MIN($M25,$K$80)+IF($K$80-$M25&gt;0,$E$26*($K$80-$M25))+('Hypothetical SAR and RAR'!$C$21*$K$80)</f>
        <v>192.53690937585711</v>
      </c>
      <c r="R86" s="751"/>
      <c r="S86" s="751"/>
      <c r="T86" s="751"/>
      <c r="U86" s="751"/>
      <c r="W86" s="751"/>
      <c r="X86" s="751"/>
      <c r="Y86" s="751"/>
      <c r="Z86" s="751"/>
    </row>
    <row r="87" spans="2:26" s="709" customFormat="1">
      <c r="B87" s="709" t="s">
        <v>112</v>
      </c>
      <c r="C87" s="248">
        <f t="shared" ref="C87:H87" si="12">SUMPRODUCT(C83:C86,$U$22:$U$25)</f>
        <v>176.60612535545329</v>
      </c>
      <c r="D87" s="248">
        <f t="shared" si="12"/>
        <v>177.14767612458201</v>
      </c>
      <c r="E87" s="248">
        <f t="shared" si="12"/>
        <v>195.70569311392518</v>
      </c>
      <c r="F87" s="248">
        <f t="shared" si="12"/>
        <v>196.31511243101608</v>
      </c>
      <c r="G87" s="248">
        <f t="shared" si="12"/>
        <v>195.70569311392518</v>
      </c>
      <c r="H87" s="248">
        <f t="shared" si="12"/>
        <v>196.31511243101608</v>
      </c>
      <c r="I87" s="248"/>
      <c r="J87" s="248"/>
      <c r="K87" s="709" t="s">
        <v>112</v>
      </c>
      <c r="L87" s="248">
        <f t="shared" ref="L87:Q87" si="13">SUMPRODUCT(L83:L86,$U$31:$U$34)</f>
        <v>185.35493388762617</v>
      </c>
      <c r="M87" s="248">
        <f t="shared" si="13"/>
        <v>177.01508926743924</v>
      </c>
      <c r="N87" s="248">
        <f t="shared" si="13"/>
        <v>205.55092503855846</v>
      </c>
      <c r="O87" s="248">
        <f t="shared" si="13"/>
        <v>196.16590944481197</v>
      </c>
      <c r="P87" s="248">
        <f t="shared" si="13"/>
        <v>205.55092503855846</v>
      </c>
      <c r="Q87" s="248">
        <f t="shared" si="13"/>
        <v>196.16590944481197</v>
      </c>
      <c r="R87" s="751"/>
      <c r="S87" s="751"/>
      <c r="T87" s="751"/>
      <c r="U87" s="751"/>
      <c r="W87" s="751"/>
      <c r="X87" s="751"/>
      <c r="Y87" s="751"/>
      <c r="Z87" s="751"/>
    </row>
    <row r="88" spans="2:26" s="709" customFormat="1">
      <c r="C88" s="790"/>
      <c r="D88" s="790"/>
      <c r="E88" s="790"/>
      <c r="F88" s="790"/>
      <c r="G88" s="248"/>
      <c r="H88" s="248"/>
      <c r="I88" s="248"/>
      <c r="J88" s="248"/>
      <c r="L88" s="248"/>
      <c r="M88" s="248"/>
      <c r="N88" s="248"/>
      <c r="O88" s="248"/>
      <c r="P88" s="248"/>
      <c r="Q88" s="248"/>
    </row>
    <row r="89" spans="2:26" s="709" customFormat="1" ht="15" thickBot="1">
      <c r="B89" s="786"/>
      <c r="C89" s="247"/>
      <c r="D89" s="247"/>
      <c r="E89" s="791"/>
      <c r="F89" s="792"/>
      <c r="G89" s="793"/>
      <c r="H89" s="793"/>
      <c r="I89" s="793"/>
      <c r="J89" s="793"/>
      <c r="K89" s="786"/>
      <c r="L89" s="247"/>
      <c r="M89" s="247"/>
      <c r="N89" s="791"/>
      <c r="O89" s="792"/>
      <c r="P89" s="793"/>
      <c r="Q89" s="793"/>
    </row>
    <row r="90" spans="2:26" s="709" customFormat="1" ht="15" thickBot="1">
      <c r="B90" s="713">
        <f>IF('Hypothetical Summary'!$H$9="",400,'Hypothetical Summary'!$H$9)</f>
        <v>400</v>
      </c>
      <c r="C90" s="785" t="s">
        <v>276</v>
      </c>
      <c r="D90" s="714"/>
      <c r="E90" s="714"/>
      <c r="F90" s="714"/>
      <c r="G90" s="714"/>
      <c r="H90" s="714"/>
      <c r="K90" s="713">
        <f>IF('Hypothetical Summary'!$H$9="",400,'Hypothetical Summary'!$H$9)</f>
        <v>400</v>
      </c>
      <c r="L90" s="785" t="s">
        <v>278</v>
      </c>
      <c r="M90" s="714"/>
      <c r="N90" s="714"/>
      <c r="O90" s="714"/>
      <c r="P90" s="714"/>
      <c r="Q90" s="714"/>
    </row>
    <row r="91" spans="2:26">
      <c r="B91" s="7"/>
      <c r="C91" s="577" t="str">
        <f>C81</f>
        <v>10/1/2025</v>
      </c>
      <c r="D91" s="577"/>
      <c r="E91" s="578" t="str">
        <f>E81</f>
        <v>1/1/26</v>
      </c>
      <c r="F91" s="577"/>
      <c r="G91" s="577" t="str">
        <f>G81</f>
        <v>Proposed</v>
      </c>
      <c r="H91" s="577"/>
      <c r="I91" s="575"/>
      <c r="J91" s="576"/>
      <c r="K91" s="7"/>
      <c r="L91" s="254" t="str">
        <f>L81</f>
        <v>10/1/2025</v>
      </c>
      <c r="M91" s="254"/>
      <c r="N91" s="255" t="str">
        <f>N81</f>
        <v>1/1/26</v>
      </c>
      <c r="O91" s="254"/>
      <c r="P91" s="254" t="str">
        <f>P81</f>
        <v>Proposed</v>
      </c>
      <c r="Q91" s="254"/>
    </row>
    <row r="92" spans="2:26">
      <c r="B92" s="7"/>
      <c r="C92" s="201" t="s">
        <v>192</v>
      </c>
      <c r="D92" s="201" t="s">
        <v>193</v>
      </c>
      <c r="E92" s="201" t="s">
        <v>192</v>
      </c>
      <c r="F92" s="201" t="s">
        <v>193</v>
      </c>
      <c r="G92" s="201" t="s">
        <v>192</v>
      </c>
      <c r="H92" s="201" t="s">
        <v>193</v>
      </c>
      <c r="I92" s="247"/>
      <c r="J92" s="247"/>
      <c r="K92" s="7"/>
      <c r="L92" s="201" t="s">
        <v>192</v>
      </c>
      <c r="M92" s="201" t="s">
        <v>193</v>
      </c>
      <c r="N92" s="201" t="s">
        <v>192</v>
      </c>
      <c r="O92" s="201" t="s">
        <v>193</v>
      </c>
      <c r="P92" s="201" t="s">
        <v>192</v>
      </c>
      <c r="Q92" s="201" t="s">
        <v>193</v>
      </c>
    </row>
    <row r="93" spans="2:26">
      <c r="B93" s="136" t="s">
        <v>125</v>
      </c>
      <c r="C93" s="203">
        <f>$Q$15+$C$31*MIN(I22,$B$90)+IF($B$90-I22&gt;0,$C$32*($B$90-I22))+('Hypothetical SAR and RAR'!$C$21*$B$90)</f>
        <v>105.08441000000001</v>
      </c>
      <c r="D93" s="203">
        <f>$Q$15+$C$34*MIN(J22,$B$90)+IF($B$90-J22&gt;0,$C$35*($B$90-J22))+('Hypothetical SAR and RAR'!$C$21*$B$90)</f>
        <v>104.58049</v>
      </c>
      <c r="E93" s="203">
        <f>$Q$15+$D$31*MIN(I22,$B$90)+IF($B$90-I22&gt;0,$D$32*($B$90-I22))+('Hypothetical SAR and RAR'!$C$21*$B$90)</f>
        <v>115.42252999999999</v>
      </c>
      <c r="F93" s="203">
        <f>$Q$15+$D$34*MIN(J22,$B$90)+IF($B$90-J22&gt;0,$D$35*($B$90-J22))+('Hypothetical SAR and RAR'!$C$21*$B$90)</f>
        <v>114.85557</v>
      </c>
      <c r="G93" s="203">
        <f>$Q$15+$E$31*MIN(I22,$B$90)+IF($B$90-I22&gt;0,$E$32*($B$90-I22))+('Hypothetical SAR and RAR'!$C$21*$B$90)</f>
        <v>115.42252999999999</v>
      </c>
      <c r="H93" s="203">
        <f>$Q$15+$E$34*MIN(J22,$B$90)+IF($B$90-J22&gt;0,$E$35*($B$90-J22))+('Hypothetical SAR and RAR'!$C$21*$B$90)</f>
        <v>114.85557</v>
      </c>
      <c r="I93" s="247"/>
      <c r="J93" s="247"/>
      <c r="K93" s="136" t="s">
        <v>125</v>
      </c>
      <c r="L93" s="203">
        <f>$Q$15+$C$31*MIN($L22,$K$90)+IF($K$90-$L22&gt;0,$C$32*($K$90-$L22))+('Hypothetical SAR and RAR'!$C$21*$K$90)</f>
        <v>112.39125000000001</v>
      </c>
      <c r="M93" s="203">
        <f>$Q$15+$C$34*MIN($M22,$K$90)+IF($K$90-$M22&gt;0,$C$35*($K$90-$M22))+('Hypothetical SAR and RAR'!$C$21*$K$90)</f>
        <v>105.58833000000001</v>
      </c>
      <c r="N93" s="203">
        <f>$Q$15+$D$31*MIN($L22,$B$90)+IF($B$90-$L22&gt;0,$D$32*($B$90-$L22))+('Hypothetical SAR and RAR'!$C$21*$B$90)</f>
        <v>123.64345</v>
      </c>
      <c r="O93" s="203">
        <f>$Q$15+$D$34*MIN($M22,$B$90)+IF($B$90-$M22&gt;0,$D$35*($B$90-$M22))+('Hypothetical SAR and RAR'!$C$21*$B$90)</f>
        <v>115.98949</v>
      </c>
      <c r="P93" s="203">
        <f>$Q$15+$E$31*MIN($L22,$B$90)+IF($B$90-$L22&gt;0,$E$32*($B$90-$L22))+('Hypothetical SAR and RAR'!$C$21*$B$90)</f>
        <v>123.64345</v>
      </c>
      <c r="Q93" s="203">
        <f>$Q$15+$E$34*MIN($M22,$B$90)+IF($B$90-$M22&gt;0,$E$35*($B$90-$M22))+('Hypothetical SAR and RAR'!$C$21*$B$90)</f>
        <v>115.98949</v>
      </c>
      <c r="R93" s="447"/>
      <c r="S93" s="447"/>
      <c r="T93" s="447"/>
      <c r="U93" s="447"/>
      <c r="W93" s="447"/>
      <c r="X93" s="447"/>
      <c r="Y93" s="447"/>
      <c r="Z93" s="447"/>
    </row>
    <row r="94" spans="2:26">
      <c r="B94" s="139" t="s">
        <v>197</v>
      </c>
      <c r="C94" s="203">
        <f>$Q$15+$C$31*MIN(I23,$B$90)+IF($B$90-I23&gt;0,$C$32*($B$90-I23))+('Hypothetical SAR and RAR'!$C$21*$B$90)</f>
        <v>101.9979</v>
      </c>
      <c r="D94" s="203">
        <f>$Q$15+$C$34*MIN(J23,$B$90)+IF($B$90-J23&gt;0,$C$35*($B$90-J23))+('Hypothetical SAR and RAR'!$C$21*$B$90)</f>
        <v>101.9979</v>
      </c>
      <c r="E94" s="203">
        <f>$Q$15+$D$31*MIN(I23,$B$90)+IF($B$90-I23&gt;0,$D$32*($B$90-I23))+('Hypothetical SAR and RAR'!$C$21*$B$90)</f>
        <v>111.9499</v>
      </c>
      <c r="F94" s="203">
        <f>$Q$15+$D$34*MIN(J23,$B$90)+IF($B$90-J23&gt;0,$D$35*($B$90-J23))+('Hypothetical SAR and RAR'!$C$21*$B$90)</f>
        <v>111.9499</v>
      </c>
      <c r="G94" s="203">
        <f>$Q$15+$E$31*MIN(I23,$B$90)+IF($B$90-I23&gt;0,$E$32*($B$90-I23))+('Hypothetical SAR and RAR'!$C$21*$B$90)</f>
        <v>111.9499</v>
      </c>
      <c r="H94" s="203">
        <f>$Q$15+$E$34*MIN(J23,$B$90)+IF($B$90-J23&gt;0,$E$35*($B$90-J23))+('Hypothetical SAR and RAR'!$C$21*$B$90)</f>
        <v>111.9499</v>
      </c>
      <c r="I94" s="247"/>
      <c r="J94" s="247"/>
      <c r="K94" s="139" t="s">
        <v>197</v>
      </c>
      <c r="L94" s="203">
        <f>$Q$15+$C$31*MIN($L23,$K$90)+IF($K$90-$L23&gt;0,$C$32*($K$90-$L23))+('Hypothetical SAR and RAR'!$C$21*$K$90)</f>
        <v>101.9979</v>
      </c>
      <c r="M94" s="203">
        <f>$Q$15+$C$34*MIN($M23,$K$90)+IF($K$90-$M23&gt;0,$C$35*($K$90-$M23))+('Hypothetical SAR and RAR'!$C$21*$K$90)</f>
        <v>101.9979</v>
      </c>
      <c r="N94" s="203">
        <f>$Q$15+$D$31*MIN($L23,$B$90)+IF($B$90-$L23&gt;0,$D$32*($B$90-$L23))+('Hypothetical SAR and RAR'!$C$21*$B$90)</f>
        <v>111.9499</v>
      </c>
      <c r="O94" s="203">
        <f>$Q$15+$D$34*MIN($M23,$B$90)+IF($B$90-$M23&gt;0,$D$35*($B$90-$M23))+('Hypothetical SAR and RAR'!$C$21*$B$90)</f>
        <v>111.9499</v>
      </c>
      <c r="P94" s="203">
        <f>$Q$15+$E$31*MIN($L23,$B$90)+IF($B$90-$L23&gt;0,$E$32*($B$90-$L23))+('Hypothetical SAR and RAR'!$C$21*$B$90)</f>
        <v>111.9499</v>
      </c>
      <c r="Q94" s="203">
        <f>$Q$15+$E$34*MIN($M23,$B$90)+IF($B$90-$M23&gt;0,$E$35*($B$90-$M23))+('Hypothetical SAR and RAR'!$C$21*$B$90)</f>
        <v>111.9499</v>
      </c>
      <c r="R94" s="447"/>
      <c r="S94" s="447"/>
      <c r="T94" s="447"/>
      <c r="U94" s="447"/>
      <c r="W94" s="447"/>
      <c r="X94" s="447"/>
      <c r="Y94" s="447"/>
      <c r="Z94" s="447"/>
    </row>
    <row r="95" spans="2:26">
      <c r="B95" s="139" t="s">
        <v>198</v>
      </c>
      <c r="C95" s="203">
        <f>$Q$15+$C$31*MIN(I24,$B$90)+IF($B$90-I24&gt;0,$C$32*($B$90-I24))+('Hypothetical SAR and RAR'!$C$21*$B$90)</f>
        <v>101.9979</v>
      </c>
      <c r="D95" s="203">
        <f>$Q$15+$C$34*MIN(J24,$B$90)+IF($B$90-J24&gt;0,$C$35*($B$90-J24))+('Hypothetical SAR and RAR'!$C$21*$B$90)</f>
        <v>101.9979</v>
      </c>
      <c r="E95" s="203">
        <f>$Q$15+$D$31*MIN(I24,$B$90)+IF($B$90-I24&gt;0,$D$32*($B$90-I24))+('Hypothetical SAR and RAR'!$C$21*$B$90)</f>
        <v>111.9499</v>
      </c>
      <c r="F95" s="203">
        <f>$Q$15+$D$34*MIN(J24,$B$90)+IF($B$90-J24&gt;0,$D$35*($B$90-J24))+('Hypothetical SAR and RAR'!$C$21*$B$90)</f>
        <v>111.9499</v>
      </c>
      <c r="G95" s="203">
        <f>$Q$15+$E$31*MIN(I24,$B$90)+IF($B$90-I24&gt;0,$E$32*($B$90-I24))+('Hypothetical SAR and RAR'!$C$21*$B$90)</f>
        <v>111.9499</v>
      </c>
      <c r="H95" s="203">
        <f>$Q$15+$E$34*MIN(J24,$B$90)+IF($B$90-J24&gt;0,$E$35*($B$90-J24))+('Hypothetical SAR and RAR'!$C$21*$B$90)</f>
        <v>111.9499</v>
      </c>
      <c r="I95" s="247"/>
      <c r="J95" s="247"/>
      <c r="K95" s="139" t="s">
        <v>198</v>
      </c>
      <c r="L95" s="203">
        <f>$Q$15+$C$31*MIN($L24,$K$90)+IF($K$90-$L24&gt;0,$C$32*($K$90-$L24))+('Hypothetical SAR and RAR'!$C$21*$K$90)</f>
        <v>101.9979</v>
      </c>
      <c r="M95" s="203">
        <f>$Q$15+$C$34*MIN($M24,$K$90)+IF($K$90-$M24&gt;0,$C$35*($K$90-$M24))+('Hypothetical SAR and RAR'!$C$21*$K$90)</f>
        <v>101.9979</v>
      </c>
      <c r="N95" s="203">
        <f>$Q$15+$D$31*MIN($L24,$B$90)+IF($B$90-$L24&gt;0,$D$32*($B$90-$L24))+('Hypothetical SAR and RAR'!$C$21*$B$90)</f>
        <v>111.9499</v>
      </c>
      <c r="O95" s="203">
        <f>$Q$15+$D$34*MIN($M24,$B$90)+IF($B$90-$M24&gt;0,$D$35*($B$90-$M24))+('Hypothetical SAR and RAR'!$C$21*$B$90)</f>
        <v>111.9499</v>
      </c>
      <c r="P95" s="203">
        <f>$Q$15+$E$31*MIN($L24,$B$90)+IF($B$90-$L24&gt;0,$E$32*($B$90-$L24))+('Hypothetical SAR and RAR'!$C$21*$B$90)</f>
        <v>111.9499</v>
      </c>
      <c r="Q95" s="203">
        <f>$Q$15+$E$34*MIN($M24,$B$90)+IF($B$90-$M24&gt;0,$E$35*($B$90-$M24))+('Hypothetical SAR and RAR'!$C$21*$B$90)</f>
        <v>111.9499</v>
      </c>
      <c r="R95" s="447"/>
      <c r="S95" s="447"/>
      <c r="T95" s="447"/>
      <c r="U95" s="447"/>
      <c r="W95" s="447"/>
      <c r="X95" s="447"/>
      <c r="Y95" s="447"/>
      <c r="Z95" s="447"/>
    </row>
    <row r="96" spans="2:26">
      <c r="B96" s="142" t="s">
        <v>199</v>
      </c>
      <c r="C96" s="203">
        <f>$Q$15+$C$31*MIN(I25,$B$90)+IF($B$90-I25&gt;0,$C$32*($B$90-I25))+('Hypothetical SAR and RAR'!$C$21*$B$90)</f>
        <v>101.9979</v>
      </c>
      <c r="D96" s="203">
        <f>$Q$15+$C$34*MIN(J25,$B$90)+IF($B$90-J25&gt;0,$C$35*($B$90-J25))+('Hypothetical SAR and RAR'!$C$21*$B$90)</f>
        <v>103.63564000000001</v>
      </c>
      <c r="E96" s="203">
        <f>$Q$15+$D$31*MIN(I25,$B$90)+IF($B$90-I25&gt;0,$D$32*($B$90-I25))+('Hypothetical SAR and RAR'!$C$21*$B$90)</f>
        <v>111.9499</v>
      </c>
      <c r="F96" s="203">
        <f>$Q$15+$D$34*MIN(J25,$B$90)+IF($B$90-J25&gt;0,$D$35*($B$90-J25))+('Hypothetical SAR and RAR'!$C$21*$B$90)</f>
        <v>113.79252000000001</v>
      </c>
      <c r="G96" s="203">
        <f>$Q$15+$E$31*MIN(I25,$B$90)+IF($B$90-I25&gt;0,$E$32*($B$90-I25))+('Hypothetical SAR and RAR'!$C$21*$B$90)</f>
        <v>111.9499</v>
      </c>
      <c r="H96" s="203">
        <f>$Q$15+$E$34*MIN(J25,$B$90)+IF($B$90-J25&gt;0,$E$35*($B$90-J25))+('Hypothetical SAR and RAR'!$C$21*$B$90)</f>
        <v>113.79252000000001</v>
      </c>
      <c r="I96" s="247"/>
      <c r="J96" s="247"/>
      <c r="K96" s="142" t="s">
        <v>199</v>
      </c>
      <c r="L96" s="203">
        <f>$Q$15+$C$31*MIN($L25,$K$90)+IF($K$90-$L25&gt;0,$C$32*($K$90-$L25))+('Hypothetical SAR and RAR'!$C$21*$K$90)</f>
        <v>105.71431000000001</v>
      </c>
      <c r="M96" s="203">
        <f>$Q$15+$C$34*MIN($M25,$K$90)+IF($K$90-$M25&gt;0,$C$35*($K$90-$M25))+('Hypothetical SAR and RAR'!$C$21*$K$90)</f>
        <v>101.9979</v>
      </c>
      <c r="N96" s="203">
        <f>$Q$15+$D$31*MIN($L25,$B$90)+IF($B$90-$L25&gt;0,$D$32*($B$90-$L25))+('Hypothetical SAR and RAR'!$C$21*$B$90)</f>
        <v>116.13122999999999</v>
      </c>
      <c r="O96" s="203">
        <f>$Q$15+$D$34*MIN($M25,$B$90)+IF($B$90-$M25&gt;0,$D$35*($B$90-$M25))+('Hypothetical SAR and RAR'!$C$21*$B$90)</f>
        <v>111.9499</v>
      </c>
      <c r="P96" s="203">
        <f>$Q$15+$E$31*MIN($L25,$B$90)+IF($B$90-$L25&gt;0,$E$32*($B$90-$L25))+('Hypothetical SAR and RAR'!$C$21*$B$90)</f>
        <v>116.13122999999999</v>
      </c>
      <c r="Q96" s="203">
        <f>$Q$15+$E$34*MIN($M25,$B$90)+IF($B$90-$M25&gt;0,$E$35*($B$90-$M25))+('Hypothetical SAR and RAR'!$C$21*$B$90)</f>
        <v>111.9499</v>
      </c>
      <c r="R96" s="447"/>
      <c r="S96" s="447"/>
      <c r="T96" s="447"/>
      <c r="U96" s="447"/>
      <c r="W96" s="447"/>
      <c r="X96" s="447"/>
      <c r="Y96" s="447"/>
      <c r="Z96" s="447"/>
    </row>
    <row r="97" spans="2:26">
      <c r="B97" s="6" t="s">
        <v>112</v>
      </c>
      <c r="C97" s="204">
        <f t="shared" ref="C97:H97" si="14">SUMPRODUCT(C93:C96,$V$22:$V$25)</f>
        <v>103.54243824200174</v>
      </c>
      <c r="D97" s="204">
        <f t="shared" si="14"/>
        <v>104.09292989834205</v>
      </c>
      <c r="E97" s="204">
        <f t="shared" si="14"/>
        <v>113.6876587745779</v>
      </c>
      <c r="F97" s="204">
        <f t="shared" si="14"/>
        <v>114.30701650889824</v>
      </c>
      <c r="G97" s="204">
        <f t="shared" si="14"/>
        <v>113.6876587745779</v>
      </c>
      <c r="H97" s="204">
        <f t="shared" si="14"/>
        <v>114.30701650889824</v>
      </c>
      <c r="I97" s="248"/>
      <c r="J97" s="248"/>
      <c r="K97" s="6" t="s">
        <v>112</v>
      </c>
      <c r="L97" s="204">
        <f t="shared" ref="L97:Q97" si="15">SUMPRODUCT(L93:L96,$V$31:$V$34)</f>
        <v>108.6388111905039</v>
      </c>
      <c r="M97" s="204">
        <f t="shared" si="15"/>
        <v>103.60656825563282</v>
      </c>
      <c r="N97" s="204">
        <f t="shared" si="15"/>
        <v>119.42158401446277</v>
      </c>
      <c r="O97" s="204">
        <f t="shared" si="15"/>
        <v>113.75981140302741</v>
      </c>
      <c r="P97" s="204">
        <f t="shared" si="15"/>
        <v>119.42158401446277</v>
      </c>
      <c r="Q97" s="204">
        <f t="shared" si="15"/>
        <v>113.75981140302741</v>
      </c>
      <c r="R97" s="447"/>
      <c r="S97" s="447"/>
      <c r="T97" s="447"/>
      <c r="U97" s="447"/>
      <c r="W97" s="447"/>
      <c r="X97" s="447"/>
      <c r="Y97" s="447"/>
      <c r="Z97" s="447"/>
    </row>
  </sheetData>
  <mergeCells count="42">
    <mergeCell ref="U20:V20"/>
    <mergeCell ref="Q21:R21"/>
    <mergeCell ref="S21:T21"/>
    <mergeCell ref="I71:J71"/>
    <mergeCell ref="C70:H70"/>
    <mergeCell ref="U29:V29"/>
    <mergeCell ref="Q30:R30"/>
    <mergeCell ref="S30:T30"/>
    <mergeCell ref="L60:Q60"/>
    <mergeCell ref="L70:Q70"/>
    <mergeCell ref="L80:Q80"/>
    <mergeCell ref="L90:Q90"/>
    <mergeCell ref="C91:D91"/>
    <mergeCell ref="E91:F91"/>
    <mergeCell ref="G91:H91"/>
    <mergeCell ref="I91:J91"/>
    <mergeCell ref="C90:H90"/>
    <mergeCell ref="C81:D81"/>
    <mergeCell ref="E81:F81"/>
    <mergeCell ref="G81:H81"/>
    <mergeCell ref="I81:J81"/>
    <mergeCell ref="C80:H80"/>
    <mergeCell ref="B2:D2"/>
    <mergeCell ref="E51:F51"/>
    <mergeCell ref="G51:H51"/>
    <mergeCell ref="C71:D71"/>
    <mergeCell ref="E71:F71"/>
    <mergeCell ref="G71:H71"/>
    <mergeCell ref="B39:H39"/>
    <mergeCell ref="E3:I3"/>
    <mergeCell ref="P3:T3"/>
    <mergeCell ref="I51:J51"/>
    <mergeCell ref="I61:J61"/>
    <mergeCell ref="C60:H60"/>
    <mergeCell ref="C41:D41"/>
    <mergeCell ref="E41:F41"/>
    <mergeCell ref="G41:H41"/>
    <mergeCell ref="I41:J41"/>
    <mergeCell ref="C61:D61"/>
    <mergeCell ref="E61:F61"/>
    <mergeCell ref="G61:H61"/>
    <mergeCell ref="C51:D5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611B6-392A-4CC6-9FF4-7D8D48F7E9FC}">
  <sheetPr>
    <tabColor rgb="FF92D050"/>
  </sheetPr>
  <dimension ref="A1:AC83"/>
  <sheetViews>
    <sheetView workbookViewId="0"/>
  </sheetViews>
  <sheetFormatPr defaultColWidth="8.81640625" defaultRowHeight="14.5"/>
  <cols>
    <col min="1" max="1" width="3.54296875" style="6" customWidth="1"/>
    <col min="2" max="2" width="19.453125" style="6" customWidth="1"/>
    <col min="3" max="5" width="22.453125" style="6" customWidth="1"/>
    <col min="6" max="6" width="20.81640625" style="6" customWidth="1"/>
    <col min="7" max="7" width="13.54296875" style="6" customWidth="1"/>
    <col min="8" max="8" width="14.1796875" style="6" customWidth="1"/>
    <col min="9" max="9" width="13.54296875" style="6" customWidth="1"/>
    <col min="10" max="10" width="15.1796875" style="6" customWidth="1"/>
    <col min="11" max="11" width="14.81640625" style="6" customWidth="1"/>
    <col min="12" max="14" width="15.453125" style="6" customWidth="1"/>
    <col min="15" max="15" width="13" style="6" customWidth="1"/>
    <col min="16" max="16" width="17.1796875" style="6" bestFit="1" customWidth="1"/>
    <col min="17" max="17" width="19.453125" style="6" customWidth="1"/>
    <col min="18" max="18" width="13" style="6" customWidth="1"/>
    <col min="19" max="20" width="14" style="6" customWidth="1"/>
    <col min="21" max="21" width="15" style="6" customWidth="1"/>
    <col min="22" max="26" width="14.7265625" style="6" customWidth="1"/>
    <col min="27" max="27" width="20.1796875" style="6" bestFit="1" customWidth="1"/>
    <col min="28" max="28" width="17.1796875" style="6" bestFit="1" customWidth="1"/>
    <col min="29" max="16384" width="8.81640625" style="6"/>
  </cols>
  <sheetData>
    <row r="1" spans="1:27" s="169" customFormat="1" ht="25.5" customHeight="1">
      <c r="A1" s="395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</row>
    <row r="2" spans="1:27" ht="15.5">
      <c r="B2" s="75"/>
      <c r="C2" s="37"/>
      <c r="D2" s="37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</row>
    <row r="3" spans="1:27">
      <c r="B3" s="76"/>
      <c r="C3" s="38" t="s">
        <v>157</v>
      </c>
      <c r="D3" s="178"/>
      <c r="R3" s="78"/>
      <c r="S3" s="78"/>
      <c r="T3" s="78"/>
      <c r="U3" s="78"/>
      <c r="V3" s="78"/>
      <c r="W3" s="78"/>
      <c r="X3" s="78"/>
    </row>
    <row r="4" spans="1:27" ht="15.5">
      <c r="B4" s="184" t="s">
        <v>3</v>
      </c>
      <c r="C4" s="187">
        <f>'Hypothetical Summary'!D6</f>
        <v>0</v>
      </c>
      <c r="D4" s="1"/>
      <c r="G4" s="563" t="s">
        <v>159</v>
      </c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38"/>
      <c r="V4" s="38"/>
      <c r="W4" s="38"/>
      <c r="X4" s="38"/>
      <c r="Y4" s="38"/>
      <c r="Z4" s="38"/>
      <c r="AA4" s="38"/>
    </row>
    <row r="5" spans="1:27" ht="31">
      <c r="B5" s="184" t="s">
        <v>373</v>
      </c>
      <c r="C5" s="187">
        <f>'Hypothetical Summary'!D7</f>
        <v>0</v>
      </c>
      <c r="D5" s="1"/>
      <c r="F5" s="1"/>
      <c r="G5" s="81" t="s">
        <v>3</v>
      </c>
      <c r="H5" s="81" t="s">
        <v>373</v>
      </c>
      <c r="I5" s="81" t="s">
        <v>59</v>
      </c>
      <c r="J5" s="81" t="s">
        <v>5</v>
      </c>
      <c r="K5" s="81" t="s">
        <v>98</v>
      </c>
      <c r="L5" s="81" t="s">
        <v>14</v>
      </c>
      <c r="M5" s="81" t="s">
        <v>80</v>
      </c>
      <c r="N5" s="81" t="s">
        <v>99</v>
      </c>
      <c r="O5" s="81" t="s">
        <v>97</v>
      </c>
      <c r="P5" s="81" t="s">
        <v>78</v>
      </c>
      <c r="Q5" s="81" t="s">
        <v>10</v>
      </c>
      <c r="R5" s="81" t="s">
        <v>221</v>
      </c>
      <c r="S5" s="81" t="s">
        <v>87</v>
      </c>
      <c r="T5" s="81" t="s">
        <v>251</v>
      </c>
    </row>
    <row r="6" spans="1:27" ht="15.5">
      <c r="B6" s="185" t="s">
        <v>59</v>
      </c>
      <c r="C6" s="187">
        <f>'Hypothetical Summary'!D8</f>
        <v>0</v>
      </c>
      <c r="D6" s="1"/>
      <c r="F6" s="1" t="s">
        <v>379</v>
      </c>
      <c r="G6" s="82">
        <f>'SAR and RAR (TOU-A)'!H6</f>
        <v>0.14016113775175024</v>
      </c>
      <c r="H6" s="82">
        <f>'SAR and RAR (TOU-A)'!I6</f>
        <v>0.13851677628572273</v>
      </c>
      <c r="I6" s="82">
        <f>'SAR and RAR (TOU-A)'!J6</f>
        <v>0.12314002343000448</v>
      </c>
      <c r="J6" s="82">
        <f>'SAR and RAR (TOU-A)'!K6</f>
        <v>0.16294159905784367</v>
      </c>
      <c r="K6" s="82">
        <f>'SAR and RAR (TOU-A)'!L6</f>
        <v>6.3686542882259556E-2</v>
      </c>
      <c r="L6" s="82">
        <f>'SAR and RAR (TOU-A)'!M6</f>
        <v>0.13364797448394239</v>
      </c>
      <c r="M6" s="82">
        <f>'SAR and RAR (TOU-A)'!N6</f>
        <v>0.12730852160869974</v>
      </c>
      <c r="N6" s="82">
        <f>'SAR and RAR (TOU-A)'!O6</f>
        <v>0.13306316061036613</v>
      </c>
      <c r="O6" s="82">
        <f>'SAR and RAR (TOU-A)'!P6</f>
        <v>0</v>
      </c>
      <c r="P6" s="82">
        <f>'SAR and RAR (TOU-A)'!Q6</f>
        <v>0</v>
      </c>
      <c r="Q6" s="82">
        <f>'SAR and RAR (TOU-A)'!R6</f>
        <v>0.10486024759173845</v>
      </c>
      <c r="R6" s="82">
        <f>'SAR and RAR (TOU-A)'!S6</f>
        <v>0.16257567999876396</v>
      </c>
      <c r="S6" s="82">
        <f>'SAR and RAR (TOU-A)'!T6</f>
        <v>0.14009743314379075</v>
      </c>
      <c r="T6" s="82">
        <f>'SAR and RAR (TOU-A)'!U6</f>
        <v>0.14102051159848228</v>
      </c>
    </row>
    <row r="7" spans="1:27" ht="15.5">
      <c r="B7" s="185" t="s">
        <v>5</v>
      </c>
      <c r="C7" s="187">
        <f>'Hypothetical Summary'!D9</f>
        <v>0</v>
      </c>
      <c r="D7" s="1"/>
      <c r="F7" s="1"/>
      <c r="G7" s="150"/>
      <c r="H7" s="150"/>
      <c r="I7" s="150"/>
      <c r="J7" s="150"/>
      <c r="K7" s="150"/>
      <c r="L7" s="150"/>
      <c r="M7" s="150"/>
      <c r="N7" s="150"/>
      <c r="O7" s="83"/>
      <c r="P7" s="83"/>
      <c r="Q7" s="83"/>
      <c r="R7" s="83"/>
      <c r="S7" s="83"/>
      <c r="T7" s="151"/>
    </row>
    <row r="8" spans="1:27" ht="15.65" customHeight="1">
      <c r="B8" s="185" t="s">
        <v>98</v>
      </c>
      <c r="C8" s="187"/>
      <c r="D8" s="1"/>
      <c r="F8" s="84"/>
      <c r="G8" s="563" t="s">
        <v>160</v>
      </c>
      <c r="H8" s="563"/>
      <c r="I8" s="563"/>
      <c r="J8" s="563"/>
      <c r="K8" s="563"/>
      <c r="L8" s="563"/>
      <c r="M8" s="563"/>
      <c r="N8" s="563"/>
      <c r="O8" s="563"/>
      <c r="P8" s="563"/>
      <c r="Q8" s="563"/>
      <c r="R8" s="563"/>
      <c r="S8" s="563"/>
      <c r="T8" s="563"/>
    </row>
    <row r="9" spans="1:27" ht="15.75" customHeight="1">
      <c r="B9" s="185" t="s">
        <v>14</v>
      </c>
      <c r="C9" s="187">
        <f>'Hypothetical Summary'!D11</f>
        <v>0</v>
      </c>
      <c r="D9" s="1"/>
      <c r="F9" s="85" t="s">
        <v>217</v>
      </c>
      <c r="G9" s="81" t="s">
        <v>3</v>
      </c>
      <c r="H9" s="81" t="s">
        <v>373</v>
      </c>
      <c r="I9" s="81" t="s">
        <v>59</v>
      </c>
      <c r="J9" s="81" t="s">
        <v>5</v>
      </c>
      <c r="K9" s="81" t="s">
        <v>98</v>
      </c>
      <c r="L9" s="81" t="s">
        <v>14</v>
      </c>
      <c r="M9" s="81" t="s">
        <v>80</v>
      </c>
      <c r="N9" s="81" t="s">
        <v>99</v>
      </c>
      <c r="O9" s="81" t="s">
        <v>97</v>
      </c>
      <c r="P9" s="81" t="s">
        <v>78</v>
      </c>
      <c r="Q9" s="81" t="s">
        <v>10</v>
      </c>
      <c r="R9" s="81" t="s">
        <v>221</v>
      </c>
      <c r="S9" s="81" t="s">
        <v>87</v>
      </c>
      <c r="T9" s="81" t="s">
        <v>251</v>
      </c>
    </row>
    <row r="10" spans="1:27" ht="15.5">
      <c r="B10" s="185" t="s">
        <v>80</v>
      </c>
      <c r="C10" s="187">
        <f>'Hypothetical Summary'!D12</f>
        <v>0</v>
      </c>
      <c r="D10" s="1"/>
      <c r="F10" s="1" t="s">
        <v>379</v>
      </c>
      <c r="G10" s="86">
        <f>G6*G11</f>
        <v>0</v>
      </c>
      <c r="H10" s="86">
        <f>H6*H11</f>
        <v>0</v>
      </c>
      <c r="I10" s="86">
        <f t="shared" ref="I10:T10" si="0">I6*I11</f>
        <v>0</v>
      </c>
      <c r="J10" s="86">
        <f>J6*J11</f>
        <v>0</v>
      </c>
      <c r="K10" s="86">
        <f t="shared" si="0"/>
        <v>0</v>
      </c>
      <c r="L10" s="86">
        <f t="shared" si="0"/>
        <v>0</v>
      </c>
      <c r="M10" s="86">
        <f t="shared" si="0"/>
        <v>0</v>
      </c>
      <c r="N10" s="86">
        <f t="shared" si="0"/>
        <v>0</v>
      </c>
      <c r="O10" s="86">
        <f t="shared" si="0"/>
        <v>0</v>
      </c>
      <c r="P10" s="86">
        <f t="shared" si="0"/>
        <v>0</v>
      </c>
      <c r="Q10" s="86">
        <f t="shared" si="0"/>
        <v>0</v>
      </c>
      <c r="R10" s="86">
        <f>R6*R11</f>
        <v>0</v>
      </c>
      <c r="S10" s="86">
        <f t="shared" si="0"/>
        <v>0</v>
      </c>
      <c r="T10" s="86">
        <f t="shared" si="0"/>
        <v>0</v>
      </c>
      <c r="U10" s="86">
        <f>SUM(G10:T10)</f>
        <v>0</v>
      </c>
      <c r="V10" s="175"/>
    </row>
    <row r="11" spans="1:27" ht="15.5">
      <c r="B11" s="186" t="s">
        <v>99</v>
      </c>
      <c r="C11" s="187">
        <f>'Hypothetical Summary'!D13</f>
        <v>0</v>
      </c>
      <c r="D11" s="1"/>
      <c r="F11" s="1" t="s">
        <v>161</v>
      </c>
      <c r="G11" s="106">
        <f>C4</f>
        <v>0</v>
      </c>
      <c r="H11" s="106">
        <f>C5</f>
        <v>0</v>
      </c>
      <c r="I11" s="106">
        <f>C6</f>
        <v>0</v>
      </c>
      <c r="J11" s="106">
        <f>C7</f>
        <v>0</v>
      </c>
      <c r="K11" s="106">
        <f>C8</f>
        <v>0</v>
      </c>
      <c r="L11" s="106">
        <f>C9</f>
        <v>0</v>
      </c>
      <c r="M11" s="106">
        <f>C10</f>
        <v>0</v>
      </c>
      <c r="N11" s="106">
        <f>C11</f>
        <v>0</v>
      </c>
      <c r="O11" s="106">
        <f>C12</f>
        <v>0</v>
      </c>
      <c r="P11" s="106">
        <f>C17</f>
        <v>0</v>
      </c>
      <c r="Q11" s="106">
        <f>C14</f>
        <v>0</v>
      </c>
      <c r="R11" s="106">
        <f>C16</f>
        <v>0</v>
      </c>
      <c r="S11" s="106">
        <f>C15</f>
        <v>0</v>
      </c>
      <c r="T11" s="106">
        <f>C13</f>
        <v>0</v>
      </c>
      <c r="U11" s="86">
        <f>SUM(G11:T11)</f>
        <v>0</v>
      </c>
      <c r="V11" s="174"/>
    </row>
    <row r="12" spans="1:27" ht="15.5">
      <c r="B12" s="185" t="s">
        <v>97</v>
      </c>
      <c r="C12" s="187">
        <f>'Hypothetical Summary'!D14</f>
        <v>0</v>
      </c>
      <c r="D12" s="1"/>
      <c r="F12" s="85"/>
      <c r="U12" s="86"/>
    </row>
    <row r="13" spans="1:27" ht="15.75" customHeight="1">
      <c r="B13" s="185" t="s">
        <v>251</v>
      </c>
      <c r="C13" s="187">
        <f>'Hypothetical Summary'!D15</f>
        <v>0</v>
      </c>
      <c r="D13" s="1"/>
      <c r="F13" s="1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175"/>
    </row>
    <row r="14" spans="1:27" ht="15.75" customHeight="1">
      <c r="B14" s="185" t="s">
        <v>10</v>
      </c>
      <c r="C14" s="187">
        <f>'Hypothetical Summary'!D16</f>
        <v>0</v>
      </c>
      <c r="D14" s="1"/>
      <c r="F14" s="1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86"/>
      <c r="V14" s="174"/>
    </row>
    <row r="15" spans="1:27" ht="15.75" customHeight="1">
      <c r="B15" s="185" t="s">
        <v>87</v>
      </c>
      <c r="C15" s="187">
        <f>'Hypothetical Summary'!D17</f>
        <v>0</v>
      </c>
      <c r="D15" s="1"/>
      <c r="F15" s="1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86"/>
      <c r="V15" s="174"/>
    </row>
    <row r="16" spans="1:27" ht="15.5">
      <c r="B16" s="185" t="s">
        <v>221</v>
      </c>
      <c r="C16" s="187">
        <f>'Hypothetical Summary'!D18</f>
        <v>0</v>
      </c>
      <c r="D16" s="1"/>
      <c r="F16" s="191"/>
      <c r="G16" s="36"/>
      <c r="H16" s="36"/>
      <c r="I16" s="36"/>
      <c r="J16" s="36"/>
      <c r="K16" s="84"/>
      <c r="Z16" s="1"/>
      <c r="AA16" s="89"/>
    </row>
    <row r="17" spans="2:29" ht="15.5">
      <c r="B17" s="185" t="s">
        <v>78</v>
      </c>
      <c r="C17" s="190">
        <f>'Hypothetical Summary'!D19</f>
        <v>0</v>
      </c>
      <c r="D17" s="1"/>
      <c r="U17" s="547" t="s">
        <v>258</v>
      </c>
      <c r="V17" s="548"/>
      <c r="W17" s="547" t="s">
        <v>259</v>
      </c>
      <c r="X17" s="582"/>
      <c r="Z17" s="360"/>
      <c r="AA17" s="361"/>
      <c r="AC17" s="165"/>
    </row>
    <row r="18" spans="2:29" ht="15.5">
      <c r="B18" s="1" t="s">
        <v>112</v>
      </c>
      <c r="C18" s="187">
        <f>SUM(C4:C17)</f>
        <v>0</v>
      </c>
      <c r="D18" s="1"/>
      <c r="F18" s="84"/>
      <c r="G18" s="554" t="s">
        <v>164</v>
      </c>
      <c r="H18" s="554"/>
      <c r="I18" s="554"/>
      <c r="J18" s="554"/>
      <c r="K18" s="554"/>
      <c r="L18" s="554"/>
      <c r="M18" s="554"/>
      <c r="N18" s="554"/>
      <c r="O18" s="554"/>
      <c r="P18" s="554"/>
      <c r="Q18" s="554"/>
      <c r="R18" s="554"/>
      <c r="S18" s="554"/>
      <c r="T18" s="550"/>
      <c r="U18" s="549" t="s">
        <v>165</v>
      </c>
      <c r="V18" s="550"/>
      <c r="W18" s="549" t="s">
        <v>165</v>
      </c>
      <c r="X18" s="554"/>
      <c r="Z18" s="360"/>
      <c r="AA18" s="361"/>
    </row>
    <row r="19" spans="2:29" ht="31">
      <c r="B19" s="2"/>
      <c r="C19" s="2"/>
      <c r="D19" s="1"/>
      <c r="E19" s="84"/>
      <c r="G19" s="81" t="s">
        <v>3</v>
      </c>
      <c r="H19" s="81" t="s">
        <v>373</v>
      </c>
      <c r="I19" s="81" t="s">
        <v>59</v>
      </c>
      <c r="J19" s="81" t="s">
        <v>5</v>
      </c>
      <c r="K19" s="81" t="s">
        <v>98</v>
      </c>
      <c r="L19" s="81" t="s">
        <v>14</v>
      </c>
      <c r="M19" s="81" t="s">
        <v>80</v>
      </c>
      <c r="N19" s="81" t="s">
        <v>99</v>
      </c>
      <c r="O19" s="81" t="s">
        <v>97</v>
      </c>
      <c r="P19" s="81" t="s">
        <v>78</v>
      </c>
      <c r="Q19" s="81" t="s">
        <v>10</v>
      </c>
      <c r="R19" s="81" t="s">
        <v>221</v>
      </c>
      <c r="S19" s="81" t="s">
        <v>87</v>
      </c>
      <c r="T19" s="81" t="s">
        <v>251</v>
      </c>
      <c r="U19" s="91" t="s">
        <v>112</v>
      </c>
      <c r="V19" s="19"/>
      <c r="W19" s="91" t="s">
        <v>112</v>
      </c>
      <c r="X19" s="19"/>
      <c r="Z19" s="360"/>
      <c r="AA19" s="361"/>
      <c r="AC19" s="96"/>
    </row>
    <row r="20" spans="2:29" ht="15.5">
      <c r="B20" s="2" t="s">
        <v>245</v>
      </c>
      <c r="C20" s="224">
        <f>'Sales Allocations &amp; CCC'!S3</f>
        <v>1E-3</v>
      </c>
      <c r="D20" s="224"/>
      <c r="F20" s="1" t="s">
        <v>379</v>
      </c>
      <c r="G20" s="82">
        <v>1</v>
      </c>
      <c r="H20" s="82">
        <v>0</v>
      </c>
      <c r="I20" s="82">
        <v>1</v>
      </c>
      <c r="J20" s="82">
        <v>1</v>
      </c>
      <c r="K20" s="82">
        <v>1</v>
      </c>
      <c r="L20" s="82">
        <v>1</v>
      </c>
      <c r="M20" s="82">
        <v>1</v>
      </c>
      <c r="N20" s="82">
        <v>1</v>
      </c>
      <c r="O20" s="82">
        <v>1</v>
      </c>
      <c r="P20" s="82">
        <v>1</v>
      </c>
      <c r="Q20" s="82">
        <v>1</v>
      </c>
      <c r="R20" s="82">
        <v>1</v>
      </c>
      <c r="S20" s="82">
        <v>1</v>
      </c>
      <c r="T20" s="82">
        <v>0</v>
      </c>
      <c r="U20" s="93">
        <f>SUMPRODUCT(I10:S10,I20:S20)</f>
        <v>0</v>
      </c>
      <c r="V20" s="87"/>
      <c r="W20" s="93">
        <f>SUMPRODUCT(G10,G20)</f>
        <v>0</v>
      </c>
      <c r="X20" s="87"/>
      <c r="Z20" s="360"/>
      <c r="AA20" s="86"/>
    </row>
    <row r="21" spans="2:29" ht="15.5">
      <c r="B21" s="2"/>
      <c r="C21" s="2"/>
      <c r="D21" s="1"/>
      <c r="F21" s="1" t="s">
        <v>161</v>
      </c>
      <c r="G21" s="82">
        <v>1</v>
      </c>
      <c r="H21" s="82">
        <v>0</v>
      </c>
      <c r="I21" s="82">
        <v>1</v>
      </c>
      <c r="J21" s="82">
        <v>1</v>
      </c>
      <c r="K21" s="82">
        <v>1</v>
      </c>
      <c r="L21" s="82">
        <v>1</v>
      </c>
      <c r="M21" s="82">
        <v>1</v>
      </c>
      <c r="N21" s="82">
        <v>1</v>
      </c>
      <c r="O21" s="82">
        <v>1</v>
      </c>
      <c r="P21" s="82">
        <v>1</v>
      </c>
      <c r="Q21" s="82">
        <v>1</v>
      </c>
      <c r="R21" s="82">
        <v>1</v>
      </c>
      <c r="S21" s="82">
        <v>1</v>
      </c>
      <c r="T21" s="82">
        <v>0</v>
      </c>
      <c r="U21" s="93">
        <f>SUMPRODUCT(I11:S11,I21:S21)</f>
        <v>0</v>
      </c>
      <c r="V21" s="87"/>
      <c r="W21" s="93">
        <f>SUMPRODUCT(G11,G21)</f>
        <v>0</v>
      </c>
      <c r="X21" s="87"/>
      <c r="Z21" s="360"/>
      <c r="AA21" s="361"/>
      <c r="AC21" s="1"/>
    </row>
    <row r="22" spans="2:29" ht="15.5">
      <c r="B22" s="2"/>
      <c r="C22" s="560" t="s">
        <v>425</v>
      </c>
      <c r="D22" s="561"/>
      <c r="E22" s="562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T22" s="1"/>
      <c r="U22" s="106"/>
      <c r="V22" s="1"/>
      <c r="Y22" s="360"/>
      <c r="Z22" s="97"/>
      <c r="AB22" s="166"/>
    </row>
    <row r="23" spans="2:29" ht="31">
      <c r="B23" s="1"/>
      <c r="C23" s="80" t="s">
        <v>333</v>
      </c>
      <c r="D23" s="80" t="s">
        <v>334</v>
      </c>
      <c r="E23" s="80" t="s">
        <v>335</v>
      </c>
      <c r="F23" s="38"/>
      <c r="T23" s="80"/>
      <c r="U23" s="1"/>
      <c r="Z23" s="98"/>
    </row>
    <row r="24" spans="2:29" ht="15.5">
      <c r="B24" s="104" t="s">
        <v>379</v>
      </c>
      <c r="C24" s="228">
        <f>'SAR and RAR (TOU-A)'!C25</f>
        <v>2442100.4570462531</v>
      </c>
      <c r="D24" s="228">
        <f>'SAR and RAR (TOU-A)'!D25</f>
        <v>2479597.9733180017</v>
      </c>
      <c r="E24" s="4">
        <f>'SAR and RAR (TOU-A)'!E25</f>
        <v>518117.44963314955</v>
      </c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1"/>
      <c r="T24" s="194"/>
      <c r="U24" s="194"/>
      <c r="V24" s="1"/>
      <c r="W24" s="1"/>
      <c r="Y24" s="1"/>
      <c r="Z24" s="1"/>
    </row>
    <row r="25" spans="2:29" ht="15.5">
      <c r="B25" s="104" t="s">
        <v>161</v>
      </c>
      <c r="C25" s="228">
        <f>'SAR and RAR (TOU-A)'!C26</f>
        <v>17431428.835748378</v>
      </c>
      <c r="D25" s="228">
        <f>'SAR and RAR (TOU-A)'!D26</f>
        <v>19476455.217814039</v>
      </c>
      <c r="E25" s="4">
        <f>'SAR and RAR (TOU-A)'!E26</f>
        <v>3218717.0926473769</v>
      </c>
      <c r="F25" s="19"/>
      <c r="G25" s="9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4"/>
      <c r="U25" s="194"/>
      <c r="V25" s="100"/>
      <c r="W25" s="100"/>
      <c r="Y25" s="1"/>
      <c r="Z25" s="1"/>
    </row>
    <row r="26" spans="2:29" ht="15.5">
      <c r="B26" s="2"/>
      <c r="C26" s="2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01"/>
      <c r="U26" s="102"/>
      <c r="V26" s="102"/>
      <c r="W26" s="102"/>
      <c r="Y26" s="1"/>
      <c r="Z26" s="1"/>
    </row>
    <row r="27" spans="2:29" ht="15.5">
      <c r="B27" s="2"/>
      <c r="C27" s="2"/>
      <c r="D27" s="1"/>
      <c r="E27" s="1"/>
      <c r="F27" s="551" t="s">
        <v>168</v>
      </c>
      <c r="G27" s="552"/>
      <c r="H27" s="552"/>
      <c r="I27" s="553"/>
      <c r="J27" s="2"/>
      <c r="K27" s="2"/>
      <c r="O27" s="1"/>
      <c r="P27" s="551" t="s">
        <v>169</v>
      </c>
      <c r="Q27" s="552"/>
      <c r="R27" s="552"/>
      <c r="S27" s="552"/>
      <c r="T27" s="553"/>
      <c r="U27" s="195"/>
      <c r="V27" s="49"/>
      <c r="W27" s="406" t="str">
        <f>'SAR and RAR (TOU-A)'!AC23</f>
        <v>10/1/2025</v>
      </c>
      <c r="X27" s="406" t="str">
        <f>'SAR and RAR (TOU-A)'!AD23</f>
        <v>1/1/26</v>
      </c>
      <c r="Y27" s="406" t="str">
        <f>'SAR and RAR (TOU-A)'!AE23</f>
        <v>10/1/2025</v>
      </c>
      <c r="Z27" s="406" t="str">
        <f>'SAR and RAR (TOU-A)'!AF23</f>
        <v>1/1/26</v>
      </c>
      <c r="AA27" s="1"/>
      <c r="AB27" s="1"/>
    </row>
    <row r="28" spans="2:29" ht="46.5">
      <c r="B28" s="2"/>
      <c r="C28" s="2"/>
      <c r="D28" s="1"/>
      <c r="E28" s="1"/>
      <c r="F28" s="80" t="str">
        <f>Summary!I3&amp;" Authorized Sales Forecast - Bundled"</f>
        <v>2027 Authorized Sales Forecast - Bundled</v>
      </c>
      <c r="G28" s="80" t="str">
        <f>'SAR and RAR'!H23</f>
        <v>1/1/26 Avg Rates(sales adj.)</v>
      </c>
      <c r="H28" s="80" t="s">
        <v>218</v>
      </c>
      <c r="I28" s="80" t="s">
        <v>219</v>
      </c>
      <c r="J28" s="80"/>
      <c r="K28" s="80"/>
      <c r="O28" s="1"/>
      <c r="P28" s="80" t="str">
        <f>F28</f>
        <v>2027 Authorized Sales Forecast - Bundled</v>
      </c>
      <c r="Q28" s="80" t="str">
        <f>G28</f>
        <v>1/1/26 Avg Rates(sales adj.)</v>
      </c>
      <c r="R28" s="80" t="s">
        <v>218</v>
      </c>
      <c r="S28" s="80" t="s">
        <v>219</v>
      </c>
      <c r="U28" s="80"/>
      <c r="V28" s="49"/>
      <c r="W28" s="545" t="s">
        <v>432</v>
      </c>
      <c r="X28" s="545"/>
      <c r="Y28" s="545" t="s">
        <v>431</v>
      </c>
      <c r="Z28" s="545"/>
      <c r="AA28" s="1"/>
      <c r="AB28" s="1"/>
    </row>
    <row r="29" spans="2:29" ht="15.5">
      <c r="B29" s="2"/>
      <c r="C29" s="2"/>
      <c r="D29" s="1"/>
      <c r="E29" s="1"/>
      <c r="F29" s="702">
        <f>'SAR and RAR (TOU-A)'!G24</f>
        <v>518117.44963314955</v>
      </c>
      <c r="G29" s="716">
        <f>IF('Hypothetical Summary'!$H$8="N",Z30,X30)</f>
        <v>39.275999999999996</v>
      </c>
      <c r="H29" s="443">
        <f>IF('Hypothetical Summary'!$I$7="Y",(SUM($I10:$K10,$P10:$Q10,$S10)/(IF('Hypothetical Summary'!$D$2=2026,$C24,$C34))*100)+(SUM($K10:$O10,$R10)/(IF('Hypothetical Summary'!$D$2=2026,$D24,$D34))*100)+($G10/(IF('Hypothetical Summary'!$D$2=2026,$E24,$E34))*100),(SUM($I10:$K10,$P10:$Q10,$S10)/(IF('Hypothetical Summary'!$D$2=2026,$C24,$C34))*100)+(SUM($K10:$O10,$R10)/(IF('Hypothetical Summary'!$D$2=2026,$D24,$D34))*100)+($G10/(IF('Hypothetical Summary'!$D$2=2026,$E24,$E34))*100))+G29</f>
        <v>39.275999999999996</v>
      </c>
      <c r="I29" s="416">
        <f>H29/G29-1</f>
        <v>0</v>
      </c>
      <c r="J29" s="105"/>
      <c r="K29" s="105"/>
      <c r="O29" s="104" t="s">
        <v>379</v>
      </c>
      <c r="P29" s="95">
        <f>'SAR and RAR (TOU-A)'!R24</f>
        <v>2442100.4570462531</v>
      </c>
      <c r="Q29" s="783">
        <v>41.87191842065608</v>
      </c>
      <c r="R29" s="443">
        <f>H29+($Q29-$G29)+($T10/((IF('Hypothetical Summary'!$D$2=2026,$C24,$C34))-(IF('Hypothetical Summary'!$D$2=2026,$E24,$E34)))*100)+($H10/((IF('Hypothetical Summary'!$D$2=2026,$C24,$C34))-(IF('Hypothetical Summary'!$D$2=2026,$E24,$E34)))*100)</f>
        <v>41.87191842065608</v>
      </c>
      <c r="S29" s="416">
        <f>R29/Q29-1</f>
        <v>0</v>
      </c>
      <c r="U29" s="105"/>
      <c r="V29" s="49" t="s">
        <v>335</v>
      </c>
      <c r="W29" s="49"/>
      <c r="X29" s="49"/>
      <c r="Y29" s="49"/>
      <c r="Z29" s="49"/>
    </row>
    <row r="30" spans="2:29" ht="15.5">
      <c r="B30" s="2"/>
      <c r="C30" s="2"/>
      <c r="D30" s="1"/>
      <c r="E30" s="1"/>
      <c r="F30" s="702">
        <f>'SAR and RAR (TOU-A)'!G25</f>
        <v>3218717.0926473769</v>
      </c>
      <c r="G30" s="716">
        <f>IF('Hypothetical Summary'!$H$8="N",Z31,X31)</f>
        <v>39.322999999999993</v>
      </c>
      <c r="H30" s="443">
        <f>IF('Hypothetical Summary'!$I$7="Y",(SUM($I11:$K11,$P11:$Q11,$S11)/(IF('Hypothetical Summary'!$D$2=2026,$C25,$C35))*100)+(SUM($K11:$O11,$R11)/(IF('Hypothetical Summary'!$D$2=2026,$D25,$D35))*100)+($G11/(IF('Hypothetical Summary'!$D$2=2026,$E25,$E35))*100),(SUM($I11:$J11,$P11:$Q11,$S11)/(IF('Hypothetical Summary'!$D$2=2026,$C25,$C35))*100)+(SUM($K11:$O11,$R11)/(IF('Hypothetical Summary'!$D$2=2026,$D25,$D35))*100)+($G11/(IF('Hypothetical Summary'!$D$2=2026,$E25,$E35))*100))+G30</f>
        <v>39.322999999999993</v>
      </c>
      <c r="I30" s="416">
        <f>H30/G30-1</f>
        <v>0</v>
      </c>
      <c r="J30" s="105"/>
      <c r="K30" s="105"/>
      <c r="O30" s="104" t="s">
        <v>161</v>
      </c>
      <c r="P30" s="95">
        <f>'SAR and RAR (TOU-A)'!R25</f>
        <v>17431428.835748378</v>
      </c>
      <c r="Q30" s="502">
        <v>41.814953036913295</v>
      </c>
      <c r="R30" s="443">
        <f>H30+($Q30-$G30)+($T11/((IF('Hypothetical Summary'!$D$2=2026,$C25,$C35))-(IF('Hypothetical Summary'!$D$2=2026,$E25,$E35)))*100)+($H11/((IF('Hypothetical Summary'!$D$2=2026,$C25,$C35))-(IF('Hypothetical Summary'!$D$2=2026,$E25,$E35)))*100)</f>
        <v>41.814953036913295</v>
      </c>
      <c r="S30" s="416">
        <f>R30/Q30-1</f>
        <v>0</v>
      </c>
      <c r="U30" s="105"/>
      <c r="V30" s="49" t="s">
        <v>379</v>
      </c>
      <c r="W30" s="407">
        <f>'SAR and RAR (TOU-A)'!AC26</f>
        <v>37.106000000000002</v>
      </c>
      <c r="X30" s="407">
        <f>'SAR and RAR (TOU-A)'!AD26</f>
        <v>39.275999999999996</v>
      </c>
      <c r="Y30" s="407">
        <f>'SAR and RAR (TOU-A)'!AE26</f>
        <v>36.778999999999996</v>
      </c>
      <c r="Z30" s="407">
        <f>'SAR and RAR (TOU-A)'!AF26</f>
        <v>39.665000000000006</v>
      </c>
    </row>
    <row r="31" spans="2:29" ht="15.5">
      <c r="B31" s="2"/>
      <c r="C31" s="2"/>
      <c r="D31" s="1"/>
      <c r="E31" s="1"/>
      <c r="H31" s="96"/>
      <c r="R31" s="1"/>
      <c r="S31" s="1"/>
      <c r="T31" s="101"/>
      <c r="U31" s="102"/>
      <c r="V31" s="49" t="s">
        <v>161</v>
      </c>
      <c r="W31" s="407">
        <f>'SAR and RAR (TOU-A)'!AC27</f>
        <v>35.117000000000004</v>
      </c>
      <c r="X31" s="407">
        <f>'SAR and RAR (TOU-A)'!AD27</f>
        <v>39.322999999999993</v>
      </c>
      <c r="Y31" s="407">
        <f>'SAR and RAR (TOU-A)'!AE27</f>
        <v>36.465000000000003</v>
      </c>
      <c r="Z31" s="407">
        <f>'SAR and RAR (TOU-A)'!AF27</f>
        <v>40.177999999999997</v>
      </c>
    </row>
    <row r="32" spans="2:29" ht="15.5">
      <c r="C32" s="560" t="s">
        <v>466</v>
      </c>
      <c r="D32" s="561"/>
      <c r="E32" s="562"/>
      <c r="R32" s="1"/>
      <c r="S32" s="1"/>
      <c r="T32" s="101"/>
      <c r="U32" s="102"/>
      <c r="V32" s="101"/>
      <c r="W32" s="107"/>
      <c r="X32" s="107"/>
    </row>
    <row r="33" spans="2:25" ht="31">
      <c r="B33" s="1"/>
      <c r="C33" s="80" t="s">
        <v>333</v>
      </c>
      <c r="D33" s="80" t="s">
        <v>334</v>
      </c>
      <c r="E33" s="80" t="s">
        <v>335</v>
      </c>
      <c r="F33" s="276"/>
      <c r="G33" s="276"/>
      <c r="H33" s="276"/>
      <c r="I33" s="19"/>
      <c r="J33" s="19"/>
      <c r="K33" s="19"/>
      <c r="L33" s="1"/>
      <c r="M33" s="1"/>
      <c r="N33" s="1"/>
      <c r="O33" s="1"/>
      <c r="P33" s="1"/>
      <c r="Q33" s="1"/>
      <c r="R33" s="1"/>
      <c r="S33" s="1"/>
      <c r="T33" s="101"/>
      <c r="U33" s="102"/>
      <c r="V33" s="101"/>
      <c r="W33" s="107"/>
      <c r="X33" s="107"/>
      <c r="Y33" s="103"/>
    </row>
    <row r="34" spans="2:25" ht="15.5">
      <c r="B34" s="104" t="s">
        <v>379</v>
      </c>
      <c r="C34" s="300">
        <f>'SAR and RAR (TOU-A)'!C38</f>
        <v>2442100.4570462531</v>
      </c>
      <c r="D34" s="300">
        <f>'SAR and RAR (TOU-A)'!D38</f>
        <v>2479597.9733180017</v>
      </c>
      <c r="E34" s="4">
        <f>'SAR and RAR (TOU-A)'!E38</f>
        <v>518117.44963314955</v>
      </c>
      <c r="F34" s="80"/>
      <c r="G34" s="80"/>
      <c r="H34" s="304"/>
      <c r="I34" s="19"/>
      <c r="J34" s="19"/>
      <c r="K34" s="19"/>
      <c r="L34" s="1"/>
      <c r="M34" s="1"/>
      <c r="N34" s="1"/>
      <c r="O34" s="1"/>
      <c r="P34" s="1"/>
      <c r="Q34" s="1"/>
      <c r="R34" s="1"/>
      <c r="S34" s="1"/>
      <c r="T34" s="101"/>
      <c r="U34" s="102"/>
      <c r="V34" s="101"/>
      <c r="W34" s="103"/>
      <c r="X34" s="107"/>
      <c r="Y34" s="103"/>
    </row>
    <row r="35" spans="2:25" ht="15.5">
      <c r="B35" s="104" t="s">
        <v>161</v>
      </c>
      <c r="C35" s="300">
        <f>'SAR and RAR (TOU-A)'!C39</f>
        <v>17431428.835748378</v>
      </c>
      <c r="D35" s="300">
        <f>'SAR and RAR (TOU-A)'!D39</f>
        <v>19476455.217814039</v>
      </c>
      <c r="E35" s="4">
        <f>'SAR and RAR (TOU-A)'!E39</f>
        <v>3218717.0926473769</v>
      </c>
      <c r="F35" s="3"/>
      <c r="G35" s="4"/>
      <c r="H35" s="5"/>
      <c r="I35" s="19"/>
      <c r="J35" s="19"/>
      <c r="K35" s="19"/>
      <c r="L35" s="1"/>
      <c r="M35" s="1"/>
      <c r="N35" s="1"/>
      <c r="O35" s="1"/>
      <c r="P35" s="1"/>
      <c r="Q35" s="1"/>
      <c r="R35" s="1"/>
      <c r="S35" s="1"/>
      <c r="T35" s="101"/>
      <c r="U35" s="102"/>
      <c r="V35" s="102"/>
      <c r="W35" s="100"/>
      <c r="X35" s="107"/>
      <c r="Y35" s="103"/>
    </row>
    <row r="36" spans="2:25" ht="15.5">
      <c r="E36" s="1"/>
      <c r="F36" s="3"/>
      <c r="G36" s="4"/>
      <c r="H36" s="5"/>
      <c r="I36" s="19"/>
      <c r="J36" s="19"/>
      <c r="K36" s="19"/>
      <c r="L36" s="1"/>
      <c r="M36" s="1"/>
      <c r="N36" s="1"/>
      <c r="O36" s="1"/>
      <c r="P36" s="1"/>
      <c r="Q36" s="1"/>
      <c r="R36" s="1"/>
      <c r="S36" s="1"/>
      <c r="T36" s="101"/>
      <c r="U36" s="102"/>
      <c r="V36" s="101"/>
      <c r="W36" s="103"/>
      <c r="X36" s="107"/>
      <c r="Y36" s="107"/>
    </row>
    <row r="37" spans="2:25" ht="15.5">
      <c r="E37" s="1"/>
      <c r="F37" s="3"/>
      <c r="G37" s="4"/>
      <c r="H37" s="5"/>
      <c r="I37" s="19"/>
      <c r="J37" s="19"/>
      <c r="K37" s="19"/>
      <c r="L37" s="1"/>
      <c r="M37" s="1"/>
      <c r="N37" s="1"/>
      <c r="O37" s="1"/>
      <c r="P37" s="1"/>
      <c r="Q37" s="1"/>
      <c r="R37" s="1"/>
      <c r="S37" s="1"/>
      <c r="T37" s="101"/>
      <c r="U37" s="102"/>
      <c r="V37" s="102"/>
      <c r="W37" s="102"/>
      <c r="X37" s="102"/>
      <c r="Y37" s="103"/>
    </row>
    <row r="38" spans="2:25" ht="15.5">
      <c r="E38" s="1"/>
      <c r="F38" s="3"/>
      <c r="G38" s="4"/>
      <c r="H38" s="5"/>
      <c r="I38" s="19"/>
      <c r="J38" s="19"/>
      <c r="K38" s="19"/>
      <c r="L38" s="1"/>
      <c r="M38" s="1"/>
      <c r="N38" s="1"/>
      <c r="O38" s="1"/>
      <c r="P38" s="1"/>
      <c r="Q38" s="1"/>
      <c r="R38" s="1"/>
      <c r="S38" s="1"/>
      <c r="T38" s="101"/>
      <c r="U38" s="546"/>
      <c r="V38" s="546"/>
      <c r="W38" s="102"/>
      <c r="X38" s="107"/>
      <c r="Y38" s="102"/>
    </row>
    <row r="39" spans="2:25" ht="15.5">
      <c r="B39" s="2"/>
      <c r="C39" s="2"/>
      <c r="E39" s="1"/>
      <c r="F39" s="3"/>
      <c r="G39" s="4"/>
      <c r="H39" s="5"/>
      <c r="I39" s="19"/>
      <c r="J39" s="19"/>
      <c r="K39" s="19"/>
      <c r="L39" s="1"/>
      <c r="M39" s="1"/>
      <c r="N39" s="1"/>
      <c r="O39" s="1"/>
      <c r="P39" s="1"/>
      <c r="Q39" s="1"/>
      <c r="R39" s="1"/>
      <c r="S39" s="1"/>
      <c r="T39" s="101"/>
      <c r="U39" s="102"/>
      <c r="V39" s="101"/>
      <c r="W39" s="107"/>
      <c r="X39" s="103"/>
      <c r="Y39" s="103"/>
    </row>
    <row r="40" spans="2:25" ht="15.5">
      <c r="B40" s="2"/>
      <c r="C40" s="2"/>
      <c r="E40" s="1"/>
      <c r="F40" s="3"/>
      <c r="G40" s="4"/>
      <c r="H40" s="5"/>
      <c r="I40" s="19"/>
      <c r="J40" s="19"/>
      <c r="K40" s="19"/>
      <c r="L40" s="1"/>
      <c r="M40" s="1"/>
      <c r="N40" s="1"/>
      <c r="O40" s="1"/>
      <c r="P40" s="1"/>
      <c r="Q40" s="1"/>
      <c r="R40" s="1"/>
      <c r="S40" s="1"/>
      <c r="T40" s="101"/>
      <c r="U40" s="102"/>
      <c r="V40" s="101"/>
      <c r="W40" s="107"/>
      <c r="X40" s="107"/>
      <c r="Y40" s="103"/>
    </row>
    <row r="41" spans="2:25" ht="15.5">
      <c r="B41" s="2"/>
      <c r="C41" s="2"/>
      <c r="E41" s="1"/>
      <c r="F41" s="3"/>
      <c r="G41" s="4"/>
      <c r="H41" s="5"/>
      <c r="I41" s="19"/>
      <c r="J41" s="19"/>
      <c r="K41" s="19"/>
      <c r="L41" s="1"/>
      <c r="M41" s="1"/>
      <c r="N41" s="1"/>
      <c r="O41" s="1"/>
      <c r="P41" s="1"/>
      <c r="Q41" s="1"/>
      <c r="R41" s="1"/>
      <c r="S41" s="1"/>
      <c r="T41" s="101"/>
      <c r="U41" s="102"/>
      <c r="V41" s="101"/>
      <c r="W41" s="107"/>
      <c r="X41" s="107"/>
      <c r="Y41" s="107"/>
    </row>
    <row r="42" spans="2:25" ht="15.5">
      <c r="B42" s="2"/>
      <c r="C42" s="2"/>
      <c r="D42" s="1"/>
      <c r="E42" s="1"/>
      <c r="F42" s="19"/>
      <c r="G42" s="19"/>
      <c r="H42" s="19"/>
      <c r="I42" s="19"/>
      <c r="J42" s="19"/>
      <c r="K42" s="19"/>
      <c r="L42" s="1"/>
      <c r="M42" s="1"/>
      <c r="N42" s="1"/>
      <c r="O42" s="1"/>
      <c r="P42" s="1"/>
      <c r="Q42" s="1"/>
      <c r="R42" s="1"/>
      <c r="S42" s="1"/>
      <c r="T42" s="101"/>
      <c r="U42" s="102"/>
      <c r="V42" s="101"/>
      <c r="W42" s="107"/>
      <c r="X42" s="103"/>
      <c r="Y42" s="103"/>
    </row>
    <row r="43" spans="2:25" ht="15.5">
      <c r="B43" s="2"/>
      <c r="C43" s="2"/>
      <c r="D43" s="1"/>
      <c r="E43" s="1"/>
      <c r="F43" s="19"/>
      <c r="G43" s="19"/>
      <c r="H43" s="19"/>
      <c r="I43" s="19"/>
      <c r="J43" s="19"/>
      <c r="K43" s="19"/>
      <c r="L43" s="1"/>
      <c r="M43" s="1"/>
      <c r="N43" s="1"/>
      <c r="O43" s="1"/>
      <c r="P43" s="1"/>
      <c r="Q43" s="1"/>
      <c r="R43" s="1"/>
      <c r="S43" s="1"/>
      <c r="T43" s="101"/>
      <c r="U43" s="102"/>
      <c r="V43" s="101"/>
      <c r="W43" s="107"/>
      <c r="X43" s="100"/>
      <c r="Y43" s="103"/>
    </row>
    <row r="44" spans="2:25" ht="15.5">
      <c r="B44" s="2"/>
      <c r="C44" s="2"/>
      <c r="D44" s="1"/>
      <c r="E44" s="1"/>
      <c r="F44" s="19"/>
      <c r="G44" s="19"/>
      <c r="H44" s="19"/>
      <c r="I44" s="19"/>
      <c r="J44" s="19"/>
      <c r="K44" s="19"/>
      <c r="L44" s="1"/>
      <c r="M44" s="1"/>
      <c r="N44" s="1"/>
      <c r="O44" s="1"/>
      <c r="P44" s="1"/>
      <c r="Q44" s="1"/>
      <c r="R44" s="1"/>
      <c r="S44" s="1"/>
      <c r="T44" s="101"/>
      <c r="U44" s="102"/>
      <c r="V44" s="101"/>
      <c r="W44" s="107"/>
      <c r="X44" s="103"/>
      <c r="Y44" s="100"/>
    </row>
    <row r="45" spans="2:25" ht="15.5">
      <c r="B45" s="2"/>
      <c r="C45" s="2"/>
      <c r="D45" s="1"/>
      <c r="E45" s="1"/>
      <c r="F45" s="19"/>
      <c r="G45" s="19"/>
      <c r="H45" s="19"/>
      <c r="I45" s="19"/>
      <c r="J45" s="19"/>
      <c r="K45" s="19"/>
      <c r="L45" s="1"/>
      <c r="M45" s="1"/>
      <c r="N45" s="1"/>
      <c r="O45" s="1"/>
      <c r="P45" s="1"/>
      <c r="Q45" s="1"/>
      <c r="R45" s="1"/>
      <c r="S45" s="1"/>
      <c r="T45" s="101"/>
      <c r="U45" s="102"/>
      <c r="V45" s="102"/>
      <c r="W45" s="100"/>
      <c r="X45" s="102"/>
      <c r="Y45" s="103"/>
    </row>
    <row r="46" spans="2:25" ht="15.5">
      <c r="B46" s="2"/>
      <c r="C46" s="2"/>
      <c r="D46" s="1"/>
      <c r="E46" s="1"/>
      <c r="F46" s="19"/>
      <c r="G46" s="19"/>
      <c r="H46" s="19"/>
      <c r="I46" s="19"/>
      <c r="J46" s="19"/>
      <c r="K46" s="19"/>
      <c r="L46" s="1"/>
      <c r="M46" s="1"/>
      <c r="N46" s="1"/>
      <c r="O46" s="1"/>
      <c r="P46" s="1"/>
      <c r="Q46" s="1"/>
      <c r="R46" s="1"/>
      <c r="S46" s="1"/>
      <c r="T46" s="101"/>
      <c r="U46" s="102"/>
      <c r="V46" s="101"/>
      <c r="W46" s="107"/>
      <c r="X46" s="102"/>
      <c r="Y46" s="102"/>
    </row>
    <row r="47" spans="2:25" ht="15.5">
      <c r="B47" s="2"/>
      <c r="C47" s="2"/>
      <c r="D47" s="1"/>
      <c r="E47" s="1"/>
      <c r="F47" s="19"/>
      <c r="G47" s="19"/>
      <c r="H47" s="19"/>
      <c r="I47" s="19"/>
      <c r="J47" s="19"/>
      <c r="K47" s="19"/>
      <c r="L47" s="1"/>
      <c r="M47" s="1"/>
      <c r="N47" s="1"/>
      <c r="O47" s="1"/>
      <c r="P47" s="1"/>
      <c r="Q47" s="1"/>
      <c r="R47" s="1"/>
      <c r="S47" s="1"/>
      <c r="T47" s="101"/>
      <c r="U47" s="102"/>
      <c r="V47" s="102"/>
      <c r="W47" s="102"/>
      <c r="X47" s="103"/>
      <c r="Y47" s="102"/>
    </row>
    <row r="48" spans="2:25" ht="15.5">
      <c r="B48" s="2"/>
      <c r="C48" s="2"/>
      <c r="D48" s="1"/>
      <c r="E48" s="1"/>
      <c r="F48" s="19"/>
      <c r="G48" s="19"/>
      <c r="H48" s="19"/>
      <c r="I48" s="19"/>
      <c r="J48" s="19"/>
      <c r="K48" s="19"/>
      <c r="L48" s="1"/>
      <c r="M48" s="1"/>
      <c r="N48" s="1"/>
      <c r="O48" s="1"/>
      <c r="P48" s="1"/>
      <c r="Q48" s="1"/>
      <c r="R48" s="1"/>
      <c r="S48" s="1"/>
      <c r="T48" s="101"/>
      <c r="U48" s="546"/>
      <c r="V48" s="546"/>
      <c r="W48" s="102"/>
      <c r="X48" s="103"/>
      <c r="Y48" s="103"/>
    </row>
    <row r="49" spans="2:25" ht="15.5">
      <c r="B49" s="2"/>
      <c r="C49" s="2"/>
      <c r="D49" s="1"/>
      <c r="E49" s="1"/>
      <c r="F49" s="19"/>
      <c r="G49" s="19"/>
      <c r="H49" s="19"/>
      <c r="I49" s="19"/>
      <c r="J49" s="19"/>
      <c r="K49" s="19"/>
      <c r="L49" s="1"/>
      <c r="M49" s="1"/>
      <c r="N49" s="1"/>
      <c r="O49" s="1"/>
      <c r="P49" s="1"/>
      <c r="Q49" s="1"/>
      <c r="R49" s="1"/>
      <c r="S49" s="1"/>
      <c r="T49" s="101"/>
      <c r="U49" s="102"/>
      <c r="V49" s="101"/>
      <c r="W49" s="107"/>
      <c r="X49" s="103"/>
      <c r="Y49" s="103"/>
    </row>
    <row r="50" spans="2:25" ht="15.5">
      <c r="B50" s="2"/>
      <c r="C50" s="2"/>
      <c r="D50" s="1"/>
      <c r="E50" s="1"/>
      <c r="F50" s="19"/>
      <c r="G50" s="19"/>
      <c r="H50" s="19"/>
      <c r="I50" s="19"/>
      <c r="J50" s="19"/>
      <c r="K50" s="19"/>
      <c r="L50" s="1"/>
      <c r="M50" s="1"/>
      <c r="N50" s="1"/>
      <c r="O50" s="1"/>
      <c r="P50" s="1"/>
      <c r="Q50" s="1"/>
      <c r="R50" s="1"/>
      <c r="S50" s="1"/>
      <c r="T50" s="101"/>
      <c r="U50" s="102"/>
      <c r="V50" s="101"/>
      <c r="W50" s="107"/>
      <c r="X50" s="107"/>
      <c r="Y50" s="103"/>
    </row>
    <row r="51" spans="2:25" ht="15.5">
      <c r="B51" s="2"/>
      <c r="C51" s="2"/>
      <c r="D51" s="1"/>
      <c r="E51" s="1"/>
      <c r="F51" s="19"/>
      <c r="G51" s="19"/>
      <c r="H51" s="19"/>
      <c r="I51" s="19"/>
      <c r="J51" s="19"/>
      <c r="K51" s="19"/>
      <c r="L51" s="1"/>
      <c r="M51" s="1"/>
      <c r="N51" s="1"/>
      <c r="O51" s="1"/>
      <c r="P51" s="1"/>
      <c r="Q51" s="1"/>
      <c r="R51" s="1"/>
      <c r="S51" s="1"/>
      <c r="T51" s="101"/>
      <c r="U51" s="102"/>
      <c r="V51" s="102"/>
      <c r="W51" s="100"/>
      <c r="X51" s="107"/>
      <c r="Y51" s="103"/>
    </row>
    <row r="52" spans="2:25" ht="15.5">
      <c r="B52" s="2"/>
      <c r="C52" s="2"/>
      <c r="D52" s="1"/>
      <c r="E52" s="1"/>
      <c r="F52" s="19"/>
      <c r="G52" s="19"/>
      <c r="H52" s="19"/>
      <c r="I52" s="19"/>
      <c r="J52" s="19"/>
      <c r="K52" s="19"/>
      <c r="L52" s="1"/>
      <c r="M52" s="1"/>
      <c r="N52" s="1"/>
      <c r="O52" s="1"/>
      <c r="P52" s="1"/>
      <c r="Q52" s="1"/>
      <c r="R52" s="1"/>
      <c r="S52" s="1"/>
      <c r="T52" s="101"/>
      <c r="U52" s="102"/>
      <c r="V52" s="101"/>
      <c r="W52" s="107"/>
      <c r="X52" s="103"/>
      <c r="Y52" s="103"/>
    </row>
    <row r="53" spans="2:25" ht="15.5">
      <c r="B53" s="2"/>
      <c r="C53" s="2"/>
      <c r="D53" s="1"/>
      <c r="E53" s="1"/>
      <c r="F53" s="19"/>
      <c r="G53" s="19"/>
      <c r="H53" s="19"/>
      <c r="I53" s="19"/>
      <c r="J53" s="19"/>
      <c r="K53" s="19"/>
      <c r="L53" s="1"/>
      <c r="M53" s="1"/>
      <c r="N53" s="1"/>
      <c r="O53" s="1"/>
      <c r="P53" s="1"/>
      <c r="Q53" s="1"/>
      <c r="R53" s="1"/>
      <c r="S53" s="1"/>
      <c r="T53" s="101"/>
      <c r="U53" s="102"/>
      <c r="V53" s="102"/>
      <c r="W53" s="102"/>
      <c r="X53" s="100"/>
      <c r="Y53" s="103"/>
    </row>
    <row r="54" spans="2:25" ht="15.5">
      <c r="B54" s="2"/>
      <c r="C54" s="2"/>
      <c r="D54" s="1"/>
      <c r="E54" s="1"/>
      <c r="F54" s="19"/>
      <c r="G54" s="19"/>
      <c r="H54" s="19"/>
      <c r="I54" s="19"/>
      <c r="J54" s="19"/>
      <c r="K54" s="19"/>
      <c r="L54" s="1"/>
      <c r="M54" s="1"/>
      <c r="N54" s="1"/>
      <c r="O54" s="1"/>
      <c r="P54" s="1"/>
      <c r="Q54" s="1"/>
      <c r="R54" s="1"/>
      <c r="S54" s="1"/>
      <c r="T54" s="101"/>
      <c r="U54" s="546"/>
      <c r="V54" s="546"/>
      <c r="W54" s="102"/>
      <c r="X54" s="103"/>
      <c r="Y54" s="100"/>
    </row>
    <row r="55" spans="2:25" ht="15.5">
      <c r="B55" s="1"/>
      <c r="C55" s="1"/>
      <c r="D55" s="1"/>
      <c r="E55" s="1"/>
      <c r="F55" s="19"/>
      <c r="G55" s="19"/>
      <c r="H55" s="19"/>
      <c r="I55" s="19"/>
      <c r="J55" s="19"/>
      <c r="K55" s="19"/>
      <c r="L55" s="1"/>
      <c r="M55" s="1"/>
      <c r="N55" s="1"/>
      <c r="O55" s="1"/>
      <c r="P55" s="1"/>
      <c r="Q55" s="1"/>
      <c r="R55" s="1"/>
      <c r="S55" s="1"/>
      <c r="T55" s="101"/>
      <c r="U55" s="102"/>
      <c r="V55" s="101"/>
      <c r="W55" s="107"/>
      <c r="X55" s="102"/>
      <c r="Y55" s="103"/>
    </row>
    <row r="56" spans="2:25" ht="15.5">
      <c r="B56" s="1"/>
      <c r="C56" s="1"/>
      <c r="D56" s="1"/>
      <c r="E56" s="1"/>
      <c r="F56" s="19"/>
      <c r="G56" s="19"/>
      <c r="H56" s="19"/>
      <c r="I56" s="19"/>
      <c r="J56" s="19"/>
      <c r="K56" s="19"/>
      <c r="L56" s="1"/>
      <c r="M56" s="1"/>
      <c r="N56" s="1"/>
      <c r="O56" s="1"/>
      <c r="P56" s="1"/>
      <c r="Q56" s="1"/>
      <c r="R56" s="1"/>
      <c r="S56" s="1"/>
      <c r="T56" s="101"/>
      <c r="U56" s="102"/>
      <c r="V56" s="101"/>
      <c r="W56" s="107"/>
      <c r="X56" s="102"/>
      <c r="Y56" s="102"/>
    </row>
    <row r="57" spans="2:25" ht="15.5">
      <c r="B57" s="1"/>
      <c r="C57" s="1"/>
      <c r="D57" s="1"/>
      <c r="E57" s="1"/>
      <c r="F57" s="19"/>
      <c r="G57" s="19"/>
      <c r="H57" s="19"/>
      <c r="I57" s="19"/>
      <c r="J57" s="19"/>
      <c r="K57" s="19"/>
      <c r="L57" s="1"/>
      <c r="M57" s="1"/>
      <c r="N57" s="1"/>
      <c r="O57" s="1"/>
      <c r="P57" s="1"/>
      <c r="Q57" s="1"/>
      <c r="R57" s="1"/>
      <c r="S57" s="1"/>
      <c r="T57" s="101"/>
      <c r="U57" s="102"/>
      <c r="V57" s="101"/>
      <c r="W57" s="103"/>
      <c r="X57" s="107"/>
      <c r="Y57" s="102"/>
    </row>
    <row r="58" spans="2:25" ht="15.5">
      <c r="B58" s="1"/>
      <c r="C58" s="1"/>
      <c r="D58" s="1"/>
      <c r="E58" s="1"/>
      <c r="F58" s="19"/>
      <c r="G58" s="19"/>
      <c r="H58" s="19"/>
      <c r="I58" s="19"/>
      <c r="J58" s="19"/>
      <c r="K58" s="19"/>
      <c r="L58" s="1"/>
      <c r="M58" s="1"/>
      <c r="N58" s="1"/>
      <c r="O58" s="1"/>
      <c r="P58" s="1"/>
      <c r="Q58" s="1"/>
      <c r="R58" s="1"/>
      <c r="S58" s="1"/>
      <c r="T58" s="101"/>
      <c r="U58" s="102"/>
      <c r="V58" s="101"/>
      <c r="W58" s="107"/>
      <c r="X58" s="107"/>
      <c r="Y58" s="103"/>
    </row>
    <row r="59" spans="2:25" ht="15.5">
      <c r="B59" s="1"/>
      <c r="C59" s="1"/>
      <c r="D59" s="1"/>
      <c r="E59" s="1"/>
      <c r="F59" s="19"/>
      <c r="G59" s="19"/>
      <c r="H59" s="19"/>
      <c r="I59" s="19"/>
      <c r="J59" s="19"/>
      <c r="K59" s="19"/>
      <c r="L59" s="1"/>
      <c r="M59" s="1"/>
      <c r="N59" s="1"/>
      <c r="O59" s="1"/>
      <c r="P59" s="1"/>
      <c r="Q59" s="1"/>
      <c r="R59" s="1"/>
      <c r="S59" s="1"/>
      <c r="T59" s="101"/>
      <c r="U59" s="102"/>
      <c r="V59" s="101"/>
      <c r="W59" s="107"/>
      <c r="X59" s="100"/>
      <c r="Y59" s="103"/>
    </row>
    <row r="60" spans="2:25" ht="15.5">
      <c r="B60" s="1"/>
      <c r="C60" s="1"/>
      <c r="D60" s="1"/>
      <c r="E60" s="1"/>
      <c r="F60" s="19"/>
      <c r="G60" s="19"/>
      <c r="H60" s="19"/>
      <c r="I60" s="19"/>
      <c r="J60" s="19"/>
      <c r="K60" s="19"/>
      <c r="L60" s="1"/>
      <c r="M60" s="1"/>
      <c r="N60" s="1"/>
      <c r="O60" s="1"/>
      <c r="P60" s="1"/>
      <c r="Q60" s="1"/>
      <c r="R60" s="1"/>
      <c r="S60" s="1"/>
      <c r="T60" s="101"/>
      <c r="U60" s="102"/>
      <c r="V60" s="102"/>
      <c r="W60" s="100"/>
      <c r="X60" s="107"/>
      <c r="Y60" s="100"/>
    </row>
    <row r="61" spans="2:25" ht="15.5">
      <c r="B61" s="1"/>
      <c r="C61" s="1"/>
      <c r="D61" s="1"/>
      <c r="E61" s="1"/>
      <c r="F61" s="19"/>
      <c r="G61" s="19"/>
      <c r="H61" s="19"/>
      <c r="I61" s="19"/>
      <c r="J61" s="19"/>
      <c r="K61" s="19"/>
      <c r="L61" s="1"/>
      <c r="M61" s="1"/>
      <c r="N61" s="1"/>
      <c r="O61" s="1"/>
      <c r="P61" s="1"/>
      <c r="Q61" s="1"/>
      <c r="R61" s="1"/>
      <c r="S61" s="1"/>
      <c r="T61" s="101"/>
      <c r="U61" s="102"/>
      <c r="V61" s="101"/>
      <c r="W61" s="103"/>
      <c r="X61" s="102"/>
      <c r="Y61" s="103"/>
    </row>
    <row r="62" spans="2:25" ht="15.5">
      <c r="B62" s="1"/>
      <c r="C62" s="1"/>
      <c r="D62" s="1"/>
      <c r="E62" s="1"/>
      <c r="F62" s="19"/>
      <c r="G62" s="19"/>
      <c r="H62" s="19"/>
      <c r="I62" s="19"/>
      <c r="J62" s="19"/>
      <c r="K62" s="19"/>
      <c r="L62" s="1"/>
      <c r="M62" s="1"/>
      <c r="N62" s="1"/>
      <c r="O62" s="1"/>
      <c r="P62" s="1"/>
      <c r="Q62" s="1"/>
      <c r="R62" s="1"/>
      <c r="S62" s="1"/>
      <c r="T62" s="101"/>
      <c r="U62" s="102"/>
      <c r="V62" s="102"/>
      <c r="W62" s="102"/>
      <c r="X62" s="102"/>
      <c r="Y62" s="102"/>
    </row>
    <row r="63" spans="2:25" ht="15.5">
      <c r="B63" s="1"/>
      <c r="C63" s="1"/>
      <c r="D63" s="1"/>
      <c r="E63" s="1"/>
      <c r="F63" s="19"/>
      <c r="G63" s="19"/>
      <c r="H63" s="19"/>
      <c r="I63" s="19"/>
      <c r="J63" s="19"/>
      <c r="K63" s="19"/>
      <c r="L63" s="1"/>
      <c r="M63" s="1"/>
      <c r="N63" s="1"/>
      <c r="O63" s="1"/>
      <c r="P63" s="1"/>
      <c r="Q63" s="1"/>
      <c r="R63" s="1"/>
      <c r="S63" s="1"/>
      <c r="T63" s="101"/>
      <c r="U63" s="102"/>
      <c r="V63" s="102"/>
      <c r="W63" s="102"/>
      <c r="X63" s="107"/>
      <c r="Y63" s="102"/>
    </row>
    <row r="64" spans="2:25" ht="15.5">
      <c r="B64" s="1"/>
      <c r="C64" s="1"/>
      <c r="D64" s="1"/>
      <c r="E64" s="1"/>
      <c r="F64" s="19"/>
      <c r="G64" s="19"/>
      <c r="H64" s="19"/>
      <c r="I64" s="19"/>
      <c r="J64" s="19"/>
      <c r="K64" s="19"/>
      <c r="L64" s="1"/>
      <c r="M64" s="1"/>
      <c r="N64" s="1"/>
      <c r="O64" s="1"/>
      <c r="P64" s="1"/>
      <c r="Q64" s="1"/>
      <c r="R64" s="1"/>
      <c r="S64" s="1"/>
      <c r="T64" s="101"/>
      <c r="U64" s="102"/>
      <c r="V64" s="101"/>
      <c r="W64" s="103"/>
      <c r="X64" s="107"/>
      <c r="Y64" s="103"/>
    </row>
    <row r="65" spans="2:25" ht="15.5">
      <c r="B65" s="1"/>
      <c r="C65" s="1"/>
      <c r="D65" s="1"/>
      <c r="E65" s="1"/>
      <c r="F65" s="19"/>
      <c r="G65" s="19"/>
      <c r="H65" s="19"/>
      <c r="I65" s="19"/>
      <c r="J65" s="19"/>
      <c r="K65" s="19"/>
      <c r="L65" s="1"/>
      <c r="M65" s="1"/>
      <c r="N65" s="1"/>
      <c r="O65" s="1"/>
      <c r="P65" s="1"/>
      <c r="Q65" s="1"/>
      <c r="R65" s="1"/>
      <c r="S65" s="1"/>
      <c r="T65" s="101"/>
      <c r="U65" s="102"/>
      <c r="V65" s="102"/>
      <c r="W65" s="100"/>
      <c r="X65" s="107"/>
      <c r="Y65" s="103"/>
    </row>
    <row r="66" spans="2:25" ht="15.5">
      <c r="B66" s="1"/>
      <c r="C66" s="1"/>
      <c r="D66" s="1"/>
      <c r="E66" s="1"/>
      <c r="F66" s="19"/>
      <c r="G66" s="19"/>
      <c r="H66" s="19"/>
      <c r="I66" s="19"/>
      <c r="J66" s="19"/>
      <c r="K66" s="19"/>
      <c r="L66" s="1"/>
      <c r="M66" s="1"/>
      <c r="N66" s="1"/>
      <c r="O66" s="1"/>
      <c r="P66" s="1"/>
      <c r="Q66" s="1"/>
      <c r="R66" s="1"/>
      <c r="S66" s="1"/>
      <c r="T66" s="101"/>
      <c r="U66" s="546"/>
      <c r="V66" s="546"/>
      <c r="W66" s="102"/>
      <c r="X66" s="107"/>
      <c r="Y66" s="103"/>
    </row>
    <row r="67" spans="2:25" ht="15.5">
      <c r="B67" s="1"/>
      <c r="C67" s="1"/>
      <c r="D67" s="1"/>
      <c r="E67" s="1"/>
      <c r="F67" s="19"/>
      <c r="G67" s="19"/>
      <c r="H67" s="19"/>
      <c r="I67" s="19"/>
      <c r="J67" s="19"/>
      <c r="K67" s="19"/>
      <c r="L67" s="1"/>
      <c r="M67" s="1"/>
      <c r="N67" s="1"/>
      <c r="O67" s="1"/>
      <c r="P67" s="1"/>
      <c r="Q67" s="1"/>
      <c r="R67" s="1"/>
      <c r="S67" s="1"/>
      <c r="T67" s="101"/>
      <c r="U67" s="102"/>
      <c r="V67" s="102"/>
      <c r="W67" s="102"/>
      <c r="X67" s="107"/>
      <c r="Y67" s="107"/>
    </row>
    <row r="68" spans="2:25" ht="15.5">
      <c r="B68" s="1"/>
      <c r="C68" s="1"/>
      <c r="D68" s="1"/>
      <c r="E68" s="1"/>
      <c r="F68" s="19"/>
      <c r="G68" s="19"/>
      <c r="H68" s="19"/>
      <c r="I68" s="19"/>
      <c r="J68" s="19"/>
      <c r="K68" s="19"/>
      <c r="L68" s="1"/>
      <c r="M68" s="1"/>
      <c r="N68" s="1"/>
      <c r="O68" s="1"/>
      <c r="P68" s="1"/>
      <c r="Q68" s="1"/>
      <c r="R68" s="1"/>
      <c r="S68" s="1"/>
      <c r="T68" s="101"/>
      <c r="U68" s="102"/>
      <c r="V68" s="101"/>
      <c r="W68" s="102"/>
      <c r="X68" s="100"/>
      <c r="Y68" s="107"/>
    </row>
    <row r="69" spans="2:25" ht="15.5">
      <c r="B69" s="1"/>
      <c r="C69" s="1"/>
      <c r="D69" s="1"/>
      <c r="E69" s="1"/>
      <c r="F69" s="19"/>
      <c r="G69" s="19"/>
      <c r="H69" s="19"/>
      <c r="I69" s="19"/>
      <c r="J69" s="19"/>
      <c r="K69" s="19"/>
      <c r="L69" s="1"/>
      <c r="M69" s="1"/>
      <c r="N69" s="1"/>
      <c r="O69" s="1"/>
      <c r="P69" s="1"/>
      <c r="Q69" s="1"/>
      <c r="R69" s="1"/>
      <c r="S69" s="1"/>
      <c r="T69" s="101"/>
      <c r="U69" s="102"/>
      <c r="V69" s="102"/>
      <c r="W69" s="100"/>
      <c r="X69" s="107"/>
      <c r="Y69" s="100"/>
    </row>
    <row r="70" spans="2:25" ht="15.5">
      <c r="B70" s="1"/>
      <c r="C70" s="1"/>
      <c r="D70" s="1"/>
      <c r="E70" s="1"/>
      <c r="F70" s="19"/>
      <c r="G70" s="19"/>
      <c r="H70" s="19"/>
      <c r="I70" s="19"/>
      <c r="J70" s="19"/>
      <c r="K70" s="19"/>
      <c r="L70" s="1"/>
      <c r="M70" s="1"/>
      <c r="N70" s="1"/>
      <c r="O70" s="1"/>
      <c r="P70" s="1"/>
      <c r="Q70" s="1"/>
      <c r="R70" s="1"/>
      <c r="S70" s="1"/>
      <c r="T70" s="101"/>
      <c r="U70" s="102"/>
      <c r="V70" s="101"/>
      <c r="W70" s="102"/>
      <c r="X70" s="102"/>
      <c r="Y70" s="103"/>
    </row>
    <row r="71" spans="2:25" ht="15.5">
      <c r="B71" s="1"/>
      <c r="C71" s="1"/>
      <c r="D71" s="1"/>
      <c r="E71" s="1"/>
      <c r="F71" s="19"/>
      <c r="G71" s="19"/>
      <c r="H71" s="19"/>
      <c r="I71" s="19"/>
      <c r="J71" s="19"/>
      <c r="K71" s="19"/>
      <c r="L71" s="1"/>
      <c r="M71" s="1"/>
      <c r="N71" s="1"/>
      <c r="O71" s="1"/>
      <c r="P71" s="1"/>
      <c r="Q71" s="1"/>
      <c r="R71" s="1"/>
      <c r="S71" s="1"/>
      <c r="T71" s="101"/>
      <c r="U71" s="102"/>
      <c r="V71" s="102"/>
      <c r="W71" s="102"/>
      <c r="X71" s="102"/>
      <c r="Y71" s="102"/>
    </row>
    <row r="72" spans="2:25" ht="15.5">
      <c r="B72" s="1"/>
      <c r="C72" s="1"/>
      <c r="D72" s="1"/>
      <c r="E72" s="1"/>
      <c r="F72" s="19"/>
      <c r="G72" s="19"/>
      <c r="H72" s="19"/>
      <c r="I72" s="19"/>
      <c r="J72" s="19"/>
      <c r="K72" s="19"/>
      <c r="L72" s="1"/>
      <c r="M72" s="1"/>
      <c r="N72" s="1"/>
      <c r="O72" s="1"/>
      <c r="P72" s="1"/>
      <c r="Q72" s="1"/>
      <c r="R72" s="1"/>
      <c r="S72" s="1"/>
      <c r="T72" s="101"/>
      <c r="U72" s="102"/>
      <c r="V72" s="102"/>
      <c r="W72" s="100"/>
      <c r="X72" s="103"/>
      <c r="Y72" s="102"/>
    </row>
    <row r="73" spans="2:25" ht="15.5">
      <c r="B73" s="1"/>
      <c r="C73" s="1"/>
      <c r="D73" s="1"/>
      <c r="E73" s="1"/>
      <c r="F73" s="19"/>
      <c r="G73" s="19"/>
      <c r="H73" s="19"/>
      <c r="I73" s="19"/>
      <c r="J73" s="19"/>
      <c r="K73" s="19"/>
      <c r="L73" s="1"/>
      <c r="M73" s="1"/>
      <c r="N73" s="1"/>
      <c r="O73" s="1"/>
      <c r="P73" s="1"/>
      <c r="Q73" s="1"/>
      <c r="R73" s="1"/>
      <c r="S73" s="1"/>
      <c r="T73" s="101"/>
      <c r="U73" s="546"/>
      <c r="V73" s="546"/>
      <c r="W73" s="103"/>
      <c r="X73" s="100"/>
      <c r="Y73" s="103"/>
    </row>
    <row r="74" spans="2:25" ht="15.5">
      <c r="B74" s="1"/>
      <c r="C74" s="1"/>
      <c r="D74" s="1"/>
      <c r="E74" s="1"/>
      <c r="F74" s="19"/>
      <c r="G74" s="19"/>
      <c r="H74" s="19"/>
      <c r="I74" s="19"/>
      <c r="J74" s="19"/>
      <c r="K74" s="19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02"/>
      <c r="Y74" s="100"/>
    </row>
    <row r="75" spans="2:25" ht="15.5">
      <c r="B75" s="1"/>
      <c r="C75" s="1"/>
      <c r="D75" s="1"/>
      <c r="X75" s="102"/>
      <c r="Y75" s="102"/>
    </row>
    <row r="76" spans="2:25" ht="15.5">
      <c r="B76" s="1"/>
      <c r="C76" s="1"/>
      <c r="D76" s="1"/>
      <c r="X76" s="102"/>
      <c r="Y76" s="102"/>
    </row>
    <row r="77" spans="2:25" ht="15.5">
      <c r="B77" s="1"/>
      <c r="C77" s="1"/>
      <c r="D77" s="1"/>
      <c r="X77" s="100"/>
      <c r="Y77" s="102"/>
    </row>
    <row r="78" spans="2:25" ht="15.5">
      <c r="B78" s="1"/>
      <c r="C78" s="1"/>
      <c r="D78" s="1"/>
      <c r="X78" s="102"/>
      <c r="Y78" s="100"/>
    </row>
    <row r="79" spans="2:25" ht="15.5">
      <c r="B79" s="1"/>
      <c r="C79" s="1"/>
      <c r="D79" s="1"/>
      <c r="X79" s="102"/>
      <c r="Y79" s="102"/>
    </row>
    <row r="80" spans="2:25" ht="15.5">
      <c r="B80" s="1"/>
      <c r="C80" s="1"/>
      <c r="D80" s="1"/>
      <c r="X80" s="100"/>
      <c r="Y80" s="102"/>
    </row>
    <row r="81" spans="2:25" ht="15.5">
      <c r="B81" s="1"/>
      <c r="C81" s="1"/>
      <c r="D81" s="1"/>
      <c r="X81" s="103"/>
      <c r="Y81" s="100"/>
    </row>
    <row r="82" spans="2:25" ht="15.5">
      <c r="B82" s="1"/>
      <c r="C82" s="1"/>
      <c r="D82" s="1"/>
      <c r="X82" s="1"/>
      <c r="Y82" s="103"/>
    </row>
    <row r="83" spans="2:25" ht="15.5">
      <c r="B83" s="1"/>
      <c r="C83" s="1"/>
      <c r="D83" s="1"/>
      <c r="Y83" s="1"/>
    </row>
  </sheetData>
  <mergeCells count="18">
    <mergeCell ref="U73:V73"/>
    <mergeCell ref="F27:I27"/>
    <mergeCell ref="P27:T27"/>
    <mergeCell ref="C32:E32"/>
    <mergeCell ref="U38:V38"/>
    <mergeCell ref="U48:V48"/>
    <mergeCell ref="U54:V54"/>
    <mergeCell ref="W28:X28"/>
    <mergeCell ref="Y28:Z28"/>
    <mergeCell ref="G4:T4"/>
    <mergeCell ref="C22:E22"/>
    <mergeCell ref="U66:V66"/>
    <mergeCell ref="U18:V18"/>
    <mergeCell ref="W18:X18"/>
    <mergeCell ref="U17:V17"/>
    <mergeCell ref="W17:X17"/>
    <mergeCell ref="G18:T18"/>
    <mergeCell ref="G8:T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EBC01-342E-4F6B-9164-F0157642FF95}">
  <sheetPr>
    <tabColor rgb="FF92D050"/>
  </sheetPr>
  <dimension ref="A1:AE40"/>
  <sheetViews>
    <sheetView zoomScale="70" zoomScaleNormal="70" workbookViewId="0"/>
  </sheetViews>
  <sheetFormatPr defaultColWidth="8.81640625" defaultRowHeight="14.5"/>
  <cols>
    <col min="1" max="1" width="7.453125" style="6" customWidth="1"/>
    <col min="2" max="2" width="14.453125" style="6" customWidth="1"/>
    <col min="3" max="3" width="15.7265625" style="6" customWidth="1"/>
    <col min="4" max="4" width="16.1796875" style="6" customWidth="1"/>
    <col min="5" max="5" width="18" style="6" bestFit="1" customWidth="1"/>
    <col min="6" max="6" width="16.453125" style="6" customWidth="1"/>
    <col min="7" max="7" width="17.26953125" style="6" customWidth="1"/>
    <col min="8" max="8" width="18" style="6" customWidth="1"/>
    <col min="9" max="9" width="15.54296875" style="6" customWidth="1"/>
    <col min="10" max="13" width="18.54296875" style="6" customWidth="1"/>
    <col min="14" max="14" width="15.54296875" style="6" customWidth="1"/>
    <col min="15" max="15" width="18.7265625" style="6" customWidth="1"/>
    <col min="16" max="17" width="15.54296875" style="6" customWidth="1"/>
    <col min="18" max="18" width="15" style="6" customWidth="1"/>
    <col min="19" max="19" width="14" style="6" customWidth="1"/>
    <col min="20" max="20" width="15.54296875" style="6" customWidth="1"/>
    <col min="21" max="21" width="16.54296875" style="6" customWidth="1"/>
    <col min="22" max="23" width="14" style="6" customWidth="1"/>
    <col min="24" max="24" width="37.7265625" style="6" customWidth="1"/>
    <col min="25" max="25" width="14.81640625" style="6" bestFit="1" customWidth="1"/>
    <col min="26" max="26" width="12.81640625" style="6" customWidth="1"/>
    <col min="27" max="27" width="14.7265625" style="6" customWidth="1"/>
    <col min="28" max="28" width="8.81640625" style="6"/>
    <col min="29" max="31" width="16.26953125" style="6" customWidth="1"/>
    <col min="32" max="16384" width="8.81640625" style="6"/>
  </cols>
  <sheetData>
    <row r="1" spans="1:31" s="169" customFormat="1" ht="25.5" customHeight="1">
      <c r="A1" s="395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</row>
    <row r="2" spans="1:31">
      <c r="A2" s="84"/>
      <c r="B2" s="569"/>
      <c r="C2" s="569"/>
      <c r="D2" s="569"/>
      <c r="F2" s="84"/>
    </row>
    <row r="3" spans="1:31">
      <c r="E3" s="570" t="s">
        <v>380</v>
      </c>
      <c r="F3" s="570"/>
      <c r="G3" s="570"/>
      <c r="H3" s="570"/>
      <c r="I3" s="570"/>
      <c r="J3" s="245"/>
      <c r="K3" s="245"/>
      <c r="M3" s="108"/>
      <c r="N3" s="108"/>
      <c r="O3" s="108"/>
      <c r="P3" s="324"/>
      <c r="Q3" s="324"/>
      <c r="R3" s="324"/>
      <c r="S3" s="324"/>
      <c r="T3" s="324"/>
      <c r="U3" s="245"/>
      <c r="V3" s="245"/>
    </row>
    <row r="4" spans="1:31" ht="15.75" customHeight="1">
      <c r="D4" s="1"/>
      <c r="E4" s="146">
        <f>'Res Bill Impact'!E4</f>
        <v>2026</v>
      </c>
      <c r="F4" s="176">
        <f>'Res Bill Impact'!F4</f>
        <v>46023</v>
      </c>
      <c r="G4" s="176">
        <f>'Res Bill Impact'!G4</f>
        <v>46023</v>
      </c>
      <c r="H4" s="109" t="s">
        <v>174</v>
      </c>
      <c r="I4" s="109" t="s">
        <v>174</v>
      </c>
      <c r="J4" s="109"/>
      <c r="K4" s="109"/>
      <c r="L4" s="19"/>
      <c r="O4" s="1"/>
      <c r="P4" s="146"/>
      <c r="Q4" s="176"/>
      <c r="R4" s="176"/>
      <c r="S4" s="109"/>
      <c r="T4" s="109"/>
      <c r="U4" s="109"/>
      <c r="V4" s="109"/>
    </row>
    <row r="5" spans="1:31" ht="30.75" customHeight="1">
      <c r="D5" s="1"/>
      <c r="E5" s="109" t="s">
        <v>126</v>
      </c>
      <c r="F5" s="109" t="s">
        <v>175</v>
      </c>
      <c r="G5" s="109" t="s">
        <v>176</v>
      </c>
      <c r="H5" s="109" t="s">
        <v>175</v>
      </c>
      <c r="I5" s="109" t="s">
        <v>176</v>
      </c>
      <c r="J5" s="109"/>
      <c r="K5" s="109"/>
      <c r="L5" s="80"/>
      <c r="M5" s="110"/>
      <c r="N5" s="110"/>
      <c r="O5" s="80"/>
      <c r="P5" s="109"/>
      <c r="Q5" s="109"/>
      <c r="R5" s="109"/>
      <c r="S5" s="109"/>
      <c r="T5" s="109"/>
      <c r="U5" s="109"/>
      <c r="V5" s="109"/>
      <c r="AD5" s="44"/>
      <c r="AE5" s="44"/>
    </row>
    <row r="6" spans="1:31" ht="42" customHeight="1">
      <c r="B6" s="111"/>
      <c r="D6" s="111"/>
      <c r="E6" s="1"/>
      <c r="F6" s="1"/>
      <c r="G6" s="1"/>
      <c r="J6" s="19"/>
      <c r="K6" s="19"/>
      <c r="L6" s="19"/>
      <c r="O6" s="111"/>
      <c r="P6" s="1"/>
      <c r="Q6" s="1"/>
      <c r="R6" s="1"/>
      <c r="U6" s="19"/>
      <c r="V6" s="19"/>
      <c r="Y6" s="264" t="s">
        <v>112</v>
      </c>
      <c r="Z6" s="264" t="s">
        <v>324</v>
      </c>
      <c r="AA6" s="264" t="s">
        <v>3</v>
      </c>
      <c r="AC6" s="110"/>
      <c r="AD6" s="110"/>
      <c r="AE6" s="110"/>
    </row>
    <row r="7" spans="1:31" ht="15.5">
      <c r="D7" s="112" t="s">
        <v>381</v>
      </c>
      <c r="E7" s="241">
        <f>'Bill Impact (TOU-A)'!E7</f>
        <v>144755901.24835202</v>
      </c>
      <c r="F7" s="113">
        <f>'Bill Impact (TOU-A)'!F7</f>
        <v>0.57728000000000002</v>
      </c>
      <c r="G7" s="114">
        <f>F7*E7</f>
        <v>83564686.672648653</v>
      </c>
      <c r="H7" s="171">
        <f>F7+(F7*$AD$12)</f>
        <v>0.57728000000000002</v>
      </c>
      <c r="I7" s="114">
        <f>E7*H7</f>
        <v>83564686.672648653</v>
      </c>
      <c r="J7" s="171"/>
      <c r="K7" s="269"/>
      <c r="L7" s="115"/>
      <c r="O7" s="112"/>
      <c r="P7" s="327"/>
      <c r="Q7" s="119"/>
      <c r="R7" s="328"/>
      <c r="S7" s="171"/>
      <c r="T7" s="328"/>
      <c r="U7" s="171"/>
      <c r="V7" s="269"/>
      <c r="W7" s="115"/>
      <c r="X7" s="6" t="s">
        <v>382</v>
      </c>
      <c r="AC7" s="306"/>
      <c r="AD7" s="275"/>
      <c r="AE7" s="275"/>
    </row>
    <row r="8" spans="1:31" ht="15.5">
      <c r="D8" s="116"/>
      <c r="E8" s="241"/>
      <c r="F8" s="113"/>
      <c r="G8" s="114"/>
      <c r="H8" s="171"/>
      <c r="I8" s="114"/>
      <c r="J8" s="171"/>
      <c r="K8" s="269"/>
      <c r="L8" s="115"/>
      <c r="O8" s="116"/>
      <c r="P8" s="327"/>
      <c r="Q8" s="119"/>
      <c r="R8" s="328"/>
      <c r="S8" s="171"/>
      <c r="T8" s="328"/>
      <c r="U8" s="171"/>
      <c r="V8" s="269"/>
      <c r="W8" s="115"/>
      <c r="X8" s="6" t="s">
        <v>184</v>
      </c>
      <c r="Y8" s="117">
        <f>'Bill Impact (TOU-A)'!Y8</f>
        <v>673434834</v>
      </c>
      <c r="Z8" s="117">
        <f>'Bill Impact (TOU-A)'!Z8</f>
        <v>593691820</v>
      </c>
      <c r="AA8" s="117">
        <f>'Bill Impact (TOU-A)'!AA8</f>
        <v>79743014</v>
      </c>
    </row>
    <row r="9" spans="1:31" ht="15.5">
      <c r="D9" s="112" t="s">
        <v>383</v>
      </c>
      <c r="E9" s="241">
        <f>'Bill Impact (TOU-A)'!E9</f>
        <v>479966892.11989152</v>
      </c>
      <c r="F9" s="113">
        <f>'Bill Impact (TOU-A)'!F9</f>
        <v>0.43218000000000001</v>
      </c>
      <c r="G9" s="114">
        <f>F9*E9</f>
        <v>207432091.43637472</v>
      </c>
      <c r="H9" s="171">
        <f>F9+(F9*$AD$12)</f>
        <v>0.43218000000000001</v>
      </c>
      <c r="I9" s="114">
        <f>E9*H9</f>
        <v>207432091.43637472</v>
      </c>
      <c r="J9" s="171"/>
      <c r="K9" s="269"/>
      <c r="L9" s="115"/>
      <c r="O9" s="112"/>
      <c r="P9" s="327"/>
      <c r="Q9" s="119"/>
      <c r="R9" s="328"/>
      <c r="S9" s="171"/>
      <c r="T9" s="328"/>
      <c r="U9" s="171"/>
      <c r="V9" s="269"/>
      <c r="W9" s="115"/>
      <c r="X9" s="6" t="s">
        <v>262</v>
      </c>
      <c r="Y9" s="196">
        <f>('Hypoth. SAR and RAR (TOU-A)'!U20+'Hypoth. SAR and RAR (TOU-A)'!W20)*1000</f>
        <v>0</v>
      </c>
      <c r="Z9" s="196">
        <f>('Hypoth. SAR and RAR (TOU-A)'!U20)*1000</f>
        <v>0</v>
      </c>
      <c r="AA9" s="170">
        <f>('Hypoth. SAR and RAR (TOU-A)'!W20)*1000</f>
        <v>0</v>
      </c>
      <c r="AB9" s="324"/>
    </row>
    <row r="10" spans="1:31" ht="15.5">
      <c r="D10" s="116"/>
      <c r="E10" s="241"/>
      <c r="F10" s="113"/>
      <c r="G10" s="114"/>
      <c r="H10" s="171"/>
      <c r="I10" s="114"/>
      <c r="J10" s="171"/>
      <c r="K10" s="269"/>
      <c r="L10" s="115"/>
      <c r="O10" s="116"/>
      <c r="P10" s="327"/>
      <c r="Q10" s="119"/>
      <c r="R10" s="328"/>
      <c r="S10" s="171"/>
      <c r="T10" s="328"/>
      <c r="U10" s="171"/>
      <c r="V10" s="269"/>
      <c r="W10" s="115"/>
      <c r="X10" s="6" t="s">
        <v>263</v>
      </c>
      <c r="Y10" s="117">
        <f>Y8+Y9</f>
        <v>673434834</v>
      </c>
      <c r="Z10" s="117">
        <f>Z8+Z9</f>
        <v>593691820</v>
      </c>
      <c r="AA10" s="117">
        <f>AA8+AA9</f>
        <v>79743014</v>
      </c>
      <c r="AD10" s="44" t="s">
        <v>326</v>
      </c>
      <c r="AE10" s="44"/>
    </row>
    <row r="11" spans="1:31" ht="15.5">
      <c r="D11" s="112" t="s">
        <v>384</v>
      </c>
      <c r="E11" s="241">
        <f>'Bill Impact (TOU-A)'!E11</f>
        <v>174668476.67082587</v>
      </c>
      <c r="F11" s="113">
        <f>'Bill Impact (TOU-A)'!F11</f>
        <v>0.44486000000000003</v>
      </c>
      <c r="G11" s="114">
        <f>F11*E11</f>
        <v>77703018.531783596</v>
      </c>
      <c r="H11" s="171">
        <f>F11+(F11*$AD$12)</f>
        <v>0.44486000000000003</v>
      </c>
      <c r="I11" s="114">
        <f>E11*H11</f>
        <v>77703018.531783596</v>
      </c>
      <c r="J11" s="171"/>
      <c r="K11" s="269"/>
      <c r="L11" s="115"/>
      <c r="O11" s="112"/>
      <c r="P11" s="327"/>
      <c r="Q11" s="119"/>
      <c r="R11" s="328"/>
      <c r="S11" s="171"/>
      <c r="T11" s="328"/>
      <c r="U11" s="171"/>
      <c r="V11" s="269"/>
      <c r="W11" s="115"/>
      <c r="Y11" s="117"/>
      <c r="AC11" s="131" t="s">
        <v>325</v>
      </c>
      <c r="AD11" s="264" t="s">
        <v>327</v>
      </c>
      <c r="AE11" s="44"/>
    </row>
    <row r="12" spans="1:31" ht="15.5">
      <c r="D12" s="116"/>
      <c r="E12" s="241"/>
      <c r="F12" s="113"/>
      <c r="G12" s="114"/>
      <c r="H12" s="171"/>
      <c r="I12" s="114"/>
      <c r="J12" s="171"/>
      <c r="K12" s="269"/>
      <c r="L12" s="115"/>
      <c r="O12" s="116"/>
      <c r="P12" s="327"/>
      <c r="Q12" s="119"/>
      <c r="R12" s="328"/>
      <c r="S12" s="171"/>
      <c r="T12" s="328"/>
      <c r="U12" s="171"/>
      <c r="V12" s="269"/>
      <c r="W12" s="115"/>
      <c r="X12" s="6" t="s">
        <v>386</v>
      </c>
      <c r="Y12" s="264" t="s">
        <v>112</v>
      </c>
      <c r="Z12" s="264" t="s">
        <v>324</v>
      </c>
      <c r="AA12" s="264" t="s">
        <v>3</v>
      </c>
      <c r="AC12" s="6">
        <f>'Bill Impact (TOU-A)'!AC16</f>
        <v>0.39665000000000006</v>
      </c>
      <c r="AD12" s="165">
        <f>Y14/100/AC12</f>
        <v>0</v>
      </c>
      <c r="AE12" s="272"/>
    </row>
    <row r="13" spans="1:31" ht="15.5">
      <c r="D13" s="112" t="s">
        <v>385</v>
      </c>
      <c r="E13" s="241">
        <f>'Bill Impact (TOU-A)'!E13</f>
        <v>605311800.02096272</v>
      </c>
      <c r="F13" s="113">
        <f>'Bill Impact (TOU-A)'!F13</f>
        <v>0.34650999999999998</v>
      </c>
      <c r="G13" s="114">
        <f>F13*E13</f>
        <v>209746591.82526377</v>
      </c>
      <c r="H13" s="171">
        <f>F13+(F13*$AD$12)</f>
        <v>0.34650999999999998</v>
      </c>
      <c r="I13" s="114">
        <f>E13*H13</f>
        <v>209746591.82526377</v>
      </c>
      <c r="J13" s="1"/>
      <c r="K13" s="121"/>
      <c r="L13" s="115"/>
      <c r="O13" s="116"/>
      <c r="P13" s="120"/>
      <c r="Q13" s="119"/>
      <c r="R13" s="120"/>
      <c r="S13" s="1"/>
      <c r="T13" s="121"/>
      <c r="U13" s="1"/>
      <c r="V13" s="121"/>
      <c r="X13" s="6" t="s">
        <v>363</v>
      </c>
      <c r="Y13" s="303">
        <f>+Z13+AA13</f>
        <v>39.664999999999999</v>
      </c>
      <c r="Z13" s="303">
        <f>'Bill Impact (TOU-A)'!Z15</f>
        <v>24.273999999999997</v>
      </c>
      <c r="AA13" s="303">
        <f>'Bill Impact (TOU-A)'!AA15</f>
        <v>15.391</v>
      </c>
      <c r="AC13" s="271"/>
      <c r="AD13" s="96"/>
      <c r="AE13" s="265"/>
    </row>
    <row r="14" spans="1:31" ht="15.5">
      <c r="D14" s="116"/>
      <c r="E14" s="241"/>
      <c r="F14" s="113"/>
      <c r="G14" s="114"/>
      <c r="H14" s="171"/>
      <c r="I14" s="114"/>
      <c r="J14" s="120"/>
      <c r="K14" s="120"/>
      <c r="L14" s="115"/>
      <c r="O14" s="116"/>
      <c r="P14" s="120"/>
      <c r="Q14" s="119"/>
      <c r="R14" s="120"/>
      <c r="S14" s="120"/>
      <c r="T14" s="120"/>
      <c r="U14" s="120"/>
      <c r="V14" s="120"/>
      <c r="X14" s="6" t="s">
        <v>262</v>
      </c>
      <c r="Y14" s="303">
        <f>+Z14+AA14</f>
        <v>0</v>
      </c>
      <c r="Z14" s="303">
        <f>+Z9/(IF('Hypothetical Summary'!$H$3,'Hypoth. SAR and RAR (TOU-A)'!$C$24,'Hypoth. SAR and RAR (TOU-A)'!$C$34)*1000)*100</f>
        <v>0</v>
      </c>
      <c r="AA14" s="303">
        <f>+AA9/(IF('Hypothetical Summary'!$H$3=2026,'Hypoth. SAR and RAR (TOU-A)'!$E$24,'Hypoth. SAR and RAR (TOU-A)'!$E$34)*1000)*100</f>
        <v>0</v>
      </c>
      <c r="AD14" s="44"/>
      <c r="AE14" s="44"/>
    </row>
    <row r="15" spans="1:31" ht="15.5">
      <c r="D15" s="116"/>
      <c r="E15" s="118"/>
      <c r="F15" s="119"/>
      <c r="G15" s="120"/>
      <c r="H15" s="120"/>
      <c r="I15" s="120"/>
      <c r="J15" s="120"/>
      <c r="K15" s="120"/>
      <c r="L15" s="115"/>
      <c r="O15" s="122"/>
      <c r="P15" s="120"/>
      <c r="Q15" s="119"/>
      <c r="R15" s="120"/>
      <c r="S15" s="120"/>
      <c r="T15" s="120"/>
      <c r="U15" s="120"/>
      <c r="V15" s="120"/>
      <c r="X15" s="6" t="s">
        <v>263</v>
      </c>
      <c r="Y15" s="303">
        <f>+Y14+Y13</f>
        <v>39.664999999999999</v>
      </c>
      <c r="Z15" s="303">
        <f>+Z14+Z13</f>
        <v>24.273999999999997</v>
      </c>
      <c r="AA15" s="303">
        <f>+AA14+AA13</f>
        <v>15.391</v>
      </c>
      <c r="AC15" s="44"/>
      <c r="AD15" s="44"/>
      <c r="AE15" s="44"/>
    </row>
    <row r="16" spans="1:31" ht="15.5">
      <c r="P16" s="120"/>
      <c r="Q16" s="119"/>
      <c r="R16" s="120"/>
      <c r="AC16" s="267"/>
      <c r="AD16" s="266"/>
      <c r="AE16" s="267"/>
    </row>
    <row r="17" spans="1:31" ht="15.5">
      <c r="O17" s="123"/>
      <c r="R17" s="120"/>
      <c r="Y17" s="44"/>
      <c r="Z17" s="301"/>
      <c r="AA17" s="301"/>
    </row>
    <row r="18" spans="1:31" ht="15.5">
      <c r="Y18" s="44"/>
      <c r="Z18" s="301"/>
      <c r="AA18" s="301"/>
    </row>
    <row r="19" spans="1:31">
      <c r="B19" s="7"/>
      <c r="AD19" s="44"/>
      <c r="AE19" s="44"/>
    </row>
    <row r="20" spans="1:31">
      <c r="B20" s="723" t="s">
        <v>387</v>
      </c>
      <c r="C20" s="124"/>
      <c r="E20" s="125"/>
      <c r="F20" s="125"/>
      <c r="H20" s="124"/>
      <c r="I20" s="6" t="str">
        <f>'Bill Impact (TOU-A)'!I20</f>
        <v>2025 Recorded Data</v>
      </c>
      <c r="P20" s="362"/>
      <c r="Q20" s="363"/>
      <c r="R20" s="363"/>
      <c r="S20" s="363"/>
      <c r="T20" s="363"/>
      <c r="U20" s="568"/>
      <c r="V20" s="568"/>
      <c r="AD20" s="44"/>
      <c r="AE20" s="44"/>
    </row>
    <row r="21" spans="1:31">
      <c r="B21" s="128" t="s">
        <v>175</v>
      </c>
      <c r="C21" s="129" t="str">
        <f>'Res Bill Impact'!C21</f>
        <v>10/1/2025</v>
      </c>
      <c r="D21" s="323" t="str">
        <f>'Res Bill Impact'!D21</f>
        <v>1/1/26</v>
      </c>
      <c r="E21" s="130" t="s">
        <v>174</v>
      </c>
      <c r="F21" s="125"/>
      <c r="I21" s="126" t="s">
        <v>388</v>
      </c>
      <c r="J21" s="573" t="s">
        <v>192</v>
      </c>
      <c r="K21" s="574"/>
      <c r="L21" s="573" t="s">
        <v>193</v>
      </c>
      <c r="M21" s="574"/>
      <c r="Q21" s="568"/>
      <c r="R21" s="568"/>
      <c r="S21" s="568"/>
      <c r="T21" s="568"/>
      <c r="U21" s="44"/>
      <c r="V21" s="44"/>
      <c r="AD21" s="272"/>
      <c r="AE21" s="272"/>
    </row>
    <row r="22" spans="1:31">
      <c r="A22" s="6" t="s">
        <v>192</v>
      </c>
      <c r="B22" s="132" t="s">
        <v>389</v>
      </c>
      <c r="C22" s="135">
        <f>'Bill Impact (TOU-A)'!C22</f>
        <v>0.53845999999999994</v>
      </c>
      <c r="D22" s="135">
        <f>'Bill Impact (TOU-A)'!D22</f>
        <v>0.57728000000000002</v>
      </c>
      <c r="E22" s="135">
        <f>H7</f>
        <v>0.57728000000000002</v>
      </c>
      <c r="F22" s="246"/>
      <c r="H22" s="364"/>
      <c r="I22" s="365" t="s">
        <v>390</v>
      </c>
      <c r="J22" s="335" t="s">
        <v>391</v>
      </c>
      <c r="K22" s="335" t="s">
        <v>392</v>
      </c>
      <c r="L22" s="335" t="s">
        <v>391</v>
      </c>
      <c r="M22" s="335" t="s">
        <v>392</v>
      </c>
      <c r="N22" s="335" t="s">
        <v>196</v>
      </c>
      <c r="O22" s="335" t="s">
        <v>393</v>
      </c>
      <c r="Q22" s="147"/>
      <c r="R22" s="147"/>
      <c r="S22" s="147"/>
      <c r="T22" s="147"/>
      <c r="U22" s="366"/>
      <c r="V22" s="366"/>
    </row>
    <row r="23" spans="1:31">
      <c r="B23" s="132" t="s">
        <v>394</v>
      </c>
      <c r="C23" s="135">
        <f>'Bill Impact (TOU-A)'!C23</f>
        <v>0.41020000000000001</v>
      </c>
      <c r="D23" s="135">
        <f>'Bill Impact (TOU-A)'!D23</f>
        <v>0.43218000000000001</v>
      </c>
      <c r="E23" s="135">
        <f>H9</f>
        <v>0.43218000000000001</v>
      </c>
      <c r="F23" s="246"/>
      <c r="I23" s="339" t="s">
        <v>395</v>
      </c>
      <c r="J23" s="340">
        <f>'Bill Impact (TOU-A)'!J23</f>
        <v>155.26415030752301</v>
      </c>
      <c r="K23" s="340">
        <f>'Bill Impact (TOU-A)'!K23</f>
        <v>818.50720363973301</v>
      </c>
      <c r="L23" s="340">
        <f>'Bill Impact (TOU-A)'!L23</f>
        <v>149.84836849896999</v>
      </c>
      <c r="M23" s="340">
        <f>'Bill Impact (TOU-A)'!M23</f>
        <v>778.46741210596599</v>
      </c>
      <c r="N23" s="341">
        <f>'Bill Impact (TOU-A)'!N23</f>
        <v>0.5490840118430792</v>
      </c>
      <c r="O23" s="342">
        <f>'Bill Impact (TOU-A)'!O23</f>
        <v>4.2966256634931304</v>
      </c>
      <c r="Q23" s="147"/>
      <c r="R23" s="147"/>
      <c r="S23" s="147"/>
      <c r="T23" s="147"/>
      <c r="U23" s="366"/>
      <c r="V23" s="366"/>
    </row>
    <row r="24" spans="1:31">
      <c r="A24" s="193" t="s">
        <v>193</v>
      </c>
      <c r="B24" s="198" t="s">
        <v>389</v>
      </c>
      <c r="C24" s="199">
        <f>'Bill Impact (TOU-A)'!C24</f>
        <v>0.42063</v>
      </c>
      <c r="D24" s="199">
        <f>'Bill Impact (TOU-A)'!D24</f>
        <v>0.44486000000000003</v>
      </c>
      <c r="E24" s="199">
        <f>H11</f>
        <v>0.44486000000000003</v>
      </c>
      <c r="F24" s="246"/>
      <c r="I24" s="339" t="s">
        <v>396</v>
      </c>
      <c r="J24" s="343">
        <f>'Bill Impact (TOU-A)'!J24</f>
        <v>179.56444444444401</v>
      </c>
      <c r="K24" s="343">
        <f>'Bill Impact (TOU-A)'!K24</f>
        <v>948.39886792452796</v>
      </c>
      <c r="L24" s="343">
        <f>'Bill Impact (TOU-A)'!L24</f>
        <v>141.06277328541401</v>
      </c>
      <c r="M24" s="343">
        <f>'Bill Impact (TOU-A)'!M24</f>
        <v>810.51623240491097</v>
      </c>
      <c r="N24" s="341">
        <f>'Bill Impact (TOU-A)'!N24</f>
        <v>0.22066987416728348</v>
      </c>
      <c r="O24" s="342">
        <f>'Bill Impact (TOU-A)'!O24</f>
        <v>6.5895195667365396</v>
      </c>
      <c r="Q24" s="147"/>
      <c r="R24" s="147"/>
      <c r="S24" s="147"/>
      <c r="T24" s="147"/>
      <c r="U24" s="366"/>
      <c r="V24" s="366"/>
    </row>
    <row r="25" spans="1:31">
      <c r="A25" s="193"/>
      <c r="B25" s="198" t="s">
        <v>394</v>
      </c>
      <c r="C25" s="199">
        <f>'Bill Impact (TOU-A)'!C25</f>
        <v>0.33616000000000001</v>
      </c>
      <c r="D25" s="199">
        <f>'Bill Impact (TOU-A)'!D25</f>
        <v>0.34650999999999998</v>
      </c>
      <c r="E25" s="199">
        <f>H13</f>
        <v>0.34650999999999998</v>
      </c>
      <c r="F25" s="246"/>
      <c r="I25" s="344" t="s">
        <v>397</v>
      </c>
      <c r="J25" s="345">
        <f>'Bill Impact (TOU-A)'!J25</f>
        <v>550.87936507936502</v>
      </c>
      <c r="K25" s="345">
        <f>'Bill Impact (TOU-A)'!K25</f>
        <v>2425.57355836849</v>
      </c>
      <c r="L25" s="345">
        <f>'Bill Impact (TOU-A)'!L25</f>
        <v>441.43732598524599</v>
      </c>
      <c r="M25" s="345">
        <f>'Bill Impact (TOU-A)'!M25</f>
        <v>1989.22549441717</v>
      </c>
      <c r="N25" s="346">
        <f>'Bill Impact (TOU-A)'!N25</f>
        <v>0.23024611398963732</v>
      </c>
      <c r="O25" s="347">
        <f>'Bill Impact (TOU-A)'!O25</f>
        <v>9.3798992030004609</v>
      </c>
      <c r="Q25" s="147"/>
      <c r="R25" s="147"/>
      <c r="S25" s="147"/>
      <c r="T25" s="147"/>
      <c r="U25" s="366"/>
      <c r="V25" s="366"/>
    </row>
    <row r="26" spans="1:31">
      <c r="I26" s="117"/>
      <c r="J26" s="117"/>
      <c r="M26" s="117"/>
      <c r="N26" s="117"/>
      <c r="Q26" s="147"/>
      <c r="R26" s="147"/>
      <c r="S26" s="147"/>
      <c r="T26" s="147"/>
      <c r="U26" s="200"/>
      <c r="V26" s="200"/>
    </row>
    <row r="27" spans="1:31">
      <c r="B27" s="7"/>
      <c r="C27" s="201"/>
      <c r="D27" s="201"/>
      <c r="E27" s="202"/>
      <c r="F27" s="202"/>
      <c r="I27" s="117"/>
      <c r="J27" s="117"/>
      <c r="M27" s="117"/>
      <c r="N27" s="117"/>
      <c r="Q27" s="147"/>
      <c r="R27" s="147"/>
      <c r="S27" s="147"/>
      <c r="T27" s="147"/>
      <c r="U27" s="200"/>
      <c r="V27" s="200"/>
    </row>
    <row r="28" spans="1:31">
      <c r="B28" s="7"/>
      <c r="C28" s="201"/>
      <c r="D28" s="201"/>
      <c r="E28" s="202"/>
      <c r="F28" s="202"/>
      <c r="I28" s="117"/>
      <c r="J28" s="117"/>
      <c r="M28" s="117"/>
      <c r="N28" s="117"/>
    </row>
    <row r="29" spans="1:31">
      <c r="B29" s="7"/>
      <c r="C29" s="201"/>
      <c r="D29" s="201"/>
      <c r="E29" s="202"/>
      <c r="F29" s="202"/>
      <c r="I29" s="117"/>
      <c r="J29" s="117"/>
      <c r="M29" s="117"/>
      <c r="N29" s="117"/>
      <c r="Q29" s="147"/>
      <c r="R29" s="147"/>
      <c r="S29" s="147"/>
      <c r="T29" s="147"/>
      <c r="U29" s="200"/>
      <c r="V29" s="200"/>
    </row>
    <row r="30" spans="1:31">
      <c r="B30" s="7"/>
      <c r="C30" s="201"/>
      <c r="D30" s="201"/>
      <c r="E30" s="202"/>
      <c r="F30" s="202"/>
    </row>
    <row r="31" spans="1:31" ht="18">
      <c r="A31" s="237"/>
      <c r="B31" s="7"/>
      <c r="C31" s="201"/>
      <c r="D31" s="201"/>
      <c r="E31" s="202"/>
      <c r="F31" s="202"/>
      <c r="I31" s="237"/>
      <c r="J31" s="237"/>
      <c r="N31" s="48"/>
    </row>
    <row r="32" spans="1:31" ht="27">
      <c r="B32" s="579" t="s">
        <v>398</v>
      </c>
      <c r="C32" s="579"/>
      <c r="D32" s="579"/>
      <c r="E32" s="579"/>
      <c r="F32" s="579"/>
      <c r="G32" s="579"/>
      <c r="H32" s="579"/>
      <c r="L32" s="125" t="s">
        <v>399</v>
      </c>
      <c r="O32" s="125"/>
    </row>
    <row r="33" spans="2:27">
      <c r="B33" s="7"/>
      <c r="C33" s="475" t="str">
        <f>'Bill Impact (TOU-A)'!C33</f>
        <v>2025 Recorded Average Basic Bundled Non-CARE Customer Bill</v>
      </c>
      <c r="D33" s="365"/>
      <c r="E33" s="365"/>
      <c r="F33" s="365"/>
      <c r="G33" s="365"/>
      <c r="H33" s="474"/>
      <c r="I33" s="578"/>
      <c r="J33" s="577"/>
      <c r="K33" s="7"/>
      <c r="L33" s="132" t="s">
        <v>400</v>
      </c>
      <c r="M33" s="352" t="str">
        <f>C21</f>
        <v>10/1/2025</v>
      </c>
      <c r="N33" s="323" t="str">
        <f>D21</f>
        <v>1/1/26</v>
      </c>
      <c r="O33" s="132"/>
      <c r="P33" s="176"/>
      <c r="Q33" s="367"/>
    </row>
    <row r="34" spans="2:27">
      <c r="B34" s="7"/>
      <c r="C34" s="577" t="str">
        <f>C21</f>
        <v>10/1/2025</v>
      </c>
      <c r="D34" s="577"/>
      <c r="E34" s="578" t="str">
        <f>D21</f>
        <v>1/1/26</v>
      </c>
      <c r="F34" s="577"/>
      <c r="G34" s="577" t="str">
        <f>E21</f>
        <v>Proposed</v>
      </c>
      <c r="H34" s="577"/>
      <c r="I34" s="201"/>
      <c r="J34" s="201"/>
      <c r="K34" s="7"/>
      <c r="L34" s="132" t="s">
        <v>401</v>
      </c>
      <c r="M34" s="356">
        <f>'Bill Impact (TOU-A)'!M34</f>
        <v>11.45</v>
      </c>
      <c r="N34" s="356">
        <f>'Bill Impact (TOU-A)'!N34</f>
        <v>11.45</v>
      </c>
      <c r="O34" s="132"/>
      <c r="P34" s="356"/>
      <c r="Q34" s="356"/>
    </row>
    <row r="35" spans="2:27">
      <c r="B35" s="7"/>
      <c r="C35" s="201" t="s">
        <v>192</v>
      </c>
      <c r="D35" s="201" t="s">
        <v>193</v>
      </c>
      <c r="E35" s="201" t="s">
        <v>192</v>
      </c>
      <c r="F35" s="201" t="s">
        <v>193</v>
      </c>
      <c r="G35" s="201" t="s">
        <v>192</v>
      </c>
      <c r="H35" s="201" t="s">
        <v>193</v>
      </c>
      <c r="I35" s="247"/>
      <c r="J35" s="247"/>
      <c r="L35" s="132" t="s">
        <v>402</v>
      </c>
      <c r="M35" s="356">
        <f>'Bill Impact (TOU-A)'!M35</f>
        <v>18.32</v>
      </c>
      <c r="N35" s="356">
        <f>'Bill Impact (TOU-A)'!N35</f>
        <v>18.32</v>
      </c>
      <c r="O35" s="132"/>
      <c r="P35" s="356"/>
      <c r="Q35" s="356"/>
      <c r="S35" s="256"/>
    </row>
    <row r="36" spans="2:27">
      <c r="B36" s="136" t="s">
        <v>395</v>
      </c>
      <c r="C36" s="157">
        <f>((C22*$J$23)+(C23*$K$23))+IF($O23&lt;5.1,$M$34,IF(AND($O23&gt;5,$O23&lt;20.1),$M$35,IF(AND($O23&gt;20,$O23&lt;50.1),$M$36,IF($O23&gt;50,$M$37))))+('Incremental Rev Req'!F87*$J$23+'Incremental Rev Req'!F87*$K$23)</f>
        <v>431.77896066155455</v>
      </c>
      <c r="D36" s="157">
        <f>((C24*$L$23)+(C25*$M$23))+IF($O23&lt;5.1,$M$34,IF(AND($O23&gt;5,$O23&lt;20.1),$M$35,IF(AND($O23&gt;20,$O23&lt;50.1),$M$36,IF($O23&gt;50,$M$37))))+('Incremental Rev Req'!F87*$L$23+'Incremental Rev Req'!F87*$M$23)</f>
        <v>337.09864027586815</v>
      </c>
      <c r="E36" s="157">
        <f>((D22*$J$23)+(D23*$K$23))+IF($O23&lt;5.1,$N$34,IF(AND($O23&gt;5,$O23&lt;20.1),$N$35,IF(AND($O23&gt;20,$O23&lt;50.1),$N$36,IF($O23&gt;50,$N$37))))+('Incremental Rev Req'!F87*$J$23+'Incremental Rev Req'!F87*$K$23)</f>
        <v>455.79710331249396</v>
      </c>
      <c r="F36" s="157">
        <f>((D24*$L$23)+(D25*$M$23))+IF($O23&lt;5.1,$N$34,IF(AND($O23&gt;5,$O23&lt;20.1),$N$35,IF(AND($O23&gt;20,$O23&lt;50.1),$N$36,IF($O23&gt;50,$N$37))))+('Incremental Rev Req'!F87*$L$23+'Incremental Rev Req'!F87*$M$23)</f>
        <v>348.78660395989493</v>
      </c>
      <c r="G36" s="157">
        <f>((E22*$J$23)+(E23*$K$23))+IF($O23&lt;5.1,$N$34,IF(AND($O23&gt;5,$O23&lt;20.1),$N$35,IF(AND($O23&gt;20,$O23&lt;50.1),$N$36,IF($O23&gt;50,$N$37))))+('Incremental Rev Req'!F87*$J$23+'Incremental Rev Req'!F87*$K$23)</f>
        <v>455.79710331249396</v>
      </c>
      <c r="H36" s="157">
        <f>((E24*$L$23)+(E25*$M$23))+IF($O23&lt;5.1,$N$34,IF(AND($O23&gt;5,$O23&lt;20.1),$N$35,IF(AND($O23&gt;20,$O23&lt;50.1),$N$36,IF($O23&gt;50,$N$37))))+('Incremental Rev Req'!F87*$L$23+'Incremental Rev Req'!F87*$M$23)</f>
        <v>348.78660395989493</v>
      </c>
      <c r="I36" s="305"/>
      <c r="J36" s="305"/>
      <c r="L36" s="132" t="s">
        <v>403</v>
      </c>
      <c r="M36" s="356">
        <f>'Bill Impact (TOU-A)'!M36</f>
        <v>34.35</v>
      </c>
      <c r="N36" s="356">
        <f>'Bill Impact (TOU-A)'!N36</f>
        <v>34.35</v>
      </c>
      <c r="O36" s="132"/>
      <c r="P36" s="356"/>
      <c r="Q36" s="356"/>
    </row>
    <row r="37" spans="2:27">
      <c r="B37" s="139" t="s">
        <v>396</v>
      </c>
      <c r="C37" s="157">
        <f>((C22*$J$24)+(C23*$K$24))+IF($O24&lt;5.1,$M$34,IF(AND($O24&gt;5,$O24&lt;20.1),$M$35,IF(AND($O24&gt;20,$O24&lt;50.1),$M$36,IF($O24&gt;50,$M$37))))+('Incremental Rev Req'!F87*$J$24+'Incremental Rev Req'!F87*$K$24)</f>
        <v>505.16944969056567</v>
      </c>
      <c r="D37" s="157">
        <f>((C24*$L$24)+(C25*$M$24))+IF($O24&lt;5.1,$M$34,IF(AND($O24&gt;5,$O24&lt;20.1),$M$35,IF(AND($O24&gt;20,$O24&lt;50.1),$M$36,IF($O24&gt;50,$M$37))))+('Incremental Rev Req'!F87*$L$24+'Incremental Rev Req'!F87*$M$24)</f>
        <v>351.06995001796889</v>
      </c>
      <c r="E37" s="157">
        <f>((D22*$J$24)+(D23*$K$24))+IF($O24&lt;5.1,$N$34,IF(AND($O24&gt;5,$O24&lt;20.1),$N$35,IF(AND($O24&gt;20,$O24&lt;50.1),$N$36,IF($O24&gt;50,$N$37))))+('Incremental Rev Req'!F87*$J$24+'Incremental Rev Req'!F87*$K$24)</f>
        <v>532.98594854088014</v>
      </c>
      <c r="F37" s="157">
        <f>((D24*$L$24)+(D25*$M$24))+IF($O24&lt;5.1,$N$34,IF(AND($O24&gt;5,$O24&lt;20.1),$N$35,IF(AND($O24&gt;20,$O24&lt;50.1),$N$36,IF($O24&gt;50,$N$37))))+('Incremental Rev Req'!F87*$L$24+'Incremental Rev Req'!F87*$M$24)</f>
        <v>362.8767440200653</v>
      </c>
      <c r="G37" s="157">
        <f>((E22*$J$24)+(E23*$K$24))+IF($O24&lt;5.1,$N$34,IF(AND($O24&gt;5,$O24&lt;20.1),$N$35,IF(AND($O24&gt;20,$O24&lt;50.1),$N$36,IF($O24&gt;50,$N$37))))+('Incremental Rev Req'!F87*$J$24+'Incremental Rev Req'!F87*$K$24)</f>
        <v>532.98594854088014</v>
      </c>
      <c r="H37" s="157">
        <f>((E24*$L$24)+(E25*$M$24))+IF($O24&lt;5.1,$N$34,IF(AND($O24&gt;5,$O24&lt;20.1),$N$35,IF(AND($O24&gt;20,$O24&lt;50.1),$N$36,IF($O24&gt;50,$N$37))))+('Incremental Rev Req'!F87*$L$24+'Incremental Rev Req'!F87*$M$24)</f>
        <v>362.8767440200653</v>
      </c>
      <c r="I37" s="305"/>
      <c r="J37" s="305"/>
      <c r="L37" s="132" t="s">
        <v>404</v>
      </c>
      <c r="M37" s="356">
        <f>'Bill Impact (TOU-A)'!M37</f>
        <v>85.87</v>
      </c>
      <c r="N37" s="356">
        <f>'Bill Impact (TOU-A)'!N37</f>
        <v>85.87</v>
      </c>
      <c r="O37" s="132"/>
      <c r="P37" s="356"/>
      <c r="Q37" s="356"/>
      <c r="X37" s="10"/>
      <c r="Y37" s="10"/>
      <c r="Z37" s="10"/>
      <c r="AA37" s="10"/>
    </row>
    <row r="38" spans="2:27">
      <c r="B38" s="142" t="s">
        <v>397</v>
      </c>
      <c r="C38" s="157">
        <f>((C22*$J$25)+(C23*$K$25))+IF($O25&lt;5.1,$M$34,IF(AND($O25&gt;5,$O25&lt;20.1),$M$35,IF(AND($O25&gt;20,$O25&lt;50.1),$M$36,IF($O25&gt;50,$M$37))))+('Incremental Rev Req'!F87*$J$25+'Incremental Rev Req'!F87*$K$25)</f>
        <v>1312.8932294868373</v>
      </c>
      <c r="D38" s="157">
        <f>((C24*$L$25)+(C25*$M$25))+IF($O25&lt;5.1,$M$34,IF(AND($O25&gt;5,$O25&lt;20.1),$M$35,IF(AND($O25&gt;20,$O25&lt;50.1),$M$36,IF($O25&gt;50,$M$37))))+('Incremental Rev Req'!F87*$L$25+'Incremental Rev Req'!F87*$M$25)</f>
        <v>875.13048745285244</v>
      </c>
      <c r="E38" s="157">
        <f>((D22*$J$25)+(D23*$K$25))+IF($O25&lt;5.1,$N$34,IF(AND($O25&gt;5,$O25&lt;20.1),$N$35,IF(AND($O25&gt;20,$O25&lt;50.1),$N$36,IF($O25&gt;50,$N$37))))+('Incremental Rev Req'!F87*$J$25+'Incremental Rev Req'!F87*$K$25)</f>
        <v>1387.5924732521576</v>
      </c>
      <c r="F38" s="157">
        <f>((D24*$L$25)+(D25*$M$25))+IF($O25&lt;5.1,$N$34,IF(AND($O25&gt;5,$O25&lt;20.1),$N$35,IF(AND($O25&gt;20,$O25&lt;50.1),$N$36,IF($O25&gt;50,$N$37))))+('Incremental Rev Req'!F87*$L$25+'Incremental Rev Req'!F87*$M$25)</f>
        <v>906.41499772869258</v>
      </c>
      <c r="G38" s="157">
        <f>((E22*$J$25)+(E23*$K$25))+IF($O25&lt;5.1,$N$34,IF(AND($O25&gt;5,$O25&lt;20.1),$N$35,IF(AND($O25&gt;20,$O25&lt;50.1),$N$36,IF($O25&gt;50,$N$37))))+('Incremental Rev Req'!F87*$J$25+'Incremental Rev Req'!F87*$K$25)</f>
        <v>1387.5924732521576</v>
      </c>
      <c r="H38" s="157">
        <f>((E24*$L$25)+(E25*$M$25))+IF($O25&lt;5.1,$N$34,IF(AND($O25&gt;5,$O25&lt;20.1),$N$35,IF(AND($O25&gt;20,$O25&lt;50.1),$N$36,IF($O25&gt;50,$N$37))))+('Incremental Rev Req'!F87*$L$25+'Incremental Rev Req'!F87*$M$25)</f>
        <v>906.41499772869258</v>
      </c>
      <c r="I38" s="305"/>
      <c r="J38" s="305"/>
      <c r="L38" s="141"/>
      <c r="M38" s="141"/>
      <c r="N38" s="141"/>
      <c r="O38" s="141"/>
      <c r="P38" s="141"/>
      <c r="Q38" s="141"/>
    </row>
    <row r="39" spans="2:27">
      <c r="B39" s="6" t="s">
        <v>112</v>
      </c>
      <c r="C39" s="155">
        <f t="shared" ref="C39:H39" si="0">SUMPRODUCT(C36:C38,$N$23:$N$25)</f>
        <v>650.8471670185038</v>
      </c>
      <c r="D39" s="155">
        <f t="shared" si="0"/>
        <v>464.06142945377678</v>
      </c>
      <c r="E39" s="155">
        <f t="shared" si="0"/>
        <v>687.37261903830392</v>
      </c>
      <c r="F39" s="155">
        <f t="shared" si="0"/>
        <v>480.28764410952107</v>
      </c>
      <c r="G39" s="155">
        <f t="shared" si="0"/>
        <v>687.37261903830392</v>
      </c>
      <c r="H39" s="155">
        <f t="shared" si="0"/>
        <v>480.28764410952107</v>
      </c>
      <c r="I39" s="145"/>
      <c r="J39" s="145"/>
      <c r="K39" s="7"/>
      <c r="L39" s="141"/>
      <c r="M39" s="141"/>
      <c r="N39" s="156"/>
      <c r="O39" s="141"/>
      <c r="P39" s="145"/>
      <c r="Q39" s="145"/>
    </row>
    <row r="40" spans="2:27">
      <c r="B40" s="368"/>
      <c r="C40" s="369"/>
      <c r="D40" s="369"/>
      <c r="E40" s="369"/>
      <c r="F40" s="369"/>
      <c r="G40" s="145"/>
      <c r="H40" s="145"/>
    </row>
  </sheetData>
  <mergeCells count="12">
    <mergeCell ref="B2:D2"/>
    <mergeCell ref="E3:I3"/>
    <mergeCell ref="U20:V20"/>
    <mergeCell ref="J21:K21"/>
    <mergeCell ref="L21:M21"/>
    <mergeCell ref="Q21:R21"/>
    <mergeCell ref="S21:T21"/>
    <mergeCell ref="B32:H32"/>
    <mergeCell ref="I33:J33"/>
    <mergeCell ref="C34:D34"/>
    <mergeCell ref="E34:F34"/>
    <mergeCell ref="G34:H3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9B048-FAAD-4923-9831-A369F9903490}">
  <sheetPr codeName="Sheet11">
    <tabColor rgb="FFFF99FF"/>
  </sheetPr>
  <dimension ref="A1:C5"/>
  <sheetViews>
    <sheetView workbookViewId="0"/>
  </sheetViews>
  <sheetFormatPr defaultRowHeight="14.5"/>
  <cols>
    <col min="1" max="1" width="22.453125" customWidth="1"/>
    <col min="2" max="2" width="17.7265625" customWidth="1"/>
    <col min="3" max="3" width="13.81640625" customWidth="1"/>
  </cols>
  <sheetData>
    <row r="1" spans="1:3" ht="26">
      <c r="A1" s="214" t="s">
        <v>230</v>
      </c>
      <c r="B1" s="214" t="s">
        <v>494</v>
      </c>
      <c r="C1" s="214" t="s">
        <v>229</v>
      </c>
    </row>
    <row r="2" spans="1:3">
      <c r="A2" s="215" t="s">
        <v>227</v>
      </c>
      <c r="B2" s="215" t="s">
        <v>228</v>
      </c>
    </row>
    <row r="3" spans="1:3">
      <c r="A3" s="216">
        <v>1427523211.5190728</v>
      </c>
      <c r="B3" s="216">
        <v>7311830317.4004517</v>
      </c>
      <c r="C3" s="459">
        <f>A3/B3</f>
        <v>0.19523472913777831</v>
      </c>
    </row>
    <row r="5" spans="1:3">
      <c r="A5" t="s">
        <v>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6051-D3A7-4594-BBBC-6974B096BEEC}">
  <sheetPr codeName="Sheet12"/>
  <dimension ref="A1:T31"/>
  <sheetViews>
    <sheetView workbookViewId="0"/>
  </sheetViews>
  <sheetFormatPr defaultRowHeight="14.5"/>
  <cols>
    <col min="1" max="1" width="2.453125" customWidth="1"/>
    <col min="2" max="2" width="14" bestFit="1" customWidth="1"/>
    <col min="3" max="3" width="5.453125" bestFit="1" customWidth="1"/>
    <col min="4" max="17" width="15.7265625" customWidth="1"/>
    <col min="18" max="18" width="14.26953125" customWidth="1"/>
    <col min="20" max="20" width="12.54296875" customWidth="1"/>
  </cols>
  <sheetData>
    <row r="1" spans="1:20" ht="42.75" customHeight="1">
      <c r="C1" s="6"/>
      <c r="D1" s="563" t="s">
        <v>367</v>
      </c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</row>
    <row r="2" spans="1:20" ht="31">
      <c r="C2" s="1"/>
      <c r="D2" s="307" t="s">
        <v>3</v>
      </c>
      <c r="E2" s="81" t="s">
        <v>373</v>
      </c>
      <c r="F2" s="81" t="s">
        <v>59</v>
      </c>
      <c r="G2" s="81" t="s">
        <v>5</v>
      </c>
      <c r="H2" s="81" t="s">
        <v>98</v>
      </c>
      <c r="I2" s="81" t="s">
        <v>14</v>
      </c>
      <c r="J2" s="81" t="s">
        <v>80</v>
      </c>
      <c r="K2" s="81" t="s">
        <v>99</v>
      </c>
      <c r="L2" s="81" t="s">
        <v>97</v>
      </c>
      <c r="M2" s="81" t="s">
        <v>78</v>
      </c>
      <c r="N2" s="81" t="s">
        <v>10</v>
      </c>
      <c r="O2" s="81" t="s">
        <v>221</v>
      </c>
      <c r="P2" s="81" t="s">
        <v>87</v>
      </c>
      <c r="Q2" s="308" t="s">
        <v>251</v>
      </c>
      <c r="R2" s="80" t="s">
        <v>424</v>
      </c>
      <c r="S2" s="80" t="s">
        <v>420</v>
      </c>
      <c r="T2" s="80"/>
    </row>
    <row r="3" spans="1:20" ht="15.5">
      <c r="A3" s="1"/>
      <c r="B3" s="276" t="s">
        <v>184</v>
      </c>
      <c r="C3" s="312">
        <v>2026</v>
      </c>
      <c r="D3" s="386">
        <v>0.40473764964178593</v>
      </c>
      <c r="E3" s="387">
        <v>0.19327545344183236</v>
      </c>
      <c r="F3" s="387">
        <v>0.39851332033456138</v>
      </c>
      <c r="G3" s="387">
        <v>0.43051155139593206</v>
      </c>
      <c r="H3" s="387">
        <v>0.93344443986239845</v>
      </c>
      <c r="I3" s="387">
        <v>0.40427529966097542</v>
      </c>
      <c r="J3" s="387">
        <v>0.37542576794475174</v>
      </c>
      <c r="K3" s="387">
        <v>0.35317862577261211</v>
      </c>
      <c r="L3" s="387">
        <v>0</v>
      </c>
      <c r="M3" s="387">
        <v>0</v>
      </c>
      <c r="N3" s="387">
        <v>0.45385202964924726</v>
      </c>
      <c r="O3" s="387">
        <v>0.36967490452336516</v>
      </c>
      <c r="P3" s="387">
        <v>0.31719926753039335</v>
      </c>
      <c r="Q3" s="388">
        <v>0.40678987326763938</v>
      </c>
      <c r="R3" s="385">
        <v>-49.36479961202253</v>
      </c>
      <c r="S3">
        <v>1E-3</v>
      </c>
    </row>
    <row r="4" spans="1:20" ht="15.5">
      <c r="B4" s="17" t="s">
        <v>495</v>
      </c>
      <c r="C4" s="312">
        <v>2027</v>
      </c>
      <c r="D4" s="389">
        <v>0.40473764964178593</v>
      </c>
      <c r="E4" s="389">
        <v>0.19327545344183236</v>
      </c>
      <c r="F4" s="390">
        <v>0.39851332033456138</v>
      </c>
      <c r="G4" s="390">
        <v>0.43051155139593206</v>
      </c>
      <c r="H4" s="390">
        <v>0.93344443986239845</v>
      </c>
      <c r="I4" s="390">
        <v>0.40427529966097542</v>
      </c>
      <c r="J4" s="390">
        <v>0.37542576794475174</v>
      </c>
      <c r="K4" s="390">
        <v>0.35317862577261211</v>
      </c>
      <c r="L4" s="390">
        <v>0</v>
      </c>
      <c r="M4" s="390">
        <v>0</v>
      </c>
      <c r="N4" s="390">
        <v>0.45385202964924726</v>
      </c>
      <c r="O4" s="390">
        <v>0.36967490452336516</v>
      </c>
      <c r="P4" s="390">
        <v>0.31719926753039335</v>
      </c>
      <c r="Q4" s="391">
        <v>0.40678987326763938</v>
      </c>
      <c r="R4" s="385">
        <v>-49.36479961202253</v>
      </c>
    </row>
    <row r="5" spans="1:20" ht="5.25" customHeight="1">
      <c r="B5" s="17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</row>
    <row r="6" spans="1:20" s="599" customFormat="1">
      <c r="B6" s="626"/>
      <c r="D6" s="794"/>
      <c r="E6" s="794"/>
      <c r="F6" s="794"/>
      <c r="G6" s="794"/>
      <c r="H6" s="794"/>
      <c r="I6" s="794"/>
      <c r="J6" s="794"/>
      <c r="K6" s="794"/>
      <c r="L6" s="794"/>
      <c r="M6" s="794"/>
      <c r="N6" s="794"/>
      <c r="O6" s="794"/>
      <c r="P6" s="794"/>
      <c r="Q6" s="794"/>
    </row>
    <row r="7" spans="1:20" s="599" customFormat="1">
      <c r="B7" s="626"/>
      <c r="D7" s="795"/>
      <c r="E7" s="795"/>
      <c r="F7" s="795"/>
      <c r="G7" s="795"/>
      <c r="H7" s="795"/>
      <c r="I7" s="795"/>
      <c r="J7" s="795"/>
      <c r="K7" s="795"/>
      <c r="L7" s="795"/>
      <c r="M7" s="795"/>
      <c r="N7" s="795"/>
      <c r="O7" s="795"/>
      <c r="P7" s="795"/>
      <c r="Q7" s="795"/>
    </row>
    <row r="8" spans="1:20" ht="41.25" customHeight="1">
      <c r="B8" s="17"/>
      <c r="D8" s="563" t="s">
        <v>405</v>
      </c>
      <c r="E8" s="563"/>
      <c r="F8" s="563"/>
      <c r="G8" s="563"/>
      <c r="H8" s="563"/>
      <c r="I8" s="563"/>
      <c r="J8" s="563"/>
      <c r="K8" s="563"/>
      <c r="L8" s="563"/>
      <c r="M8" s="563"/>
      <c r="N8" s="563"/>
      <c r="O8" s="563"/>
      <c r="P8" s="563"/>
      <c r="Q8" s="563"/>
    </row>
    <row r="9" spans="1:20" ht="31">
      <c r="B9" s="17"/>
      <c r="C9" s="1"/>
      <c r="D9" s="307" t="s">
        <v>3</v>
      </c>
      <c r="E9" s="81" t="s">
        <v>373</v>
      </c>
      <c r="F9" s="81" t="s">
        <v>59</v>
      </c>
      <c r="G9" s="81" t="s">
        <v>5</v>
      </c>
      <c r="H9" s="81" t="s">
        <v>98</v>
      </c>
      <c r="I9" s="81" t="s">
        <v>14</v>
      </c>
      <c r="J9" s="81" t="s">
        <v>80</v>
      </c>
      <c r="K9" s="81" t="s">
        <v>99</v>
      </c>
      <c r="L9" s="81" t="s">
        <v>97</v>
      </c>
      <c r="M9" s="81" t="s">
        <v>78</v>
      </c>
      <c r="N9" s="81" t="s">
        <v>10</v>
      </c>
      <c r="O9" s="81" t="s">
        <v>221</v>
      </c>
      <c r="P9" s="81" t="s">
        <v>87</v>
      </c>
      <c r="Q9" s="308" t="s">
        <v>251</v>
      </c>
      <c r="S9" s="80"/>
    </row>
    <row r="10" spans="1:20" ht="15.5">
      <c r="B10" s="276" t="str">
        <f>B3</f>
        <v>Current</v>
      </c>
      <c r="C10" s="276">
        <f>C3</f>
        <v>2026</v>
      </c>
      <c r="D10" s="311">
        <v>0.14016113775175024</v>
      </c>
      <c r="E10" s="309">
        <v>0.13851677628572273</v>
      </c>
      <c r="F10" s="309">
        <v>0.12314002343000448</v>
      </c>
      <c r="G10" s="309">
        <v>0.16294159905784367</v>
      </c>
      <c r="H10" s="309">
        <v>6.3686542882259556E-2</v>
      </c>
      <c r="I10" s="309">
        <v>0.13364797448394239</v>
      </c>
      <c r="J10" s="309">
        <v>0.12730852160869974</v>
      </c>
      <c r="K10" s="309">
        <v>0.13306316061036613</v>
      </c>
      <c r="L10" s="309">
        <v>0</v>
      </c>
      <c r="M10" s="309">
        <v>0</v>
      </c>
      <c r="N10" s="309">
        <v>0.10486024759173845</v>
      </c>
      <c r="O10" s="309">
        <v>0.16257567999876396</v>
      </c>
      <c r="P10" s="309">
        <v>0.14009743314379075</v>
      </c>
      <c r="Q10" s="310">
        <v>0.14102051159848228</v>
      </c>
    </row>
    <row r="11" spans="1:20" ht="15.5">
      <c r="B11" s="276" t="str">
        <f>B4</f>
        <v>Proposed 2027</v>
      </c>
      <c r="C11" s="276">
        <f>C4</f>
        <v>2027</v>
      </c>
      <c r="D11" s="389">
        <v>0.14016113775175024</v>
      </c>
      <c r="E11" s="389">
        <v>0.13851677628572273</v>
      </c>
      <c r="F11" s="390">
        <v>0.12314002343000448</v>
      </c>
      <c r="G11" s="390">
        <v>0.16294159905784367</v>
      </c>
      <c r="H11" s="390">
        <v>6.3686542882259556E-2</v>
      </c>
      <c r="I11" s="390">
        <v>0.13364797448394239</v>
      </c>
      <c r="J11" s="390">
        <v>0.12730852160869974</v>
      </c>
      <c r="K11" s="390">
        <v>0.13306316061036613</v>
      </c>
      <c r="L11" s="390">
        <v>0</v>
      </c>
      <c r="M11" s="390">
        <v>0</v>
      </c>
      <c r="N11" s="390">
        <v>0.10486024759173845</v>
      </c>
      <c r="O11" s="390">
        <v>0.16257567999876396</v>
      </c>
      <c r="P11" s="390">
        <v>0.14009743314379075</v>
      </c>
      <c r="Q11" s="391">
        <v>0.14102051159848228</v>
      </c>
    </row>
    <row r="12" spans="1:20" ht="6" customHeight="1">
      <c r="B12" s="17"/>
      <c r="D12" s="314"/>
      <c r="E12" s="314"/>
      <c r="F12" s="314"/>
      <c r="G12" s="314"/>
      <c r="H12" s="314"/>
      <c r="I12" s="314"/>
      <c r="J12" s="314"/>
      <c r="K12" s="314"/>
      <c r="L12" s="314"/>
      <c r="M12" s="314"/>
      <c r="N12" s="314"/>
      <c r="O12" s="314"/>
      <c r="P12" s="314"/>
      <c r="Q12" s="314"/>
    </row>
    <row r="13" spans="1:20" s="599" customFormat="1">
      <c r="D13" s="794"/>
      <c r="E13" s="794"/>
      <c r="F13" s="794"/>
      <c r="G13" s="794"/>
      <c r="H13" s="794"/>
      <c r="I13" s="794"/>
      <c r="J13" s="794"/>
      <c r="K13" s="794"/>
      <c r="L13" s="794"/>
      <c r="M13" s="794"/>
      <c r="N13" s="794"/>
      <c r="O13" s="794"/>
      <c r="P13" s="794"/>
      <c r="Q13" s="794"/>
    </row>
    <row r="14" spans="1:20" s="599" customFormat="1">
      <c r="D14" s="795"/>
      <c r="E14" s="795"/>
      <c r="F14" s="795"/>
      <c r="G14" s="795"/>
      <c r="H14" s="795"/>
      <c r="I14" s="795"/>
      <c r="J14" s="795"/>
      <c r="K14" s="795"/>
      <c r="L14" s="795"/>
      <c r="M14" s="795"/>
      <c r="N14" s="795"/>
      <c r="O14" s="795"/>
      <c r="P14" s="795"/>
      <c r="Q14" s="795"/>
    </row>
    <row r="15" spans="1:20" s="583" customFormat="1"/>
    <row r="31" spans="4:4">
      <c r="D31" s="460"/>
    </row>
  </sheetData>
  <mergeCells count="2">
    <mergeCell ref="D1:Q1"/>
    <mergeCell ref="D8:Q8"/>
  </mergeCells>
  <conditionalFormatting sqref="D6:Q6">
    <cfRule type="cellIs" dxfId="3" priority="3" operator="equal">
      <formula>"DECREASE"</formula>
    </cfRule>
    <cfRule type="cellIs" dxfId="2" priority="4" operator="equal">
      <formula>"INCREASE"</formula>
    </cfRule>
  </conditionalFormatting>
  <conditionalFormatting sqref="D13:Q13">
    <cfRule type="cellIs" dxfId="1" priority="1" operator="equal">
      <formula>"DECREASE"</formula>
    </cfRule>
    <cfRule type="cellIs" dxfId="0" priority="2" operator="equal">
      <formula>"INCREASE"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84E4C-BF02-4908-B8DF-216621CCE212}">
  <sheetPr codeName="Sheet5"/>
  <dimension ref="B1:X108"/>
  <sheetViews>
    <sheetView showGridLines="0" workbookViewId="0"/>
  </sheetViews>
  <sheetFormatPr defaultColWidth="8.81640625" defaultRowHeight="14.5"/>
  <cols>
    <col min="1" max="1" width="5.54296875" style="6" customWidth="1"/>
    <col min="2" max="2" width="25" style="6" customWidth="1"/>
    <col min="3" max="3" width="21.26953125" style="6" customWidth="1"/>
    <col min="4" max="6" width="16.81640625" style="6" customWidth="1"/>
    <col min="7" max="7" width="18.26953125" style="6" customWidth="1"/>
    <col min="8" max="8" width="18.7265625" style="6" customWidth="1"/>
    <col min="9" max="10" width="16.81640625" style="6" customWidth="1"/>
    <col min="11" max="11" width="11.1796875" style="6" customWidth="1"/>
    <col min="12" max="12" width="17" style="6" customWidth="1"/>
    <col min="13" max="13" width="15.7265625" style="6" customWidth="1"/>
    <col min="14" max="17" width="13.453125" style="6" customWidth="1"/>
    <col min="18" max="19" width="15.81640625" style="6" customWidth="1"/>
    <col min="20" max="24" width="15.54296875" style="6" customWidth="1"/>
    <col min="25" max="16384" width="8.81640625" style="6"/>
  </cols>
  <sheetData>
    <row r="1" spans="2:20">
      <c r="B1" s="413" t="s">
        <v>121</v>
      </c>
      <c r="G1" s="37" t="s">
        <v>122</v>
      </c>
      <c r="H1" s="38"/>
      <c r="I1" s="38"/>
      <c r="L1" s="37" t="s">
        <v>438</v>
      </c>
      <c r="N1" s="37"/>
      <c r="O1" s="38"/>
      <c r="P1" s="38"/>
    </row>
    <row r="2" spans="2:20">
      <c r="B2" s="38"/>
      <c r="C2" s="39" t="s">
        <v>497</v>
      </c>
      <c r="D2" s="277">
        <v>2030</v>
      </c>
      <c r="E2" s="38"/>
      <c r="G2" s="38" t="s">
        <v>123</v>
      </c>
      <c r="H2" s="40"/>
      <c r="I2" s="586" t="s">
        <v>484</v>
      </c>
      <c r="L2" s="6" t="s">
        <v>534</v>
      </c>
    </row>
    <row r="3" spans="2:20">
      <c r="B3" s="41"/>
      <c r="C3" s="42" t="s">
        <v>124</v>
      </c>
      <c r="D3" s="277" t="s">
        <v>223</v>
      </c>
      <c r="G3" s="38" t="s">
        <v>126</v>
      </c>
      <c r="H3" s="40"/>
      <c r="I3" s="587">
        <f>IF($D$2=2026,2026,2027)</f>
        <v>2027</v>
      </c>
      <c r="L3" s="6" t="s">
        <v>440</v>
      </c>
    </row>
    <row r="4" spans="2:20">
      <c r="G4" s="41" t="s">
        <v>130</v>
      </c>
      <c r="I4" s="49">
        <v>5</v>
      </c>
      <c r="J4" s="41" t="s">
        <v>131</v>
      </c>
      <c r="L4" s="6" t="s">
        <v>435</v>
      </c>
    </row>
    <row r="5" spans="2:20">
      <c r="F5" s="44"/>
      <c r="G5" s="41" t="s">
        <v>132</v>
      </c>
      <c r="I5" s="49">
        <v>7</v>
      </c>
      <c r="J5" s="41" t="s">
        <v>131</v>
      </c>
      <c r="L5" s="410"/>
      <c r="M5" s="517" t="s">
        <v>436</v>
      </c>
      <c r="N5" s="518"/>
      <c r="O5" s="517" t="s">
        <v>437</v>
      </c>
      <c r="P5" s="518"/>
    </row>
    <row r="6" spans="2:20" ht="29">
      <c r="B6" s="45" t="s">
        <v>128</v>
      </c>
      <c r="C6" s="45"/>
      <c r="D6" s="412" t="s">
        <v>441</v>
      </c>
      <c r="E6" s="412" t="s">
        <v>129</v>
      </c>
      <c r="G6" s="41" t="s">
        <v>439</v>
      </c>
      <c r="I6" s="385">
        <f>IF($I$8="N",0,'Sales Allocations &amp; CCC'!$R$3)</f>
        <v>-49.36479961202253</v>
      </c>
      <c r="J6" s="41" t="s">
        <v>184</v>
      </c>
      <c r="L6" s="411" t="s">
        <v>127</v>
      </c>
      <c r="M6" s="411" t="s">
        <v>192</v>
      </c>
      <c r="N6" s="411" t="s">
        <v>193</v>
      </c>
      <c r="O6" s="411" t="s">
        <v>192</v>
      </c>
      <c r="P6" s="411" t="s">
        <v>193</v>
      </c>
    </row>
    <row r="7" spans="2:20">
      <c r="B7" s="583" t="s">
        <v>510</v>
      </c>
      <c r="C7" s="46"/>
      <c r="D7" s="414" t="s">
        <v>26</v>
      </c>
      <c r="E7" s="584" t="s">
        <v>527</v>
      </c>
      <c r="F7" s="47"/>
      <c r="G7" s="41"/>
      <c r="I7" s="385">
        <f>IF($I$8="N",0,IF($D$2=2026,'Sales Allocations &amp; CCC'!$R$3,'Sales Allocations &amp; CCC'!$R$4))</f>
        <v>-49.36479961202253</v>
      </c>
      <c r="J7" s="41" t="s">
        <v>174</v>
      </c>
      <c r="L7" s="49" t="s">
        <v>149</v>
      </c>
      <c r="M7" s="162">
        <f>IF($D$3="ALL",SUMPRODUCT('Res Bill Impact'!Q22:Q25,'Res Bill Impact'!U22:U25),VLOOKUP($D$3,'Res Bill Impact'!$P$22:$V$25,2,FALSE))</f>
        <v>334.36541599999998</v>
      </c>
      <c r="N7" s="163">
        <f>IF($D$3="ALL",SUMPRODUCT('Res Bill Impact'!R22:R25,'Res Bill Impact'!U22:U25),VLOOKUP(D$3,'Res Bill Impact'!$P$22:$V$25,3,FALSE))</f>
        <v>309.27334100000002</v>
      </c>
      <c r="O7" s="162">
        <f>IF($D$3="ALL",SUMPRODUCT('Res Bill Impact'!Q31:Q34,'Res Bill Impact'!U31:U34),VLOOKUP($D$3,'Res Bill Impact'!$P$31:$V$34,2,FALSE))</f>
        <v>283.425005</v>
      </c>
      <c r="P7" s="163">
        <f>IF($D$3="ALL",SUMPRODUCT('Res Bill Impact'!R31:R34,'Res Bill Impact'!U31:U34),VLOOKUP(D$3,'Res Bill Impact'!$P$31:$V$34,3,FALSE))</f>
        <v>272.60744599999998</v>
      </c>
    </row>
    <row r="8" spans="2:20">
      <c r="B8" s="583" t="s">
        <v>463</v>
      </c>
      <c r="D8" s="414" t="s">
        <v>26</v>
      </c>
      <c r="E8" s="584" t="s">
        <v>467</v>
      </c>
      <c r="F8" s="47"/>
      <c r="H8" s="48" t="s">
        <v>442</v>
      </c>
      <c r="I8" s="335" t="s">
        <v>26</v>
      </c>
      <c r="J8" s="41"/>
      <c r="L8" s="49" t="s">
        <v>150</v>
      </c>
      <c r="M8" s="163">
        <f>IF($D$3="ALL",SUMPRODUCT('Res Bill Impact'!S22:S25,'Res Bill Impact'!V22:V25),VLOOKUP($D$3,'Res Bill Impact'!$P$22:$V$25,4,FALSE))</f>
        <v>329.33632999999998</v>
      </c>
      <c r="N8" s="163">
        <f>IF($D$3="ALL",SUMPRODUCT('Res Bill Impact'!T22:T25,'Res Bill Impact'!V22:V25),VLOOKUP($D$3,'Res Bill Impact'!$P$22:$V$25,5,FALSE))</f>
        <v>300.562815</v>
      </c>
      <c r="O8" s="163">
        <f>IF($D$3="ALL",SUMPRODUCT('Res Bill Impact'!S31:S34,'Res Bill Impact'!V31:V34),VLOOKUP($D$3,'Res Bill Impact'!$P$31:$V$34,4,FALSE))</f>
        <v>293.30439200000001</v>
      </c>
      <c r="P8" s="163">
        <f>IF($D$3="ALL",SUMPRODUCT('Res Bill Impact'!T31:T34,'Res Bill Impact'!V31:V34),VLOOKUP($D$3,'Res Bill Impact'!$P$31:$V$34,5,FALSE))</f>
        <v>284.82109400000002</v>
      </c>
    </row>
    <row r="9" spans="2:20">
      <c r="B9" s="583" t="s">
        <v>531</v>
      </c>
      <c r="D9" s="414" t="s">
        <v>26</v>
      </c>
      <c r="E9" s="584" t="s">
        <v>474</v>
      </c>
      <c r="F9" s="47"/>
      <c r="H9" s="48" t="s">
        <v>433</v>
      </c>
      <c r="I9" s="49">
        <v>400</v>
      </c>
      <c r="J9" s="41"/>
    </row>
    <row r="10" spans="2:20">
      <c r="B10" s="583" t="s">
        <v>502</v>
      </c>
      <c r="D10" s="414" t="s">
        <v>26</v>
      </c>
      <c r="E10" s="584" t="s">
        <v>511</v>
      </c>
      <c r="F10" s="47"/>
      <c r="G10" s="585" t="s">
        <v>434</v>
      </c>
      <c r="H10" s="585"/>
      <c r="T10" s="41"/>
    </row>
    <row r="11" spans="2:20">
      <c r="B11" s="583" t="s">
        <v>512</v>
      </c>
      <c r="D11" s="414" t="s">
        <v>26</v>
      </c>
      <c r="E11" s="584" t="s">
        <v>529</v>
      </c>
      <c r="F11" s="47"/>
      <c r="G11" s="585"/>
      <c r="H11" s="585"/>
    </row>
    <row r="12" spans="2:20">
      <c r="B12" s="583" t="s">
        <v>503</v>
      </c>
      <c r="C12" s="46"/>
      <c r="D12" s="414" t="s">
        <v>26</v>
      </c>
      <c r="E12" s="584" t="s">
        <v>511</v>
      </c>
      <c r="F12" s="47"/>
      <c r="G12" s="585"/>
      <c r="H12" s="585"/>
    </row>
    <row r="13" spans="2:20">
      <c r="B13" s="583" t="s">
        <v>505</v>
      </c>
      <c r="C13" s="46"/>
      <c r="D13" s="414" t="s">
        <v>26</v>
      </c>
      <c r="E13" s="584">
        <v>2027</v>
      </c>
      <c r="F13" s="47"/>
    </row>
    <row r="14" spans="2:20">
      <c r="B14" s="583" t="s">
        <v>504</v>
      </c>
      <c r="C14" s="46"/>
      <c r="D14" s="414" t="s">
        <v>26</v>
      </c>
      <c r="E14" s="584" t="s">
        <v>530</v>
      </c>
      <c r="F14" s="47"/>
    </row>
    <row r="15" spans="2:20">
      <c r="C15" s="46"/>
      <c r="D15" s="414"/>
      <c r="E15" s="44"/>
      <c r="F15" s="47"/>
    </row>
    <row r="16" spans="2:20">
      <c r="C16" s="46"/>
      <c r="D16" s="414"/>
      <c r="E16" s="44"/>
      <c r="F16" s="47"/>
    </row>
    <row r="17" spans="2:24">
      <c r="C17" s="46"/>
      <c r="D17" s="414"/>
      <c r="E17" s="44"/>
      <c r="F17" s="47"/>
    </row>
    <row r="18" spans="2:24">
      <c r="C18" s="46"/>
      <c r="D18" s="414"/>
      <c r="E18" s="44"/>
      <c r="F18" s="47"/>
    </row>
    <row r="19" spans="2:24">
      <c r="C19" s="46"/>
      <c r="D19" s="414"/>
      <c r="E19" s="44"/>
      <c r="F19" s="47"/>
    </row>
    <row r="20" spans="2:24">
      <c r="C20" s="46"/>
      <c r="D20" s="414"/>
      <c r="E20" s="44"/>
      <c r="F20" s="47"/>
    </row>
    <row r="21" spans="2:24">
      <c r="C21" s="46"/>
      <c r="D21" s="414"/>
      <c r="E21" s="44"/>
      <c r="F21" s="47"/>
    </row>
    <row r="22" spans="2:24">
      <c r="C22" s="46"/>
      <c r="D22" s="414"/>
      <c r="E22" s="44"/>
      <c r="F22" s="47"/>
    </row>
    <row r="23" spans="2:24">
      <c r="C23" s="46"/>
      <c r="D23" s="414"/>
      <c r="E23" s="44"/>
      <c r="F23" s="47"/>
      <c r="M23" s="41"/>
    </row>
    <row r="24" spans="2:24">
      <c r="C24" s="46"/>
      <c r="D24" s="414"/>
      <c r="E24" s="44"/>
      <c r="F24" s="47"/>
      <c r="M24" s="41"/>
    </row>
    <row r="25" spans="2:24">
      <c r="F25" s="47"/>
      <c r="J25" s="41"/>
      <c r="M25" s="41"/>
    </row>
    <row r="26" spans="2:24">
      <c r="F26" s="47"/>
      <c r="J26" s="41"/>
      <c r="M26" s="41"/>
    </row>
    <row r="27" spans="2:24">
      <c r="C27" s="46"/>
      <c r="D27" s="44"/>
      <c r="E27" s="44"/>
      <c r="F27" s="47"/>
      <c r="J27" s="41"/>
      <c r="M27" s="41"/>
    </row>
    <row r="28" spans="2:24">
      <c r="B28" s="37" t="s">
        <v>133</v>
      </c>
    </row>
    <row r="29" spans="2:24" ht="15" thickBot="1">
      <c r="D29" s="50" t="s">
        <v>134</v>
      </c>
      <c r="E29" s="50" t="s">
        <v>135</v>
      </c>
      <c r="F29" s="50" t="s">
        <v>136</v>
      </c>
      <c r="G29" s="50" t="s">
        <v>137</v>
      </c>
      <c r="H29" s="50" t="s">
        <v>138</v>
      </c>
      <c r="I29" s="50" t="s">
        <v>139</v>
      </c>
      <c r="J29" s="50" t="s">
        <v>140</v>
      </c>
      <c r="N29" s="50" t="s">
        <v>134</v>
      </c>
      <c r="O29" s="50" t="s">
        <v>135</v>
      </c>
      <c r="P29" s="50" t="s">
        <v>136</v>
      </c>
      <c r="Q29" s="50" t="s">
        <v>137</v>
      </c>
      <c r="R29" s="50" t="s">
        <v>138</v>
      </c>
      <c r="S29" s="50" t="s">
        <v>139</v>
      </c>
      <c r="T29" s="50" t="s">
        <v>140</v>
      </c>
    </row>
    <row r="30" spans="2:24">
      <c r="B30" s="470" t="s">
        <v>141</v>
      </c>
      <c r="C30" s="471"/>
      <c r="D30" s="471"/>
      <c r="E30" s="471"/>
      <c r="F30" s="471"/>
      <c r="G30" s="471"/>
      <c r="H30" s="471"/>
      <c r="I30" s="471"/>
      <c r="J30" s="472"/>
      <c r="L30" s="524" t="s">
        <v>142</v>
      </c>
      <c r="M30" s="525"/>
      <c r="N30" s="525"/>
      <c r="O30" s="525"/>
      <c r="P30" s="525"/>
      <c r="Q30" s="525"/>
      <c r="R30" s="525"/>
      <c r="S30" s="525"/>
      <c r="T30" s="526"/>
    </row>
    <row r="31" spans="2:24" ht="29">
      <c r="B31" s="527" t="s">
        <v>143</v>
      </c>
      <c r="C31" s="528"/>
      <c r="D31" s="461" t="s">
        <v>496</v>
      </c>
      <c r="E31" s="177" t="str">
        <f>I2</f>
        <v>1/1/26</v>
      </c>
      <c r="F31" s="52" t="str">
        <f>$D$2&amp;" Authorized"</f>
        <v>2030 Authorized</v>
      </c>
      <c r="G31" s="52" t="str">
        <f>$D$2&amp;" w/Pending"</f>
        <v>2030 w/Pending</v>
      </c>
      <c r="H31" s="287" t="str">
        <f>_xlfn.TEXTJOIN(" ",TRUE,"% Change over",D31)</f>
        <v>% Change over 10/1/2025</v>
      </c>
      <c r="I31" s="287" t="str">
        <f>_xlfn.TEXTJOIN(" ",TRUE,"% Change over",E31)</f>
        <v>% Change over 1/1/26</v>
      </c>
      <c r="J31" s="53" t="s">
        <v>144</v>
      </c>
      <c r="L31" s="529" t="s">
        <v>143</v>
      </c>
      <c r="M31" s="530"/>
      <c r="N31" s="208" t="str">
        <f>$D$31</f>
        <v>10/1/2025</v>
      </c>
      <c r="O31" s="177" t="str">
        <f>$E$31</f>
        <v>1/1/26</v>
      </c>
      <c r="P31" s="52" t="str">
        <f>$D$2&amp;" Authorized"</f>
        <v>2030 Authorized</v>
      </c>
      <c r="Q31" s="52" t="str">
        <f>$D$2&amp;" w/Pending"</f>
        <v>2030 w/Pending</v>
      </c>
      <c r="R31" s="52" t="str">
        <f>$H$31</f>
        <v>% Change over 10/1/2025</v>
      </c>
      <c r="S31" s="52" t="str">
        <f>$I$31</f>
        <v>% Change over 1/1/26</v>
      </c>
      <c r="T31" s="53" t="s">
        <v>144</v>
      </c>
    </row>
    <row r="32" spans="2:24">
      <c r="B32" s="510" t="s">
        <v>145</v>
      </c>
      <c r="C32" s="511"/>
      <c r="D32" s="451">
        <f>IF($I$8="Y",'SAR and RAR'!AC26,'SAR and RAR'!AE26)</f>
        <v>37.26</v>
      </c>
      <c r="E32" s="54">
        <f>'SAR and RAR'!H24</f>
        <v>43.182000000000002</v>
      </c>
      <c r="F32" s="54">
        <f>'SAR and RAR'!I24</f>
        <v>42.368811092787212</v>
      </c>
      <c r="G32" s="588">
        <f>'SAR and RAR'!J24</f>
        <v>44.083403218696787</v>
      </c>
      <c r="H32" s="55">
        <f t="shared" ref="H32:I34" si="0">$G32/D32-1</f>
        <v>0.18312944763008021</v>
      </c>
      <c r="I32" s="55">
        <f t="shared" si="0"/>
        <v>2.0874512961344571E-2</v>
      </c>
      <c r="J32" s="56">
        <f t="shared" ref="J32:J34" si="1">$G32/F32-1</f>
        <v>4.0468261480234524E-2</v>
      </c>
      <c r="K32" s="435"/>
      <c r="L32" s="510" t="s">
        <v>146</v>
      </c>
      <c r="M32" s="531"/>
      <c r="N32" s="54">
        <v>35.794815973627038</v>
      </c>
      <c r="O32" s="206">
        <f>'SAR and RAR'!S24</f>
        <v>46.597864677489412</v>
      </c>
      <c r="P32" s="54">
        <f>'SAR and RAR'!T24</f>
        <v>45.566908837005485</v>
      </c>
      <c r="Q32" s="54">
        <f>'SAR and RAR'!U24</f>
        <v>47.300754451504083</v>
      </c>
      <c r="R32" s="55">
        <f>$Q32/N32-1</f>
        <v>0.32144147594876338</v>
      </c>
      <c r="S32" s="55">
        <f>$Q32/O32-1</f>
        <v>1.5084162737487583E-2</v>
      </c>
      <c r="T32" s="56">
        <f>$Q32/P32-1</f>
        <v>3.8050542789738628E-2</v>
      </c>
      <c r="U32" s="151"/>
      <c r="V32" s="151"/>
      <c r="W32" s="151"/>
      <c r="X32" s="151"/>
    </row>
    <row r="33" spans="2:24">
      <c r="B33" s="252"/>
      <c r="C33" s="253" t="s">
        <v>409</v>
      </c>
      <c r="D33" s="451">
        <f>IF($I$8="Y",'SAR and RAR (TOU-A)'!AC26,'SAR and RAR (TOU-A)'!AE26)</f>
        <v>37.106000000000002</v>
      </c>
      <c r="E33" s="374">
        <f>'SAR and RAR (TOU-A)'!H24</f>
        <v>39.275999999999996</v>
      </c>
      <c r="F33" s="374">
        <f>'SAR and RAR (TOU-A)'!I24</f>
        <v>38.668667988827274</v>
      </c>
      <c r="G33" s="589">
        <f>'SAR and RAR (TOU-A)'!J24</f>
        <v>40.136968310527109</v>
      </c>
      <c r="H33" s="55">
        <f t="shared" si="0"/>
        <v>8.1684048685579436E-2</v>
      </c>
      <c r="I33" s="55">
        <f t="shared" si="0"/>
        <v>2.1920977455115453E-2</v>
      </c>
      <c r="J33" s="56">
        <f t="shared" si="1"/>
        <v>3.7971318849774782E-2</v>
      </c>
      <c r="K33" s="435"/>
      <c r="L33" s="252"/>
      <c r="M33" s="39" t="s">
        <v>409</v>
      </c>
      <c r="N33" s="374">
        <v>36.137671999002876</v>
      </c>
      <c r="O33" s="375">
        <f>'SAR and RAR (TOU-A)'!S24</f>
        <v>41.87191842065608</v>
      </c>
      <c r="P33" s="374">
        <f>'SAR and RAR (TOU-A)'!T24</f>
        <v>41.099166562203798</v>
      </c>
      <c r="Q33" s="374">
        <f>'SAR and RAR (TOU-A)'!U24</f>
        <v>42.582092194983481</v>
      </c>
      <c r="R33" s="55">
        <f t="shared" ref="R33:T34" si="2">$Q33/N33-1</f>
        <v>0.17832969971497947</v>
      </c>
      <c r="S33" s="55">
        <f t="shared" si="2"/>
        <v>1.6960621846670909E-2</v>
      </c>
      <c r="T33" s="56">
        <f>$Q33/P33-1</f>
        <v>3.6081647313584098E-2</v>
      </c>
      <c r="U33" s="151"/>
      <c r="V33" s="151"/>
      <c r="W33" s="151"/>
      <c r="X33" s="151"/>
    </row>
    <row r="34" spans="2:24" ht="15" thickBot="1">
      <c r="B34" s="512" t="s">
        <v>147</v>
      </c>
      <c r="C34" s="513"/>
      <c r="D34" s="452">
        <f>IF($I$8="Y",'SAR and RAR'!AC27,'SAR and RAR'!AE27)</f>
        <v>35.117000000000004</v>
      </c>
      <c r="E34" s="57">
        <f>'SAR and RAR'!H25</f>
        <v>39.322999999999993</v>
      </c>
      <c r="F34" s="57">
        <f>'SAR and RAR'!I25</f>
        <v>38.887670178796292</v>
      </c>
      <c r="G34" s="590">
        <f>'SAR and RAR'!J25</f>
        <v>40.154730270753888</v>
      </c>
      <c r="H34" s="58">
        <f t="shared" si="0"/>
        <v>0.14345559901910421</v>
      </c>
      <c r="I34" s="58">
        <f t="shared" si="0"/>
        <v>2.1151241531772502E-2</v>
      </c>
      <c r="J34" s="59">
        <f t="shared" si="1"/>
        <v>3.2582566302685523E-2</v>
      </c>
      <c r="K34" s="435"/>
      <c r="L34" s="512" t="s">
        <v>148</v>
      </c>
      <c r="M34" s="520"/>
      <c r="N34" s="57">
        <v>33.966275336408145</v>
      </c>
      <c r="O34" s="207">
        <f>'SAR and RAR'!S25</f>
        <v>41.814953036913295</v>
      </c>
      <c r="P34" s="57">
        <f>'SAR and RAR'!T25</f>
        <v>41.220830851894341</v>
      </c>
      <c r="Q34" s="57">
        <f>'SAR and RAR'!U25</f>
        <v>42.501930297388384</v>
      </c>
      <c r="R34" s="58">
        <f t="shared" si="2"/>
        <v>0.25129793821788127</v>
      </c>
      <c r="S34" s="58">
        <f t="shared" si="2"/>
        <v>1.6428985580078104E-2</v>
      </c>
      <c r="T34" s="59">
        <f t="shared" si="2"/>
        <v>3.1078933127209663E-2</v>
      </c>
      <c r="U34" s="151"/>
      <c r="V34" s="151"/>
      <c r="W34" s="151"/>
      <c r="X34" s="151"/>
    </row>
    <row r="35" spans="2:24">
      <c r="E35" s="60"/>
      <c r="F35" s="60"/>
      <c r="G35" s="591"/>
      <c r="O35" s="60"/>
      <c r="P35" s="60"/>
      <c r="Q35" s="60"/>
    </row>
    <row r="36" spans="2:24" ht="15" thickBot="1">
      <c r="E36" s="60"/>
      <c r="F36" s="60"/>
      <c r="G36" s="591"/>
      <c r="O36" s="60"/>
      <c r="P36" s="60"/>
      <c r="Q36" s="60"/>
    </row>
    <row r="37" spans="2:24">
      <c r="B37" s="464" t="s">
        <v>279</v>
      </c>
      <c r="C37" s="465"/>
      <c r="D37" s="465"/>
      <c r="E37" s="465"/>
      <c r="F37" s="465"/>
      <c r="G37" s="592"/>
      <c r="H37" s="465"/>
      <c r="I37" s="465"/>
      <c r="J37" s="466"/>
      <c r="L37" s="521" t="s">
        <v>282</v>
      </c>
      <c r="M37" s="522"/>
      <c r="N37" s="522"/>
      <c r="O37" s="522"/>
      <c r="P37" s="522"/>
      <c r="Q37" s="522"/>
      <c r="R37" s="522"/>
      <c r="S37" s="522"/>
      <c r="T37" s="523"/>
    </row>
    <row r="38" spans="2:24" ht="29">
      <c r="B38" s="61"/>
      <c r="C38" s="62"/>
      <c r="D38" s="51" t="str">
        <f>$D$31</f>
        <v>10/1/2025</v>
      </c>
      <c r="E38" s="177" t="str">
        <f>$E$31</f>
        <v>1/1/26</v>
      </c>
      <c r="F38" s="52" t="str">
        <f>$D$2&amp;" Authorized"</f>
        <v>2030 Authorized</v>
      </c>
      <c r="G38" s="593" t="str">
        <f>$D$2&amp;" w/Pending"</f>
        <v>2030 w/Pending</v>
      </c>
      <c r="H38" s="52" t="str">
        <f>$H$31</f>
        <v>% Change over 10/1/2025</v>
      </c>
      <c r="I38" s="52" t="str">
        <f>$I$31</f>
        <v>% Change over 1/1/26</v>
      </c>
      <c r="J38" s="53" t="s">
        <v>144</v>
      </c>
      <c r="L38" s="61"/>
      <c r="M38" s="62"/>
      <c r="N38" s="51" t="str">
        <f>$D$31</f>
        <v>10/1/2025</v>
      </c>
      <c r="O38" s="177" t="str">
        <f>$E$31</f>
        <v>1/1/26</v>
      </c>
      <c r="P38" s="52" t="str">
        <f>$D$2&amp;" Authorized"</f>
        <v>2030 Authorized</v>
      </c>
      <c r="Q38" s="52" t="str">
        <f>$D$2&amp;" w/Pending"</f>
        <v>2030 w/Pending</v>
      </c>
      <c r="R38" s="52" t="str">
        <f>$H$31</f>
        <v>% Change over 10/1/2025</v>
      </c>
      <c r="S38" s="52" t="str">
        <f>$I$31</f>
        <v>% Change over 1/1/26</v>
      </c>
      <c r="T38" s="53" t="s">
        <v>144</v>
      </c>
    </row>
    <row r="39" spans="2:24">
      <c r="B39" s="514" t="s">
        <v>149</v>
      </c>
      <c r="C39" s="519"/>
      <c r="D39" s="158">
        <f>((D45*5)+(D51*7)+(I6*2))/12</f>
        <v>135.46345051929794</v>
      </c>
      <c r="E39" s="158">
        <f>((E45*5)+(E51*7)+(I6*2))/12</f>
        <v>150.44805880039382</v>
      </c>
      <c r="F39" s="159">
        <f>((F45*5)+(F51*7)+(I7*2))/12</f>
        <v>148.05447952953634</v>
      </c>
      <c r="G39" s="594">
        <f>((G45*5)+(G51*7)+(I7*2))/12</f>
        <v>153.10280307635821</v>
      </c>
      <c r="H39" s="63">
        <f t="shared" ref="H39:J41" si="3">$G39/D39-1</f>
        <v>0.13021484754330404</v>
      </c>
      <c r="I39" s="64">
        <f t="shared" si="3"/>
        <v>1.7645586770159483E-2</v>
      </c>
      <c r="J39" s="65">
        <f t="shared" si="3"/>
        <v>3.4097742688121491E-2</v>
      </c>
      <c r="K39" s="435"/>
      <c r="L39" s="514" t="s">
        <v>149</v>
      </c>
      <c r="M39" s="519"/>
      <c r="N39" s="158">
        <f>((N45*5)+(N51*7)+(I6*2))/12</f>
        <v>121.43994198763328</v>
      </c>
      <c r="O39" s="158">
        <f>((O45*5)+(O51*7)+(I6*2))/12</f>
        <v>134.6724282302512</v>
      </c>
      <c r="P39" s="159">
        <f>((P45*5)+(P51*7)+(I7*2))/12</f>
        <v>132.55872567773304</v>
      </c>
      <c r="Q39" s="159">
        <f>((Q45*5)+(Q51*7)+(I7*2))/12</f>
        <v>137.01675825546019</v>
      </c>
      <c r="R39" s="63">
        <f t="shared" ref="R39:T41" si="4">$Q39/N39-1</f>
        <v>0.12826765241219529</v>
      </c>
      <c r="S39" s="63">
        <f t="shared" si="4"/>
        <v>1.7407646509505659E-2</v>
      </c>
      <c r="T39" s="257">
        <f t="shared" si="4"/>
        <v>3.3630623370393575E-2</v>
      </c>
    </row>
    <row r="40" spans="2:24">
      <c r="B40" s="514" t="s">
        <v>150</v>
      </c>
      <c r="C40" s="519"/>
      <c r="D40" s="158">
        <f>((D46*5)+(D52*7)+(I6*2))/12</f>
        <v>72.764496371708745</v>
      </c>
      <c r="E40" s="158">
        <f>((E46*5)+(E52*7)+(I6*2))/12</f>
        <v>80.540784647742072</v>
      </c>
      <c r="F40" s="159">
        <f>((F46*5)+(F52*7)+(I7*2))/12</f>
        <v>79.072437666355341</v>
      </c>
      <c r="G40" s="594">
        <f>((G46*5)+(G52*7)+(I7*2))/12</f>
        <v>82.169343931918007</v>
      </c>
      <c r="H40" s="63">
        <f t="shared" si="3"/>
        <v>0.12925050030121454</v>
      </c>
      <c r="I40" s="63">
        <f t="shared" si="3"/>
        <v>2.0220305666237337E-2</v>
      </c>
      <c r="J40" s="65">
        <f t="shared" si="3"/>
        <v>3.916543307580822E-2</v>
      </c>
      <c r="K40" s="435"/>
      <c r="L40" s="514" t="s">
        <v>150</v>
      </c>
      <c r="M40" s="519"/>
      <c r="N40" s="158">
        <f>((N46*5)+(N52*7)+(I6*2))/12</f>
        <v>68.482627831344573</v>
      </c>
      <c r="O40" s="158">
        <f>((O46*5)+(O52*7)+(I6*2))/12</f>
        <v>75.848352926397908</v>
      </c>
      <c r="P40" s="159">
        <f>((P46*5)+(P52*7)+(I7*2))/12</f>
        <v>74.463049807708828</v>
      </c>
      <c r="Q40" s="159">
        <f>((Q46*5)+(Q52*7)+(I7*2))/12</f>
        <v>77.384807377517021</v>
      </c>
      <c r="R40" s="63">
        <f t="shared" si="4"/>
        <v>0.12999179248927573</v>
      </c>
      <c r="S40" s="63">
        <f t="shared" si="4"/>
        <v>2.0256925718743934E-2</v>
      </c>
      <c r="T40" s="65">
        <f t="shared" si="4"/>
        <v>3.9237683352390862E-2</v>
      </c>
    </row>
    <row r="41" spans="2:24" ht="15" thickBot="1">
      <c r="B41" s="512" t="s">
        <v>112</v>
      </c>
      <c r="C41" s="513"/>
      <c r="D41" s="160">
        <f>((D47*5)+(D53*7)+(I6*2))/12</f>
        <v>123.22243718907139</v>
      </c>
      <c r="E41" s="160">
        <f>((E47*5)+(E53*7)+(I6*2))/12</f>
        <v>136.79973106644044</v>
      </c>
      <c r="F41" s="161">
        <f>((F47*5)+(F53*7)+(I7*2))/12</f>
        <v>134.58678927100729</v>
      </c>
      <c r="G41" s="595">
        <f>((G47*5)+(G53*7)+(I7*2))/12</f>
        <v>139.25412839348778</v>
      </c>
      <c r="H41" s="66">
        <f t="shared" si="3"/>
        <v>0.13010366918662308</v>
      </c>
      <c r="I41" s="66">
        <f t="shared" si="3"/>
        <v>1.7941536199769903E-2</v>
      </c>
      <c r="J41" s="67">
        <f t="shared" si="3"/>
        <v>3.4679028660697275E-2</v>
      </c>
      <c r="K41" s="435"/>
      <c r="L41" s="512" t="s">
        <v>112</v>
      </c>
      <c r="M41" s="513"/>
      <c r="N41" s="160">
        <f>((N47*5)+(N53*7)+(I6*2))/12</f>
        <v>111.10083510246602</v>
      </c>
      <c r="O41" s="160">
        <f>((O47*5)+(O53*7)+(I6*2))/12</f>
        <v>123.18792582152314</v>
      </c>
      <c r="P41" s="161">
        <f>((P47*5)+(P53*7)+(I7*2))/12</f>
        <v>121.21643213517268</v>
      </c>
      <c r="Q41" s="161">
        <f>((Q47*5)+(Q53*7)+(I7*2))/12</f>
        <v>125.37453047784764</v>
      </c>
      <c r="R41" s="66">
        <f t="shared" si="4"/>
        <v>0.12847514028330465</v>
      </c>
      <c r="S41" s="66">
        <f t="shared" si="4"/>
        <v>1.7750154016656694E-2</v>
      </c>
      <c r="T41" s="67">
        <f t="shared" si="4"/>
        <v>3.4303091333674374E-2</v>
      </c>
    </row>
    <row r="42" spans="2:24" ht="15" thickBot="1">
      <c r="D42" s="445"/>
      <c r="E42" s="445"/>
      <c r="F42" s="445"/>
      <c r="G42" s="596"/>
      <c r="N42" s="445"/>
      <c r="O42" s="445"/>
      <c r="P42" s="445"/>
      <c r="Q42" s="445"/>
    </row>
    <row r="43" spans="2:24">
      <c r="B43" s="464" t="s">
        <v>280</v>
      </c>
      <c r="C43" s="465"/>
      <c r="D43" s="465"/>
      <c r="E43" s="465"/>
      <c r="F43" s="465"/>
      <c r="G43" s="592"/>
      <c r="H43" s="465"/>
      <c r="I43" s="465"/>
      <c r="J43" s="466"/>
      <c r="L43" s="521" t="s">
        <v>283</v>
      </c>
      <c r="M43" s="522"/>
      <c r="N43" s="522"/>
      <c r="O43" s="522"/>
      <c r="P43" s="522"/>
      <c r="Q43" s="522"/>
      <c r="R43" s="522"/>
      <c r="S43" s="522"/>
      <c r="T43" s="523"/>
    </row>
    <row r="44" spans="2:24" ht="29">
      <c r="B44" s="61"/>
      <c r="C44" s="62"/>
      <c r="D44" s="51" t="str">
        <f>$D$31</f>
        <v>10/1/2025</v>
      </c>
      <c r="E44" s="177" t="str">
        <f>$E$31</f>
        <v>1/1/26</v>
      </c>
      <c r="F44" s="52" t="str">
        <f>$D$2&amp;" Authorized"</f>
        <v>2030 Authorized</v>
      </c>
      <c r="G44" s="593" t="str">
        <f>$D$2&amp;" w/Pending"</f>
        <v>2030 w/Pending</v>
      </c>
      <c r="H44" s="52" t="str">
        <f>$H$31</f>
        <v>% Change over 10/1/2025</v>
      </c>
      <c r="I44" s="52" t="str">
        <f>$I$31</f>
        <v>% Change over 1/1/26</v>
      </c>
      <c r="J44" s="53" t="s">
        <v>144</v>
      </c>
      <c r="L44" s="61"/>
      <c r="M44" s="62"/>
      <c r="N44" s="51" t="str">
        <f>$D$31</f>
        <v>10/1/2025</v>
      </c>
      <c r="O44" s="177" t="str">
        <f>$E$31</f>
        <v>1/1/26</v>
      </c>
      <c r="P44" s="52" t="str">
        <f>$D$2&amp;" Authorized"</f>
        <v>2030 Authorized</v>
      </c>
      <c r="Q44" s="52" t="str">
        <f>$D$2&amp;" w/Pending"</f>
        <v>2030 w/Pending</v>
      </c>
      <c r="R44" s="52" t="str">
        <f>$H$31</f>
        <v>% Change over 10/1/2025</v>
      </c>
      <c r="S44" s="52" t="str">
        <f>$I$31</f>
        <v>% Change over 1/1/26</v>
      </c>
      <c r="T44" s="53" t="s">
        <v>144</v>
      </c>
    </row>
    <row r="45" spans="2:24">
      <c r="B45" s="514" t="s">
        <v>149</v>
      </c>
      <c r="C45" s="519"/>
      <c r="D45" s="158">
        <f>IF($D$3="All",'Res Bill Impact'!$C$47,(VLOOKUP($D$3,'Res Bill Impact'!$B$43:$J$46,2,FALSE)))</f>
        <v>149.179345124598</v>
      </c>
      <c r="E45" s="158">
        <f>IF($D$3="All",'Res Bill Impact'!$E$47,(VLOOKUP($D$3,'Res Bill Impact'!$B$43:$J$46,4,FALSE)))</f>
        <v>164.84994309576589</v>
      </c>
      <c r="F45" s="159">
        <f>IF($D$3="All",'Res Bill Impact'!$G$47,(VLOOKUP($D$3,'Res Bill Impact'!$B$43:$J$46,6,FALSE)))</f>
        <v>162.34678667271484</v>
      </c>
      <c r="G45" s="594">
        <f>IF($D$3="All",'Res Bill Impact'!$I$47,(VLOOKUP($D$3,'Res Bill Impact'!$B$43:$J$46,8,FALSE)))</f>
        <v>167.62622055891325</v>
      </c>
      <c r="H45" s="63">
        <f t="shared" ref="H45:J47" si="5">$G45/D45-1</f>
        <v>0.12365569388247399</v>
      </c>
      <c r="I45" s="63">
        <f t="shared" si="5"/>
        <v>1.6841240045406325E-2</v>
      </c>
      <c r="J45" s="65">
        <f t="shared" si="5"/>
        <v>3.251948495193524E-2</v>
      </c>
      <c r="K45" s="435"/>
      <c r="L45" s="514" t="s">
        <v>149</v>
      </c>
      <c r="M45" s="519"/>
      <c r="N45" s="158">
        <f>IF($D$3="All",'Res Bill Impact'!$N$47,(VLOOKUP($D$3,'Res Bill Impact'!$M$43:$U$46,2,FALSE)))</f>
        <v>134.77089436499384</v>
      </c>
      <c r="O45" s="158">
        <f>IF($D$3="All",'Res Bill Impact'!$P$47,(VLOOKUP($D$3,'Res Bill Impact'!$M$43:$U$46,4,FALSE)))</f>
        <v>148.64217187488833</v>
      </c>
      <c r="P45" s="159">
        <f>IF($D$3="All",'Res Bill Impact'!$R$47,(VLOOKUP($D$3,'Res Bill Impact'!$M$43:$U$46,6,FALSE)))</f>
        <v>146.42643145077048</v>
      </c>
      <c r="Q45" s="159">
        <f>IF($D$3="All",'Res Bill Impact'!$T$47,(VLOOKUP($D$3,'Res Bill Impact'!$M$43:$U$46,8,FALSE)))</f>
        <v>151.09967319083287</v>
      </c>
      <c r="R45" s="63">
        <f t="shared" ref="R45:T47" si="6">$Q45/N45-1</f>
        <v>0.12115953450317352</v>
      </c>
      <c r="S45" s="63">
        <f t="shared" si="6"/>
        <v>1.6533001939806224E-2</v>
      </c>
      <c r="T45" s="257">
        <f t="shared" si="6"/>
        <v>3.1915288064870762E-2</v>
      </c>
    </row>
    <row r="46" spans="2:24">
      <c r="B46" s="514" t="s">
        <v>150</v>
      </c>
      <c r="C46" s="519"/>
      <c r="D46" s="158">
        <f>IF($D$3="All",'Res Bill Impact'!$C$57,(VLOOKUP($D$3,'Res Bill Impact'!$B$53:$J$56,2,FALSE)))</f>
        <v>85.023779829299997</v>
      </c>
      <c r="E46" s="158">
        <f>IF($D$3="All",'Res Bill Impact'!$E$57,(VLOOKUP($D$3,'Res Bill Impact'!$B$53:$J$56,4,FALSE)))</f>
        <v>93.217667719699989</v>
      </c>
      <c r="F46" s="159">
        <f>IF($D$3="All",'Res Bill Impact'!$G$57,(VLOOKUP($D$3,'Res Bill Impact'!$B$53:$J$56,6,FALSE)))</f>
        <v>91.670468063178589</v>
      </c>
      <c r="G46" s="594">
        <f>IF($D$3="All",'Res Bill Impact'!$I$57,(VLOOKUP($D$3,'Res Bill Impact'!$B$53:$J$56,8,FALSE)))</f>
        <v>94.93368334614415</v>
      </c>
      <c r="H46" s="63">
        <f t="shared" si="5"/>
        <v>0.11655449259889417</v>
      </c>
      <c r="I46" s="63">
        <f t="shared" si="5"/>
        <v>1.8408695137107633E-2</v>
      </c>
      <c r="J46" s="65">
        <f t="shared" si="5"/>
        <v>3.5597235968257257E-2</v>
      </c>
      <c r="K46" s="435"/>
      <c r="L46" s="514" t="s">
        <v>150</v>
      </c>
      <c r="M46" s="519"/>
      <c r="N46" s="158">
        <f>IF($D$3="All",'Res Bill Impact'!$N$57,(VLOOKUP($D$3,'Res Bill Impact'!$M$53:$U$56,2,FALSE)))</f>
        <v>80.041141654400008</v>
      </c>
      <c r="O46" s="158">
        <f>IF($D$3="All",'Res Bill Impact'!$P$57,(VLOOKUP($D$3,'Res Bill Impact'!$M$53:$U$56,4,FALSE)))</f>
        <v>87.797993536319993</v>
      </c>
      <c r="P46" s="159">
        <f>IF($D$3="All",'Res Bill Impact'!$R$57,(VLOOKUP($D$3,'Res Bill Impact'!$M$53:$U$56,6,FALSE)))</f>
        <v>86.346564203326949</v>
      </c>
      <c r="Q46" s="159">
        <f>IF($D$3="All",'Res Bill Impact'!$T$57,(VLOOKUP($D$3,'Res Bill Impact'!$M$53:$U$56,8,FALSE)))</f>
        <v>89.407789276383255</v>
      </c>
      <c r="R46" s="63">
        <f t="shared" si="6"/>
        <v>0.11702291382132413</v>
      </c>
      <c r="S46" s="63">
        <f t="shared" si="6"/>
        <v>1.8335222426208775E-2</v>
      </c>
      <c r="T46" s="65">
        <f t="shared" si="6"/>
        <v>3.5452772224356277E-2</v>
      </c>
    </row>
    <row r="47" spans="2:24" ht="15" thickBot="1">
      <c r="B47" s="512" t="s">
        <v>112</v>
      </c>
      <c r="C47" s="513"/>
      <c r="D47" s="160">
        <f>D45*(1-'SAR and RAR'!$AD$16)+D46*'SAR and RAR'!$AD$16</f>
        <v>136.65395071148944</v>
      </c>
      <c r="E47" s="160">
        <f>E45*(1-'SAR and RAR'!$AD$16)+E46*'SAR and RAR'!$AD$16</f>
        <v>150.86483521519693</v>
      </c>
      <c r="F47" s="160">
        <f>F45*(1-'SAR and RAR'!$AD$16)+F46*'SAR and RAR'!$AD$16</f>
        <v>148.54831475252672</v>
      </c>
      <c r="G47" s="597">
        <f>G45*(1-'SAR and RAR'!$AD$16)+G46*'SAR and RAR'!$AD$16</f>
        <v>153.43411274584039</v>
      </c>
      <c r="H47" s="66">
        <f t="shared" si="5"/>
        <v>0.12279309853088738</v>
      </c>
      <c r="I47" s="66">
        <f t="shared" si="5"/>
        <v>1.7030327358781738E-2</v>
      </c>
      <c r="J47" s="67">
        <f t="shared" si="5"/>
        <v>3.2890295668807523E-2</v>
      </c>
      <c r="K47" s="435"/>
      <c r="L47" s="512" t="s">
        <v>112</v>
      </c>
      <c r="M47" s="513"/>
      <c r="N47" s="160">
        <f>N45*(1-'SAR and RAR'!$AD$16)+N46*'SAR and RAR'!$AD$16</f>
        <v>124.08574591876348</v>
      </c>
      <c r="O47" s="160">
        <f>O45*(1-'SAR and RAR'!$AD$16)+O46*'SAR and RAR'!$AD$16</f>
        <v>136.76327519734727</v>
      </c>
      <c r="P47" s="160">
        <f>P45*(1-'SAR and RAR'!$AD$16)+P46*'SAR and RAR'!$AD$16</f>
        <v>134.69675484208216</v>
      </c>
      <c r="Q47" s="160">
        <f>Q45*(1-'SAR and RAR'!$AD$16)+Q46*'SAR and RAR'!$AD$16</f>
        <v>139.05527494479605</v>
      </c>
      <c r="R47" s="66">
        <f t="shared" si="6"/>
        <v>0.12063858677073869</v>
      </c>
      <c r="S47" s="66">
        <f t="shared" si="6"/>
        <v>1.6758883144188053E-2</v>
      </c>
      <c r="T47" s="67">
        <f t="shared" si="6"/>
        <v>3.2358018630989305E-2</v>
      </c>
    </row>
    <row r="48" spans="2:24" ht="15" thickBot="1">
      <c r="D48" s="445"/>
      <c r="E48" s="445"/>
      <c r="F48" s="445"/>
      <c r="G48" s="596"/>
      <c r="N48" s="445"/>
      <c r="O48" s="445"/>
      <c r="P48" s="445"/>
      <c r="Q48" s="445"/>
    </row>
    <row r="49" spans="2:20">
      <c r="B49" s="464" t="s">
        <v>281</v>
      </c>
      <c r="C49" s="465"/>
      <c r="D49" s="465"/>
      <c r="E49" s="465"/>
      <c r="F49" s="465"/>
      <c r="G49" s="592"/>
      <c r="H49" s="465"/>
      <c r="I49" s="465"/>
      <c r="J49" s="466"/>
      <c r="L49" s="521" t="s">
        <v>288</v>
      </c>
      <c r="M49" s="522"/>
      <c r="N49" s="522"/>
      <c r="O49" s="522"/>
      <c r="P49" s="522"/>
      <c r="Q49" s="522"/>
      <c r="R49" s="522"/>
      <c r="S49" s="522"/>
      <c r="T49" s="523"/>
    </row>
    <row r="50" spans="2:20" ht="29">
      <c r="B50" s="61"/>
      <c r="C50" s="62"/>
      <c r="D50" s="51" t="str">
        <f>$D$31</f>
        <v>10/1/2025</v>
      </c>
      <c r="E50" s="177" t="str">
        <f>$E$31</f>
        <v>1/1/26</v>
      </c>
      <c r="F50" s="52" t="str">
        <f>$D$2&amp;" Authorized"</f>
        <v>2030 Authorized</v>
      </c>
      <c r="G50" s="593" t="str">
        <f>$D$2&amp;" w/Pending"</f>
        <v>2030 w/Pending</v>
      </c>
      <c r="H50" s="52" t="str">
        <f>$H$31</f>
        <v>% Change over 10/1/2025</v>
      </c>
      <c r="I50" s="52" t="str">
        <f>$I$31</f>
        <v>% Change over 1/1/26</v>
      </c>
      <c r="J50" s="53" t="s">
        <v>144</v>
      </c>
      <c r="L50" s="61"/>
      <c r="M50" s="62"/>
      <c r="N50" s="51" t="str">
        <f>$D$31</f>
        <v>10/1/2025</v>
      </c>
      <c r="O50" s="177" t="str">
        <f>$E$31</f>
        <v>1/1/26</v>
      </c>
      <c r="P50" s="52" t="str">
        <f>$D$2&amp;" Authorized"</f>
        <v>2030 Authorized</v>
      </c>
      <c r="Q50" s="52" t="str">
        <f>$D$2&amp;" w/Pending"</f>
        <v>2030 w/Pending</v>
      </c>
      <c r="R50" s="52" t="str">
        <f>$H$31</f>
        <v>% Change over 10/1/2025</v>
      </c>
      <c r="S50" s="52" t="str">
        <f>$I$31</f>
        <v>% Change over 1/1/26</v>
      </c>
      <c r="T50" s="53" t="s">
        <v>144</v>
      </c>
    </row>
    <row r="51" spans="2:20">
      <c r="B51" s="514" t="s">
        <v>149</v>
      </c>
      <c r="C51" s="519"/>
      <c r="D51" s="158">
        <f>IF($D$3="All",'Res Bill Impact'!$D$47,(VLOOKUP($D$3,'Res Bill Impact'!$B$43:$J$46,3,FALSE)))</f>
        <v>139.77061140466148</v>
      </c>
      <c r="E51" s="158">
        <f>IF($D$3="All",'Res Bill Impact'!$F$47,(VLOOKUP($D$3,'Res Bill Impact'!$B$43:$J$46,5,FALSE)))</f>
        <v>154.26522704999164</v>
      </c>
      <c r="F51" s="159">
        <f>IF($D$3="All",'Res Bill Impact'!$H$47,(VLOOKUP($D$3,'Res Bill Impact'!$B$43:$J$46,7,FALSE)))</f>
        <v>151.94991717355811</v>
      </c>
      <c r="G51" s="594">
        <f>IF($D$3="All",'Res Bill Impact'!$J$47,(VLOOKUP($D$3,'Res Bill Impact'!$B$43:$J$46,9,FALSE)))</f>
        <v>156.83316190653966</v>
      </c>
      <c r="H51" s="63">
        <f t="shared" ref="H51:J53" si="7">$G51/D51-1</f>
        <v>0.12207538001303408</v>
      </c>
      <c r="I51" s="63">
        <f t="shared" si="7"/>
        <v>1.6646232632295366E-2</v>
      </c>
      <c r="J51" s="65">
        <f t="shared" si="7"/>
        <v>3.2137199044365961E-2</v>
      </c>
      <c r="K51" s="435"/>
      <c r="L51" s="514" t="s">
        <v>149</v>
      </c>
      <c r="M51" s="519"/>
      <c r="N51" s="158">
        <f>IF($D$3="All",'Res Bill Impact'!$O$47,(VLOOKUP($D$3,'Res Bill Impact'!$M$43:$U$46,3,FALSE)))</f>
        <v>126.02206160723932</v>
      </c>
      <c r="O51" s="158">
        <f>IF($D$3="All",'Res Bill Impact'!$Q$47,(VLOOKUP($D$3,'Res Bill Impact'!$M$43:$U$46,5,FALSE)))</f>
        <v>138.79826837323114</v>
      </c>
      <c r="P51" s="159">
        <f>IF($D$3="All",'Res Bill Impact'!$S$47,(VLOOKUP($D$3,'Res Bill Impact'!$M$43:$U$46,7,FALSE)))</f>
        <v>136.75745001471273</v>
      </c>
      <c r="Q51" s="159">
        <f>IF($D$3="All",'Res Bill Impact'!$U$47,(VLOOKUP($D$3,'Res Bill Impact'!$M$43:$U$46,9,FALSE)))</f>
        <v>141.0617617622004</v>
      </c>
      <c r="R51" s="63">
        <f t="shared" ref="R51:T53" si="8">$Q51/N51-1</f>
        <v>0.11934180383299742</v>
      </c>
      <c r="S51" s="63">
        <f t="shared" si="8"/>
        <v>1.6307792708787128E-2</v>
      </c>
      <c r="T51" s="257">
        <f t="shared" si="8"/>
        <v>3.147405678465498E-2</v>
      </c>
    </row>
    <row r="52" spans="2:20">
      <c r="B52" s="514" t="s">
        <v>150</v>
      </c>
      <c r="C52" s="519"/>
      <c r="D52" s="158">
        <f>IF($D$3="All",'Res Bill Impact'!$D$57,(VLOOKUP($D$3,'Res Bill Impact'!$B$53:$J$56,3,FALSE)))</f>
        <v>78.112093791150002</v>
      </c>
      <c r="E52" s="158">
        <f>IF($D$3="All",'Res Bill Impact'!$F$57,(VLOOKUP($D$3,'Res Bill Impact'!$B$53:$J$56,5,FALSE)))</f>
        <v>85.590096628349997</v>
      </c>
      <c r="F52" s="159">
        <f>IF($D$3="All",'Res Bill Impact'!$H$57,(VLOOKUP($D$3,'Res Bill Impact'!$B$53:$J$56,7,FALSE)))</f>
        <v>84.178072986345171</v>
      </c>
      <c r="G52" s="594">
        <f>IF($D$3="All",'Res Bill Impact'!$J$57,(VLOOKUP($D$3,'Res Bill Impact'!$B$53:$J$56,9,FALSE)))</f>
        <v>87.156187096620059</v>
      </c>
      <c r="H52" s="63">
        <f t="shared" si="7"/>
        <v>0.11578352168681394</v>
      </c>
      <c r="I52" s="63">
        <f t="shared" si="7"/>
        <v>1.8297566306886504E-2</v>
      </c>
      <c r="J52" s="65">
        <f t="shared" si="7"/>
        <v>3.537873943441272E-2</v>
      </c>
      <c r="K52" s="435"/>
      <c r="L52" s="514" t="s">
        <v>150</v>
      </c>
      <c r="M52" s="519"/>
      <c r="N52" s="158">
        <f>IF($D$3="All",'Res Bill Impact'!$O$57,(VLOOKUP($D$3,'Res Bill Impact'!$M$53:$U$56,3,FALSE)))</f>
        <v>74.330774989739993</v>
      </c>
      <c r="O52" s="158">
        <f>IF($D$3="All",'Res Bill Impact'!$Q$57,(VLOOKUP($D$3,'Res Bill Impact'!$M$53:$U$56,5,FALSE)))</f>
        <v>81.417123808459991</v>
      </c>
      <c r="P52" s="159">
        <f>IF($D$3="All",'Res Bill Impact'!$S$57,(VLOOKUP($D$3,'Res Bill Impact'!$M$53:$U$56,7,FALSE)))</f>
        <v>80.079053699988052</v>
      </c>
      <c r="Q52" s="159">
        <f>IF($D$3="All",'Res Bill Impact'!$U$57,(VLOOKUP($D$3,'Res Bill Impact'!$M$53:$U$56,9,FALSE)))</f>
        <v>82.901191624618988</v>
      </c>
      <c r="R52" s="63">
        <f t="shared" si="8"/>
        <v>0.11530105311106986</v>
      </c>
      <c r="S52" s="63">
        <f t="shared" si="8"/>
        <v>1.8227956807346679E-2</v>
      </c>
      <c r="T52" s="65">
        <f t="shared" si="8"/>
        <v>3.5241899026478674E-2</v>
      </c>
    </row>
    <row r="53" spans="2:20" ht="15" thickBot="1">
      <c r="B53" s="512" t="s">
        <v>112</v>
      </c>
      <c r="C53" s="513"/>
      <c r="D53" s="160">
        <f>D51*(1-'SAR and RAR'!$AD$16)+D52*'SAR and RAR'!$AD$16</f>
        <v>127.73272741935064</v>
      </c>
      <c r="E53" s="160">
        <f>E51*(1-'SAR and RAR'!$AD$16)+E52*'SAR and RAR'!$AD$16</f>
        <v>140.85745656362081</v>
      </c>
      <c r="F53" s="160">
        <f>F51*(1-'SAR and RAR'!$AD$16)+F52*'SAR and RAR'!$AD$16</f>
        <v>138.71849953049988</v>
      </c>
      <c r="G53" s="597">
        <f>G51*(1-'SAR and RAR'!$AD$16)+G52*'SAR and RAR'!$AD$16</f>
        <v>143.22979660238519</v>
      </c>
      <c r="H53" s="66">
        <f t="shared" si="7"/>
        <v>0.12132418602600703</v>
      </c>
      <c r="I53" s="66">
        <f t="shared" si="7"/>
        <v>1.6842133151061534E-2</v>
      </c>
      <c r="J53" s="67">
        <f t="shared" si="7"/>
        <v>3.2521236079931848E-2</v>
      </c>
      <c r="K53" s="435"/>
      <c r="L53" s="512" t="s">
        <v>112</v>
      </c>
      <c r="M53" s="513"/>
      <c r="N53" s="160">
        <f>N51*(1-'SAR and RAR'!$AD$16)+N52*'SAR and RAR'!$AD$16</f>
        <v>115.93012726568857</v>
      </c>
      <c r="O53" s="160">
        <f>O51*(1-'SAR and RAR'!$AD$16)+O52*'SAR and RAR'!$AD$16</f>
        <v>127.59547615651235</v>
      </c>
      <c r="P53" s="160">
        <f>P51*(1-'SAR and RAR'!$AD$16)+P52*'SAR and RAR'!$AD$16</f>
        <v>125.6918586622438</v>
      </c>
      <c r="Q53" s="160">
        <f>Q51*(1-'SAR and RAR'!$AD$16)+Q52*'SAR and RAR'!$AD$16</f>
        <v>129.70679860489093</v>
      </c>
      <c r="R53" s="66">
        <f t="shared" si="8"/>
        <v>0.11883598909219684</v>
      </c>
      <c r="S53" s="66">
        <f t="shared" si="8"/>
        <v>1.6547000818342372E-2</v>
      </c>
      <c r="T53" s="67">
        <f t="shared" si="8"/>
        <v>3.1942720756767518E-2</v>
      </c>
    </row>
    <row r="54" spans="2:20" ht="15" thickBot="1">
      <c r="D54" s="445"/>
      <c r="E54" s="445"/>
      <c r="F54" s="445"/>
      <c r="G54" s="596"/>
      <c r="N54" s="445"/>
      <c r="O54" s="445"/>
      <c r="P54" s="445"/>
      <c r="Q54" s="445"/>
    </row>
    <row r="55" spans="2:20">
      <c r="B55" s="464" t="s">
        <v>299</v>
      </c>
      <c r="C55" s="465"/>
      <c r="D55" s="465"/>
      <c r="E55" s="465"/>
      <c r="F55" s="465"/>
      <c r="G55" s="592"/>
      <c r="H55" s="465"/>
      <c r="I55" s="465"/>
      <c r="J55" s="466"/>
      <c r="L55" s="532" t="s">
        <v>298</v>
      </c>
      <c r="M55" s="533"/>
      <c r="N55" s="533"/>
      <c r="O55" s="533"/>
      <c r="P55" s="533"/>
      <c r="Q55" s="533"/>
      <c r="R55" s="533"/>
      <c r="S55" s="533"/>
      <c r="T55" s="534"/>
    </row>
    <row r="56" spans="2:20" ht="29">
      <c r="B56" s="61"/>
      <c r="C56" s="234"/>
      <c r="D56" s="51" t="str">
        <f>D50</f>
        <v>10/1/2025</v>
      </c>
      <c r="E56" s="177" t="str">
        <f>E50</f>
        <v>1/1/26</v>
      </c>
      <c r="F56" s="52" t="str">
        <f>$D$2&amp;" Authorized"</f>
        <v>2030 Authorized</v>
      </c>
      <c r="G56" s="593" t="str">
        <f>$D$2&amp;" w/Pending"</f>
        <v>2030 w/Pending</v>
      </c>
      <c r="H56" s="52" t="str">
        <f>$H$31</f>
        <v>% Change over 10/1/2025</v>
      </c>
      <c r="I56" s="52" t="str">
        <f>$I$31</f>
        <v>% Change over 1/1/26</v>
      </c>
      <c r="J56" s="53" t="s">
        <v>144</v>
      </c>
      <c r="L56" s="61"/>
      <c r="M56" s="234"/>
      <c r="N56" s="51" t="str">
        <f>N50</f>
        <v>10/1/2025</v>
      </c>
      <c r="O56" s="177" t="str">
        <f>O50</f>
        <v>1/1/26</v>
      </c>
      <c r="P56" s="52" t="str">
        <f>$D$2&amp;" Authorized"</f>
        <v>2030 Authorized</v>
      </c>
      <c r="Q56" s="52" t="str">
        <f>$D$2&amp;" w/Pending"</f>
        <v>2030 w/Pending</v>
      </c>
      <c r="R56" s="52" t="str">
        <f>$H$31</f>
        <v>% Change over 10/1/2025</v>
      </c>
      <c r="S56" s="52" t="str">
        <f>$I$31</f>
        <v>% Change over 1/1/26</v>
      </c>
      <c r="T56" s="53" t="s">
        <v>144</v>
      </c>
    </row>
    <row r="57" spans="2:20">
      <c r="B57" s="514" t="s">
        <v>286</v>
      </c>
      <c r="C57" s="515"/>
      <c r="D57" s="158">
        <f>((D63*5)+(D69*7)+(I6*2))/12</f>
        <v>118.12927449733274</v>
      </c>
      <c r="E57" s="158">
        <f>((E63*5)+(E69*7)+(I6*2))/12</f>
        <v>130.94731230873856</v>
      </c>
      <c r="F57" s="158">
        <f>((F63*5)+(F69*7)+(I7*2))/12</f>
        <v>128.89981203226122</v>
      </c>
      <c r="G57" s="598">
        <f>((G63*5)+(G69*7)+(I7*2))/12</f>
        <v>133.21821668412048</v>
      </c>
      <c r="H57" s="63">
        <f t="shared" ref="H57:J59" si="9">$G57/D57-1</f>
        <v>0.12773245455874216</v>
      </c>
      <c r="I57" s="64">
        <f t="shared" si="9"/>
        <v>1.7342122838136076E-2</v>
      </c>
      <c r="J57" s="65">
        <f t="shared" si="9"/>
        <v>3.3502024431024235E-2</v>
      </c>
      <c r="K57" s="436"/>
      <c r="L57" s="514" t="s">
        <v>286</v>
      </c>
      <c r="M57" s="515"/>
      <c r="N57" s="158">
        <f>((N63*5)+(N69*7)+(I6*2))/12</f>
        <v>101.59942015804297</v>
      </c>
      <c r="O57" s="158">
        <f>((O63*5)+(O69*7)+(I6*2))/12</f>
        <v>112.3514183587743</v>
      </c>
      <c r="P57" s="158">
        <f>((P63*5)+(P69*7)+(I7*2))/12</f>
        <v>110.63393869358778</v>
      </c>
      <c r="Q57" s="158">
        <f>((Q63*5)+(Q69*7)+(I7*2))/12</f>
        <v>114.25629335738076</v>
      </c>
      <c r="R57" s="63">
        <f t="shared" ref="R57:T59" si="10">$Q57/N57-1</f>
        <v>0.12457623458528988</v>
      </c>
      <c r="S57" s="63">
        <f t="shared" si="10"/>
        <v>1.6954614605074081E-2</v>
      </c>
      <c r="T57" s="257">
        <f t="shared" si="10"/>
        <v>3.2741803343235176E-2</v>
      </c>
    </row>
    <row r="58" spans="2:20">
      <c r="B58" s="514" t="s">
        <v>287</v>
      </c>
      <c r="C58" s="515"/>
      <c r="D58" s="158">
        <f>((D64*5)+(D70*7)+(I6*2))/12</f>
        <v>63.383868397996245</v>
      </c>
      <c r="E58" s="158">
        <f>((E64*5)+(E70*7)+(I6*2))/12</f>
        <v>70.188548397996243</v>
      </c>
      <c r="F58" s="158">
        <f>((F64*5)+(F70*7)+(I7*2))/12</f>
        <v>68.903664018375551</v>
      </c>
      <c r="G58" s="598">
        <f>((G64*5)+(G70*7)+(I7*2))/12</f>
        <v>71.613627355524173</v>
      </c>
      <c r="H58" s="63">
        <f t="shared" si="9"/>
        <v>0.12983996031690759</v>
      </c>
      <c r="I58" s="63">
        <f t="shared" si="9"/>
        <v>2.0303582137746856E-2</v>
      </c>
      <c r="J58" s="65">
        <f t="shared" si="9"/>
        <v>3.9329742122652833E-2</v>
      </c>
      <c r="K58" s="436"/>
      <c r="L58" s="514" t="s">
        <v>287</v>
      </c>
      <c r="M58" s="515"/>
      <c r="N58" s="158">
        <f>((N64*5)+(N70*7)+(I6*2))/12</f>
        <v>52.79461089799625</v>
      </c>
      <c r="O58" s="158">
        <f>((O64*5)+(O70*7)+(I6*2))/12</f>
        <v>58.50249756466291</v>
      </c>
      <c r="P58" s="158">
        <f>((P64*5)+(P70*7)+(I7*2))/12</f>
        <v>57.42471368376841</v>
      </c>
      <c r="Q58" s="158">
        <f>((Q64*5)+(Q70*7)+(I7*2))/12</f>
        <v>59.697879152132252</v>
      </c>
      <c r="R58" s="63">
        <f t="shared" si="10"/>
        <v>0.13075706282737287</v>
      </c>
      <c r="S58" s="63">
        <f t="shared" si="10"/>
        <v>2.043300093552558E-2</v>
      </c>
      <c r="T58" s="65">
        <f t="shared" si="10"/>
        <v>3.9585142398478768E-2</v>
      </c>
    </row>
    <row r="59" spans="2:20" ht="15" thickBot="1">
      <c r="B59" s="512" t="s">
        <v>112</v>
      </c>
      <c r="C59" s="520"/>
      <c r="D59" s="160">
        <f>D57*(1-'SAR and RAR'!$AD$16)+D58*'SAR and RAR'!$AD$16</f>
        <v>107.4410699659911</v>
      </c>
      <c r="E59" s="160">
        <f>E57*(1-'SAR and RAR'!$AD$16)+E58*'SAR and RAR'!$AD$16</f>
        <v>119.08509149387856</v>
      </c>
      <c r="F59" s="160">
        <f>F57*(1-'SAR and RAR'!$AD$16)+F58*'SAR and RAR'!$AD$16</f>
        <v>117.1864803254602</v>
      </c>
      <c r="G59" s="597">
        <f>G57*(1-'SAR and RAR'!$AD$16)+G58*'SAR and RAR'!$AD$16</f>
        <v>121.19086137290792</v>
      </c>
      <c r="H59" s="66">
        <f t="shared" si="9"/>
        <v>0.12797519059768403</v>
      </c>
      <c r="I59" s="66">
        <f t="shared" si="9"/>
        <v>1.7682900962775916E-2</v>
      </c>
      <c r="J59" s="67">
        <f t="shared" si="9"/>
        <v>3.4171015601171861E-2</v>
      </c>
      <c r="K59" s="436"/>
      <c r="L59" s="512" t="s">
        <v>112</v>
      </c>
      <c r="M59" s="520"/>
      <c r="N59" s="160">
        <f>((N65*5)+(N71*7)+(I6*2))/12</f>
        <v>92.07102644153683</v>
      </c>
      <c r="O59" s="160">
        <f>((O65*5)+(O71*7)+(I6*2))/12</f>
        <v>101.83823889317428</v>
      </c>
      <c r="P59" s="160">
        <f>((P65*5)+(P71*7)+(I7*2))/12</f>
        <v>100.24565006116461</v>
      </c>
      <c r="Q59" s="160">
        <f>((Q65*5)+(Q71*7)+(I7*2))/12</f>
        <v>103.60459613783236</v>
      </c>
      <c r="R59" s="66">
        <f t="shared" si="10"/>
        <v>0.12526817764564724</v>
      </c>
      <c r="S59" s="66">
        <f t="shared" si="10"/>
        <v>1.7344734785829763E-2</v>
      </c>
      <c r="T59" s="67">
        <f t="shared" si="10"/>
        <v>3.3507150431148824E-2</v>
      </c>
    </row>
    <row r="60" spans="2:20" ht="15" thickBot="1">
      <c r="B60"/>
      <c r="C60"/>
      <c r="D60" s="445"/>
      <c r="E60" s="445"/>
      <c r="F60" s="445"/>
      <c r="G60" s="596"/>
      <c r="H60"/>
      <c r="I60"/>
      <c r="J60"/>
      <c r="L60"/>
      <c r="M60"/>
      <c r="N60" s="445"/>
      <c r="O60" s="445"/>
      <c r="P60" s="445"/>
      <c r="Q60" s="445"/>
      <c r="R60"/>
      <c r="S60"/>
      <c r="T60"/>
    </row>
    <row r="61" spans="2:20">
      <c r="B61" s="464" t="s">
        <v>290</v>
      </c>
      <c r="C61" s="465"/>
      <c r="D61" s="465"/>
      <c r="E61" s="465"/>
      <c r="F61" s="465"/>
      <c r="G61" s="592"/>
      <c r="H61" s="465"/>
      <c r="I61" s="465"/>
      <c r="J61" s="466"/>
      <c r="L61" s="532" t="s">
        <v>296</v>
      </c>
      <c r="M61" s="533"/>
      <c r="N61" s="533"/>
      <c r="O61" s="533"/>
      <c r="P61" s="533"/>
      <c r="Q61" s="533"/>
      <c r="R61" s="533"/>
      <c r="S61" s="533"/>
      <c r="T61" s="534"/>
    </row>
    <row r="62" spans="2:20" ht="29">
      <c r="B62" s="61"/>
      <c r="C62" s="234"/>
      <c r="D62" s="51" t="str">
        <f>D56</f>
        <v>10/1/2025</v>
      </c>
      <c r="E62" s="177" t="str">
        <f>E56</f>
        <v>1/1/26</v>
      </c>
      <c r="F62" s="52" t="str">
        <f>$D$2&amp;" Authorized"</f>
        <v>2030 Authorized</v>
      </c>
      <c r="G62" s="593" t="str">
        <f>$D$2&amp;" w/Pending"</f>
        <v>2030 w/Pending</v>
      </c>
      <c r="H62" s="52" t="str">
        <f>$H$31</f>
        <v>% Change over 10/1/2025</v>
      </c>
      <c r="I62" s="52" t="str">
        <f>$I$31</f>
        <v>% Change over 1/1/26</v>
      </c>
      <c r="J62" s="53" t="s">
        <v>144</v>
      </c>
      <c r="L62" s="61"/>
      <c r="M62" s="234"/>
      <c r="N62" s="51" t="str">
        <f>N56</f>
        <v>10/1/2025</v>
      </c>
      <c r="O62" s="177" t="str">
        <f>O56</f>
        <v>1/1/26</v>
      </c>
      <c r="P62" s="52" t="str">
        <f>$D$2&amp;" Authorized"</f>
        <v>2030 Authorized</v>
      </c>
      <c r="Q62" s="52" t="str">
        <f>$D$2&amp;" w/Pending"</f>
        <v>2030 w/Pending</v>
      </c>
      <c r="R62" s="52" t="str">
        <f>$H$31</f>
        <v>% Change over 10/1/2025</v>
      </c>
      <c r="S62" s="52" t="str">
        <f>$I$31</f>
        <v>% Change over 1/1/26</v>
      </c>
      <c r="T62" s="53" t="s">
        <v>144</v>
      </c>
    </row>
    <row r="63" spans="2:20">
      <c r="B63" s="514" t="s">
        <v>286</v>
      </c>
      <c r="C63" s="515"/>
      <c r="D63" s="158">
        <f>IF($D$3="All",'Res Bill Impact'!C67,(VLOOKUP($D$3,'Res Bill Impact'!$B$63:$J$66,2,FALSE)))</f>
        <v>125.04435190793733</v>
      </c>
      <c r="E63" s="158">
        <f>IF($D$3="All",'Res Bill Impact'!E67,(VLOOKUP($D$3,'Res Bill Impact'!$B$63:$J$66,4,FALSE)))</f>
        <v>137.69835632870357</v>
      </c>
      <c r="F63" s="158">
        <f>IF($D$3="All",'Res Bill Impact'!G67,(VLOOKUP($D$3,'Res Bill Impact'!$B$63:$J$66,6,FALSE)))</f>
        <v>135.67705806673325</v>
      </c>
      <c r="G63" s="598">
        <f>IF($D$3="All",'Res Bill Impact'!I67,(VLOOKUP($D$3,'Res Bill Impact'!$B$63:$J$66,8,FALSE)))</f>
        <v>139.94019977057968</v>
      </c>
      <c r="H63" s="63">
        <f t="shared" ref="H63:I65" si="11">$G63/D63-1</f>
        <v>0.11912451570470983</v>
      </c>
      <c r="I63" s="64">
        <f t="shared" si="11"/>
        <v>1.6280829355177939E-2</v>
      </c>
      <c r="J63" s="65">
        <f t="shared" ref="J63:J65" si="12">$G63/F63-1</f>
        <v>3.1421242209936473E-2</v>
      </c>
      <c r="K63" s="437"/>
      <c r="L63" s="514" t="s">
        <v>286</v>
      </c>
      <c r="M63" s="515"/>
      <c r="N63" s="158">
        <f>IF($D$3="All",'Res Bill Impact'!N67,(VLOOKUP($D$3,'Res Bill Impact'!$M$63:$U$66,2,FALSE)))</f>
        <v>91.672169612357976</v>
      </c>
      <c r="O63" s="158">
        <f>IF($D$3="All",'Res Bill Impact'!P67,(VLOOKUP($D$3,'Res Bill Impact'!$M$63:$U$66,4,FALSE)))</f>
        <v>100.15503924257534</v>
      </c>
      <c r="P63" s="158">
        <f>IF($D$3="All",'Res Bill Impact'!R67,(VLOOKUP($D$3,'Res Bill Impact'!$M$63:$U$66,6,FALSE)))</f>
        <v>98.80002077806931</v>
      </c>
      <c r="Q63" s="158">
        <f>IF($D$3="All",'Res Bill Impact'!T67,(VLOOKUP($D$3,'Res Bill Impact'!$M$63:$U$66,8,FALSE)))</f>
        <v>101.65790466101822</v>
      </c>
      <c r="R63" s="63">
        <f t="shared" ref="R63:T65" si="13">$Q63/N63-1</f>
        <v>0.1089287522143918</v>
      </c>
      <c r="S63" s="63">
        <f t="shared" si="13"/>
        <v>1.5005389941517899E-2</v>
      </c>
      <c r="T63" s="257">
        <f t="shared" si="13"/>
        <v>2.8925944149024607E-2</v>
      </c>
    </row>
    <row r="64" spans="2:20">
      <c r="B64" s="514" t="s">
        <v>287</v>
      </c>
      <c r="C64" s="515"/>
      <c r="D64" s="158">
        <f>IF($D$3="All",'Res Bill Impact'!C77,(VLOOKUP($D$3,'Res Bill Impact'!$B$73:$J$76,2,FALSE)))</f>
        <v>70.770600000000002</v>
      </c>
      <c r="E64" s="158">
        <f>IF($D$3="All",'Res Bill Impact'!E77,(VLOOKUP($D$3,'Res Bill Impact'!$B$73:$J$76,4,FALSE)))</f>
        <v>77.488199999999992</v>
      </c>
      <c r="F64" s="158">
        <f>IF($D$3="All",'Res Bill Impact'!G77,(VLOOKUP($D$3,'Res Bill Impact'!$B$73:$J$76,6,FALSE)))</f>
        <v>76.21975838209292</v>
      </c>
      <c r="G64" s="598">
        <f>IF($D$3="All",'Res Bill Impact'!I77,(VLOOKUP($D$3,'Res Bill Impact'!$B$73:$J$76,8,FALSE)))</f>
        <v>78.895042115292654</v>
      </c>
      <c r="H64" s="63">
        <f t="shared" si="11"/>
        <v>0.11479967833101101</v>
      </c>
      <c r="I64" s="63">
        <f t="shared" si="11"/>
        <v>1.8155565818958941E-2</v>
      </c>
      <c r="J64" s="65">
        <f t="shared" si="12"/>
        <v>3.5099609208788296E-2</v>
      </c>
      <c r="K64" s="437"/>
      <c r="L64" s="514" t="s">
        <v>287</v>
      </c>
      <c r="M64" s="515"/>
      <c r="N64" s="158">
        <f>IF($D$3="All",'Res Bill Impact'!N77,(VLOOKUP($D$3,'Res Bill Impact'!$M$73:$U$76,2,FALSE)))</f>
        <v>49.391909999999996</v>
      </c>
      <c r="O64" s="158">
        <f>IF($D$3="All",'Res Bill Impact'!P77,(VLOOKUP($D$3,'Res Bill Impact'!$M$73:$U$76,4,FALSE)))</f>
        <v>53.895189999999992</v>
      </c>
      <c r="P64" s="158">
        <f>IF($D$3="All",'Res Bill Impact'!R77,(VLOOKUP($D$3,'Res Bill Impact'!$M$73:$U$76,6,FALSE)))</f>
        <v>53.044864322810433</v>
      </c>
      <c r="Q64" s="158">
        <f>IF($D$3="All",'Res Bill Impact'!T77,(VLOOKUP($D$3,'Res Bill Impact'!$M$73:$U$76,8,FALSE)))</f>
        <v>54.838295269881371</v>
      </c>
      <c r="R64" s="63">
        <f t="shared" si="13"/>
        <v>0.11026877215077069</v>
      </c>
      <c r="S64" s="63">
        <f t="shared" si="13"/>
        <v>1.7498876428144738E-2</v>
      </c>
      <c r="T64" s="65">
        <f t="shared" si="13"/>
        <v>3.380969995807348E-2</v>
      </c>
    </row>
    <row r="65" spans="2:20" ht="15" thickBot="1">
      <c r="B65" s="512" t="s">
        <v>112</v>
      </c>
      <c r="C65" s="520"/>
      <c r="D65" s="160">
        <f>D63*(1-'SAR and RAR'!$AD$16)+D64*'SAR and RAR'!$AD$16</f>
        <v>114.44823065490021</v>
      </c>
      <c r="E65" s="160">
        <f>E63*(1-'SAR and RAR'!$AD$16)+E64*'SAR and RAR'!$AD$16</f>
        <v>125.94324276652584</v>
      </c>
      <c r="F65" s="160">
        <f>F63*(1-'SAR and RAR'!$AD$16)+F64*'SAR and RAR'!$AD$16</f>
        <v>124.06892826753879</v>
      </c>
      <c r="G65" s="597">
        <f>G63*(1-'SAR and RAR'!$AD$16)+G64*'SAR and RAR'!$AD$16</f>
        <v>128.02206495057675</v>
      </c>
      <c r="H65" s="66">
        <f t="shared" si="11"/>
        <v>0.11860239531885997</v>
      </c>
      <c r="I65" s="66">
        <f t="shared" si="11"/>
        <v>1.6506023970691563E-2</v>
      </c>
      <c r="J65" s="67">
        <f t="shared" si="12"/>
        <v>3.1862423075933455E-2</v>
      </c>
      <c r="K65" s="437"/>
      <c r="L65" s="512" t="s">
        <v>112</v>
      </c>
      <c r="M65" s="520"/>
      <c r="N65" s="160">
        <f>N63*(1-'SAR and RAR'!$AD$16)+N64*'SAR and RAR'!$AD$16</f>
        <v>83.417594579064328</v>
      </c>
      <c r="O65" s="160">
        <f>O63*(1-'SAR and RAR'!$AD$16)+O64*'SAR and RAR'!$AD$16</f>
        <v>91.123510105746689</v>
      </c>
      <c r="P65" s="160">
        <f>P63*(1-'SAR and RAR'!$AD$16)+P64*'SAR and RAR'!$AD$16</f>
        <v>89.867025200870188</v>
      </c>
      <c r="Q65" s="160">
        <f>Q63*(1-'SAR and RAR'!$AD$16)+Q64*'SAR and RAR'!$AD$16</f>
        <v>92.517090903203041</v>
      </c>
      <c r="R65" s="66">
        <f t="shared" si="13"/>
        <v>0.10908365759113425</v>
      </c>
      <c r="S65" s="66">
        <f t="shared" si="13"/>
        <v>1.5293317781976734E-2</v>
      </c>
      <c r="T65" s="67">
        <f t="shared" si="13"/>
        <v>2.9488744023844493E-2</v>
      </c>
    </row>
    <row r="66" spans="2:20" ht="15" thickBot="1">
      <c r="D66" s="445"/>
      <c r="E66" s="445"/>
      <c r="F66" s="445"/>
      <c r="G66" s="596"/>
      <c r="K66" s="438"/>
      <c r="N66" s="445"/>
      <c r="O66" s="445"/>
      <c r="P66" s="445"/>
      <c r="Q66" s="445"/>
    </row>
    <row r="67" spans="2:20">
      <c r="B67" s="464" t="s">
        <v>289</v>
      </c>
      <c r="C67" s="465"/>
      <c r="D67" s="465"/>
      <c r="E67" s="465"/>
      <c r="F67" s="465"/>
      <c r="G67" s="592"/>
      <c r="H67" s="465"/>
      <c r="I67" s="465"/>
      <c r="J67" s="466"/>
      <c r="K67" s="438"/>
      <c r="L67" s="532" t="s">
        <v>297</v>
      </c>
      <c r="M67" s="533"/>
      <c r="N67" s="533"/>
      <c r="O67" s="533"/>
      <c r="P67" s="533"/>
      <c r="Q67" s="533"/>
      <c r="R67" s="533"/>
      <c r="S67" s="533"/>
      <c r="T67" s="534"/>
    </row>
    <row r="68" spans="2:20" ht="29">
      <c r="B68" s="61"/>
      <c r="C68" s="234"/>
      <c r="D68" s="51" t="str">
        <f>D62</f>
        <v>10/1/2025</v>
      </c>
      <c r="E68" s="177" t="str">
        <f>E62</f>
        <v>1/1/26</v>
      </c>
      <c r="F68" s="52" t="str">
        <f>$D$2&amp;" Authorized"</f>
        <v>2030 Authorized</v>
      </c>
      <c r="G68" s="593" t="str">
        <f>$D$2&amp;" w/Pending"</f>
        <v>2030 w/Pending</v>
      </c>
      <c r="H68" s="52" t="str">
        <f>$H$31</f>
        <v>% Change over 10/1/2025</v>
      </c>
      <c r="I68" s="52" t="str">
        <f>$I$31</f>
        <v>% Change over 1/1/26</v>
      </c>
      <c r="J68" s="53" t="s">
        <v>144</v>
      </c>
      <c r="K68" s="438"/>
      <c r="L68" s="61"/>
      <c r="M68" s="234"/>
      <c r="N68" s="51" t="str">
        <f>N62</f>
        <v>10/1/2025</v>
      </c>
      <c r="O68" s="177" t="str">
        <f>O62</f>
        <v>1/1/26</v>
      </c>
      <c r="P68" s="52" t="str">
        <f>$D$2&amp;" Authorized"</f>
        <v>2030 Authorized</v>
      </c>
      <c r="Q68" s="52" t="str">
        <f>$D$2&amp;" w/Pending"</f>
        <v>2030 w/Pending</v>
      </c>
      <c r="R68" s="52" t="str">
        <f>$H$31</f>
        <v>% Change over 10/1/2025</v>
      </c>
      <c r="S68" s="52" t="str">
        <f>$I$31</f>
        <v>% Change over 1/1/26</v>
      </c>
      <c r="T68" s="53" t="s">
        <v>144</v>
      </c>
    </row>
    <row r="69" spans="2:20">
      <c r="B69" s="514" t="s">
        <v>286</v>
      </c>
      <c r="C69" s="515"/>
      <c r="D69" s="158">
        <f>IF($D$3="All",'Res Bill Impact'!D67,(VLOOKUP($D$3,'Res Bill Impact'!$B$63:$J$66,3,FALSE)))</f>
        <v>127.29416195033593</v>
      </c>
      <c r="E69" s="158">
        <f>IF($D$3="All",'Res Bill Impact'!F67,(VLOOKUP($D$3,'Res Bill Impact'!$B$63:$J$66,5,FALSE)))</f>
        <v>140.22936646934141</v>
      </c>
      <c r="F69" s="158">
        <f>IF($D$3="All",'Res Bill Impact'!H67,(VLOOKUP($D$3,'Res Bill Impact'!$B$63:$J$66,7,FALSE)))</f>
        <v>138.1631504682162</v>
      </c>
      <c r="G69" s="598">
        <f>IF($D$3="All",'Res Bill Impact'!J67,(VLOOKUP($D$3,'Res Bill Impact'!$B$63:$J$66,9,FALSE)))</f>
        <v>142.52102865437035</v>
      </c>
      <c r="H69" s="63">
        <f t="shared" ref="H69:I71" si="14">$G69/D69-1</f>
        <v>0.11961952119984276</v>
      </c>
      <c r="I69" s="64">
        <f t="shared" si="14"/>
        <v>1.634224159124309E-2</v>
      </c>
      <c r="J69" s="65">
        <f t="shared" ref="J69:J71" si="15">$G69/F69-1</f>
        <v>3.1541537460501479E-2</v>
      </c>
      <c r="K69" s="437"/>
      <c r="L69" s="514" t="s">
        <v>286</v>
      </c>
      <c r="M69" s="515"/>
      <c r="N69" s="158">
        <f>IF($D$3="All",'Res Bill Impact'!O67,(VLOOKUP($D$3,'Res Bill Impact'!$M$63:$U$66,3,FALSE)))</f>
        <v>122.79454186553872</v>
      </c>
      <c r="O69" s="158">
        <f>IF($D$3="All",'Res Bill Impact'!Q67,(VLOOKUP($D$3,'Res Bill Impact'!$M$63:$U$66,5,FALSE)))</f>
        <v>135.16734618806572</v>
      </c>
      <c r="P69" s="158">
        <f>IF($D$3="All",'Res Bill Impact'!S67,(VLOOKUP($D$3,'Res Bill Impact'!$M$63:$U$66,7,FALSE)))</f>
        <v>133.19096566525027</v>
      </c>
      <c r="Q69" s="158">
        <f>IF($D$3="All",'Res Bill Impact'!U67,(VLOOKUP($D$3,'Res Bill Impact'!$M$63:$U$66,9,FALSE)))</f>
        <v>137.35937088678904</v>
      </c>
      <c r="R69" s="63">
        <f t="shared" ref="R69:T71" si="16">$Q69/N69-1</f>
        <v>0.11861137148261003</v>
      </c>
      <c r="S69" s="63">
        <f t="shared" si="16"/>
        <v>1.6217117229433642E-2</v>
      </c>
      <c r="T69" s="257">
        <f t="shared" si="16"/>
        <v>3.1296456187690946E-2</v>
      </c>
    </row>
    <row r="70" spans="2:20">
      <c r="B70" s="514" t="s">
        <v>287</v>
      </c>
      <c r="C70" s="515"/>
      <c r="D70" s="158">
        <f>IF($D$3="All",'Res Bill Impact'!D77,(VLOOKUP($D$3,'Res Bill Impact'!$B$73:$J$76,3,FALSE)))</f>
        <v>72.211860000000001</v>
      </c>
      <c r="E70" s="158">
        <f>IF($D$3="All",'Res Bill Impact'!F77,(VLOOKUP($D$3,'Res Bill Impact'!$B$73:$J$76,5,FALSE)))</f>
        <v>79.078739999999996</v>
      </c>
      <c r="F70" s="158">
        <f>IF($D$3="All",'Res Bill Impact'!H77,(VLOOKUP($D$3,'Res Bill Impact'!$B$73:$J$76,7,FALSE)))</f>
        <v>77.782110790583872</v>
      </c>
      <c r="G70" s="598">
        <f>IF($D$3="All",'Res Bill Impact'!J77,(VLOOKUP($D$3,'Res Bill Impact'!$B$73:$J$76,9,FALSE)))</f>
        <v>80.516845273410269</v>
      </c>
      <c r="H70" s="63">
        <f t="shared" si="14"/>
        <v>0.11500860486643427</v>
      </c>
      <c r="I70" s="63">
        <f t="shared" si="14"/>
        <v>1.8185738333846402E-2</v>
      </c>
      <c r="J70" s="65">
        <f t="shared" si="15"/>
        <v>3.5158913213209741E-2</v>
      </c>
      <c r="K70" s="437"/>
      <c r="L70" s="514" t="s">
        <v>287</v>
      </c>
      <c r="M70" s="515"/>
      <c r="N70" s="158">
        <f>IF($D$3="All",'Res Bill Impact'!O77,(VLOOKUP($D$3,'Res Bill Impact'!$M$73:$U$76,3,FALSE)))</f>
        <v>69.329340000000002</v>
      </c>
      <c r="O70" s="158">
        <f>IF($D$3="All",'Res Bill Impact'!Q77,(VLOOKUP($D$3,'Res Bill Impact'!$M$73:$U$76,5,FALSE)))</f>
        <v>75.897659999999988</v>
      </c>
      <c r="P70" s="158">
        <f>IF($D$3="All",'Res Bill Impact'!S77,(VLOOKUP($D$3,'Res Bill Impact'!$M$73:$U$76,7,FALSE)))</f>
        <v>74.657405973601968</v>
      </c>
      <c r="Q70" s="158">
        <f>IF($D$3="All",'Res Bill Impact'!U77,(VLOOKUP($D$3,'Res Bill Impact'!$M$73:$U$76,9,FALSE)))</f>
        <v>77.273238957175039</v>
      </c>
      <c r="R70" s="63">
        <f t="shared" si="16"/>
        <v>0.11458206521474223</v>
      </c>
      <c r="S70" s="63">
        <f t="shared" si="16"/>
        <v>1.8124128690858887E-2</v>
      </c>
      <c r="T70" s="65">
        <f t="shared" si="16"/>
        <v>3.5037823099532739E-2</v>
      </c>
    </row>
    <row r="71" spans="2:20" ht="15" thickBot="1">
      <c r="B71" s="512" t="s">
        <v>112</v>
      </c>
      <c r="C71" s="512"/>
      <c r="D71" s="160">
        <f>D69*(1-'SAR and RAR'!$AD$16)+D70*'SAR and RAR'!$AD$16</f>
        <v>116.54018364877678</v>
      </c>
      <c r="E71" s="160">
        <f>E69*(1-'SAR and RAR'!$AD$16)+E70*'SAR and RAR'!$AD$16</f>
        <v>128.2906404739941</v>
      </c>
      <c r="F71" s="160">
        <f>F69*(1-'SAR and RAR'!$AD$16)+F70*'SAR and RAR'!$AD$16</f>
        <v>126.37467454169621</v>
      </c>
      <c r="G71" s="597">
        <f>G69*(1-'SAR and RAR'!$AD$16)+G70*'SAR and RAR'!$AD$16</f>
        <v>130.41565870657948</v>
      </c>
      <c r="H71" s="66">
        <f t="shared" si="14"/>
        <v>0.11906172294716777</v>
      </c>
      <c r="I71" s="66">
        <f t="shared" si="14"/>
        <v>1.6564094034717591E-2</v>
      </c>
      <c r="J71" s="67">
        <f t="shared" si="15"/>
        <v>3.1976218174551985E-2</v>
      </c>
      <c r="K71" s="437"/>
      <c r="L71" s="512" t="s">
        <v>112</v>
      </c>
      <c r="M71" s="512"/>
      <c r="N71" s="160">
        <f>N69*(1-'SAR and RAR'!$AD$16)+N70*'SAR and RAR'!$AD$16</f>
        <v>112.35627766102363</v>
      </c>
      <c r="O71" s="160">
        <f>O69*(1-'SAR and RAR'!$AD$16)+O70*'SAR and RAR'!$AD$16</f>
        <v>123.59584505905759</v>
      </c>
      <c r="P71" s="160">
        <f>P69*(1-'SAR and RAR'!$AD$16)+P70*'SAR and RAR'!$AD$16</f>
        <v>121.76318199338134</v>
      </c>
      <c r="Q71" s="160">
        <f>Q69*(1-'SAR and RAR'!$AD$16)+Q70*'SAR and RAR'!$AD$16</f>
        <v>125.62847119457405</v>
      </c>
      <c r="R71" s="66">
        <f t="shared" si="16"/>
        <v>0.11812596331815417</v>
      </c>
      <c r="S71" s="66">
        <f t="shared" si="16"/>
        <v>1.6445748111882041E-2</v>
      </c>
      <c r="T71" s="67">
        <f t="shared" si="16"/>
        <v>3.1744318257080462E-2</v>
      </c>
    </row>
    <row r="72" spans="2:20" ht="15" thickBot="1">
      <c r="D72" s="445"/>
      <c r="E72" s="445"/>
      <c r="F72" s="445"/>
      <c r="G72" s="596"/>
      <c r="N72" s="445"/>
      <c r="O72" s="445"/>
      <c r="P72" s="445"/>
      <c r="Q72" s="445"/>
    </row>
    <row r="73" spans="2:20">
      <c r="B73" s="464" t="s">
        <v>300</v>
      </c>
      <c r="C73" s="465"/>
      <c r="D73" s="465"/>
      <c r="E73" s="465"/>
      <c r="F73" s="465"/>
      <c r="G73" s="592"/>
      <c r="H73" s="465"/>
      <c r="I73" s="465"/>
      <c r="J73" s="466"/>
      <c r="L73" s="532" t="s">
        <v>295</v>
      </c>
      <c r="M73" s="533"/>
      <c r="N73" s="533"/>
      <c r="O73" s="533"/>
      <c r="P73" s="533"/>
      <c r="Q73" s="533"/>
      <c r="R73" s="533"/>
      <c r="S73" s="533"/>
      <c r="T73" s="534"/>
    </row>
    <row r="74" spans="2:20" ht="29">
      <c r="B74" s="61"/>
      <c r="C74" s="234"/>
      <c r="D74" s="51" t="str">
        <f>D68</f>
        <v>10/1/2025</v>
      </c>
      <c r="E74" s="177" t="str">
        <f>E68</f>
        <v>1/1/26</v>
      </c>
      <c r="F74" s="52" t="str">
        <f>$D$2&amp;" Authorized"</f>
        <v>2030 Authorized</v>
      </c>
      <c r="G74" s="593" t="str">
        <f>$D$2&amp;" w/Pending"</f>
        <v>2030 w/Pending</v>
      </c>
      <c r="H74" s="52" t="str">
        <f>$H$31</f>
        <v>% Change over 10/1/2025</v>
      </c>
      <c r="I74" s="52" t="str">
        <f>$I$31</f>
        <v>% Change over 1/1/26</v>
      </c>
      <c r="J74" s="53" t="s">
        <v>144</v>
      </c>
      <c r="L74" s="61"/>
      <c r="M74" s="234"/>
      <c r="N74" s="51" t="str">
        <f>N68</f>
        <v>10/1/2025</v>
      </c>
      <c r="O74" s="177" t="str">
        <f>O68</f>
        <v>1/1/26</v>
      </c>
      <c r="P74" s="52" t="str">
        <f>$D$2&amp;" Authorized"</f>
        <v>2030 Authorized</v>
      </c>
      <c r="Q74" s="52" t="str">
        <f>$D$2&amp;" w/Pending"</f>
        <v>2030 w/Pending</v>
      </c>
      <c r="R74" s="52" t="str">
        <f>$H$31</f>
        <v>% Change over 10/1/2025</v>
      </c>
      <c r="S74" s="52" t="str">
        <f>$I$31</f>
        <v>% Change over 1/1/26</v>
      </c>
      <c r="T74" s="53" t="s">
        <v>144</v>
      </c>
    </row>
    <row r="75" spans="2:20">
      <c r="B75" s="514" t="str">
        <f>$I$9&amp;" kWh Monthly Usage - Non-CARE"</f>
        <v>400 kWh Monthly Usage - Non-CARE</v>
      </c>
      <c r="C75" s="515"/>
      <c r="D75" s="158">
        <f>((D81*5)+(D87*7)+(I6*2))/12</f>
        <v>169.85885964223257</v>
      </c>
      <c r="E75" s="158">
        <f>((E81*5)+(E87*7)+(I6*2))/12</f>
        <v>189.14393001789335</v>
      </c>
      <c r="F75" s="158">
        <f>((F81*5)+(F87*7)+(I7*2))/12</f>
        <v>186.06341274161298</v>
      </c>
      <c r="G75" s="598">
        <f>((G81*5)+(G87*7)+(I7*2))/12</f>
        <v>192.56056455587756</v>
      </c>
      <c r="H75" s="64">
        <f t="shared" ref="H75:J77" si="17">$G75/D75-1</f>
        <v>0.13365040223077407</v>
      </c>
      <c r="I75" s="64">
        <f t="shared" si="17"/>
        <v>1.8063675306212446E-2</v>
      </c>
      <c r="J75" s="65">
        <f t="shared" si="17"/>
        <v>3.4919018836267357E-2</v>
      </c>
      <c r="K75" s="437"/>
      <c r="L75" s="514" t="str">
        <f>B75</f>
        <v>400 kWh Monthly Usage - Non-CARE</v>
      </c>
      <c r="M75" s="515"/>
      <c r="N75" s="158">
        <f>((N81*5)+(N87*7)+(I6*2))/12</f>
        <v>175.44700689478108</v>
      </c>
      <c r="O75" s="158">
        <f>((O81*5)+(O87*7)+(I6*2))/12</f>
        <v>195.43239838796043</v>
      </c>
      <c r="P75" s="158">
        <f>((P81*5)+(P87*7)+(I7*2))/12</f>
        <v>192.24001471661714</v>
      </c>
      <c r="Q75" s="158">
        <f>((Q81*5)+(Q87*7)+(I7*2))/12</f>
        <v>198.9731051367888</v>
      </c>
      <c r="R75" s="63">
        <f t="shared" ref="R75:T77" si="18">$Q75/N75-1</f>
        <v>0.13409233168689383</v>
      </c>
      <c r="S75" s="63">
        <f t="shared" si="18"/>
        <v>1.8117296712490738E-2</v>
      </c>
      <c r="T75" s="257">
        <f t="shared" si="18"/>
        <v>3.5024396092025789E-2</v>
      </c>
    </row>
    <row r="76" spans="2:20">
      <c r="B76" s="252"/>
      <c r="C76" s="39" t="str">
        <f>$I$9&amp;" kWh Monthly Usage - CARE"</f>
        <v>400 kWh Monthly Usage - CARE</v>
      </c>
      <c r="D76" s="158">
        <f>((D82*5)+(D88*7)+(I6*2))/12</f>
        <v>96.562990064662884</v>
      </c>
      <c r="E76" s="158">
        <f>((E82*5)+(E88*7)+(I6*2))/12</f>
        <v>106.86433673132957</v>
      </c>
      <c r="F76" s="158">
        <f>((F82*5)+(F88*7)+(I7*2))/12</f>
        <v>104.92927223035736</v>
      </c>
      <c r="G76" s="598">
        <f>((G82*5)+(G88*7)+(I7*2))/12</f>
        <v>109.01053738995138</v>
      </c>
      <c r="H76" s="63">
        <f t="shared" si="17"/>
        <v>0.12890598475619974</v>
      </c>
      <c r="I76" s="63">
        <f t="shared" si="17"/>
        <v>2.008341345923137E-2</v>
      </c>
      <c r="J76" s="65">
        <f t="shared" si="17"/>
        <v>3.8895391846749838E-2</v>
      </c>
      <c r="K76" s="437"/>
      <c r="L76" s="252"/>
      <c r="M76" s="39" t="str">
        <f>C76</f>
        <v>400 kWh Monthly Usage - CARE</v>
      </c>
      <c r="N76" s="158">
        <f>((N82*5)+(N88*7)+(I6*2))/12</f>
        <v>100.19541339799623</v>
      </c>
      <c r="O76" s="158">
        <f>((O82*5)+(O88*7)+(I6*2))/12</f>
        <v>110.95117339799624</v>
      </c>
      <c r="P76" s="158">
        <f>((P82*5)+(P88*7)+(I7*2))/12</f>
        <v>108.94340761935091</v>
      </c>
      <c r="Q76" s="158">
        <f>((Q82*5)+(Q88*7)+(I7*2))/12</f>
        <v>113.17800781841065</v>
      </c>
      <c r="R76" s="63">
        <f t="shared" si="18"/>
        <v>0.1295727417066983</v>
      </c>
      <c r="S76" s="63">
        <f t="shared" si="18"/>
        <v>2.0070399908493686E-2</v>
      </c>
      <c r="T76" s="65">
        <f t="shared" si="18"/>
        <v>3.886972412186207E-2</v>
      </c>
    </row>
    <row r="77" spans="2:20" ht="15" thickBot="1">
      <c r="B77" s="512" t="s">
        <v>112</v>
      </c>
      <c r="C77" s="520"/>
      <c r="D77" s="160">
        <f>((D83*5)+(D89*7)+(I6*2))/12</f>
        <v>155.54896039833784</v>
      </c>
      <c r="E77" s="160">
        <f>((E83*5)+(E89*7)+(I6*2))/12</f>
        <v>173.08009590902452</v>
      </c>
      <c r="F77" s="160">
        <f>((F83*5)+(F89*7)+(I7*2))/12</f>
        <v>170.22321079507159</v>
      </c>
      <c r="G77" s="160">
        <f>((G83*5)+(G89*7)+(I7*2))/12</f>
        <v>176.24869763268393</v>
      </c>
      <c r="H77" s="66">
        <f t="shared" si="17"/>
        <v>0.13307538141905373</v>
      </c>
      <c r="I77" s="66">
        <f t="shared" si="17"/>
        <v>1.8307141020564854E-2</v>
      </c>
      <c r="J77" s="67">
        <f t="shared" si="17"/>
        <v>3.5397563055406644E-2</v>
      </c>
      <c r="K77" s="437"/>
      <c r="L77" s="512" t="s">
        <v>112</v>
      </c>
      <c r="M77" s="520"/>
      <c r="N77" s="160">
        <f>((N83*5)+(N89*7)+(I6*2))/12</f>
        <v>160.75528242125006</v>
      </c>
      <c r="O77" s="160">
        <f>((O83*5)+(O89*7)+(I6*2))/12</f>
        <v>178.93872930981706</v>
      </c>
      <c r="P77" s="160">
        <f>((P83*5)+(P89*7)+(I7*2))/12</f>
        <v>175.97762419188641</v>
      </c>
      <c r="Q77" s="160">
        <f>((Q83*5)+(Q89*7)+(I7*2))/12</f>
        <v>182.22292255048592</v>
      </c>
      <c r="R77" s="66">
        <f t="shared" si="18"/>
        <v>0.13354236206671666</v>
      </c>
      <c r="S77" s="66">
        <f t="shared" si="18"/>
        <v>1.8353730650353173E-2</v>
      </c>
      <c r="T77" s="67">
        <f t="shared" si="18"/>
        <v>3.5489161689043147E-2</v>
      </c>
    </row>
    <row r="78" spans="2:20" ht="15" thickBot="1">
      <c r="D78" s="445"/>
      <c r="E78" s="445"/>
      <c r="F78" s="445"/>
      <c r="G78" s="445"/>
      <c r="N78" s="445"/>
      <c r="O78" s="445"/>
      <c r="P78" s="445"/>
      <c r="Q78" s="445"/>
    </row>
    <row r="79" spans="2:20">
      <c r="B79" s="464" t="s">
        <v>291</v>
      </c>
      <c r="C79" s="465"/>
      <c r="D79" s="465"/>
      <c r="E79" s="465"/>
      <c r="F79" s="465"/>
      <c r="G79" s="465"/>
      <c r="H79" s="465"/>
      <c r="I79" s="465"/>
      <c r="J79" s="466"/>
      <c r="L79" s="521" t="s">
        <v>294</v>
      </c>
      <c r="M79" s="522"/>
      <c r="N79" s="522"/>
      <c r="O79" s="522"/>
      <c r="P79" s="522"/>
      <c r="Q79" s="522"/>
      <c r="R79" s="522"/>
      <c r="S79" s="522"/>
      <c r="T79" s="523"/>
    </row>
    <row r="80" spans="2:20" ht="29">
      <c r="B80" s="61"/>
      <c r="C80" s="234"/>
      <c r="D80" s="51" t="str">
        <f>D74</f>
        <v>10/1/2025</v>
      </c>
      <c r="E80" s="177" t="str">
        <f>E74</f>
        <v>1/1/26</v>
      </c>
      <c r="F80" s="52" t="str">
        <f>$D$2&amp;" Authorized"</f>
        <v>2030 Authorized</v>
      </c>
      <c r="G80" s="52" t="str">
        <f>$D$2&amp;" w/Pending"</f>
        <v>2030 w/Pending</v>
      </c>
      <c r="H80" s="52" t="str">
        <f>$H$31</f>
        <v>% Change over 10/1/2025</v>
      </c>
      <c r="I80" s="52" t="str">
        <f>$I$31</f>
        <v>% Change over 1/1/26</v>
      </c>
      <c r="J80" s="53" t="s">
        <v>144</v>
      </c>
      <c r="L80" s="61"/>
      <c r="M80" s="234"/>
      <c r="N80" s="51" t="str">
        <f>N74</f>
        <v>10/1/2025</v>
      </c>
      <c r="O80" s="177" t="str">
        <f>O74</f>
        <v>1/1/26</v>
      </c>
      <c r="P80" s="52" t="str">
        <f>$D$2&amp;" Authorized"</f>
        <v>2030 Authorized</v>
      </c>
      <c r="Q80" s="52" t="str">
        <f>$D$2&amp;" w/Pending"</f>
        <v>2030 w/Pending</v>
      </c>
      <c r="R80" s="52" t="str">
        <f>$H$31</f>
        <v>% Change over 10/1/2025</v>
      </c>
      <c r="S80" s="52" t="str">
        <f>$I$31</f>
        <v>% Change over 1/1/26</v>
      </c>
      <c r="T80" s="53" t="s">
        <v>144</v>
      </c>
    </row>
    <row r="81" spans="2:20">
      <c r="B81" s="510" t="str">
        <f>$B$75</f>
        <v>400 kWh Monthly Usage - Non-CARE</v>
      </c>
      <c r="C81" s="511"/>
      <c r="D81" s="158">
        <f>IF($D$3="All",'Res Bill Impact'!C87,(VLOOKUP($D$3,'Res Bill Impact'!$B$83:$J$86,2,FALSE)))</f>
        <v>178.53854625311311</v>
      </c>
      <c r="E81" s="158">
        <f>IF($D$3="All",'Res Bill Impact'!E87,(VLOOKUP($D$3,'Res Bill Impact'!$B$83:$J$86,4,FALSE)))</f>
        <v>197.88029001400659</v>
      </c>
      <c r="F81" s="158">
        <f>IF($D$3="All",'Res Bill Impact'!G87,(VLOOKUP($D$3,'Res Bill Impact'!$B$83:$J$86,6,FALSE)))</f>
        <v>194.7907199658714</v>
      </c>
      <c r="G81" s="158">
        <f>IF($D$3="All",'Res Bill Impact'!I87,(VLOOKUP($D$3,'Res Bill Impact'!$B$83:$J$86,8,FALSE)))</f>
        <v>201.30696507772385</v>
      </c>
      <c r="H81" s="64">
        <f t="shared" ref="H81:J83" si="19">$G81/D81-1</f>
        <v>0.127526628296458</v>
      </c>
      <c r="I81" s="64">
        <f t="shared" si="19"/>
        <v>1.7316909448003681E-2</v>
      </c>
      <c r="J81" s="65">
        <f t="shared" si="19"/>
        <v>3.3452543904525456E-2</v>
      </c>
      <c r="K81" s="437"/>
      <c r="L81" s="514" t="str">
        <f>B81</f>
        <v>400 kWh Monthly Usage - Non-CARE</v>
      </c>
      <c r="M81" s="515"/>
      <c r="N81" s="158">
        <f>IF($D$3="All",'Res Bill Impact'!N87,(VLOOKUP($D$3,'Res Bill Impact'!$M$83:$U$86,2,FALSE)))</f>
        <v>189.77944361662102</v>
      </c>
      <c r="O81" s="158">
        <f>IF($D$3="All",'Res Bill Impact'!P87,(VLOOKUP($D$3,'Res Bill Impact'!$M$83:$U$86,4,FALSE)))</f>
        <v>210.52992581044208</v>
      </c>
      <c r="P81" s="158">
        <f>IF($D$3="All",'Res Bill Impact'!R87,(VLOOKUP($D$3,'Res Bill Impact'!$M$83:$U$86,6,FALSE)))</f>
        <v>207.21532971905893</v>
      </c>
      <c r="Q81" s="158">
        <f>IF($D$3="All",'Res Bill Impact'!T87,(VLOOKUP($D$3,'Res Bill Impact'!$M$83:$U$86,8,FALSE)))</f>
        <v>214.20617965666668</v>
      </c>
      <c r="R81" s="63">
        <f t="shared" ref="R81:T83" si="20">$Q81/N81-1</f>
        <v>0.12871117953844791</v>
      </c>
      <c r="S81" s="63">
        <f t="shared" si="20"/>
        <v>1.7461906339788724E-2</v>
      </c>
      <c r="T81" s="257">
        <f t="shared" si="20"/>
        <v>3.3737127205240469E-2</v>
      </c>
    </row>
    <row r="82" spans="2:20">
      <c r="B82" s="252"/>
      <c r="C82" s="253" t="str">
        <f>$C$76</f>
        <v>400 kWh Monthly Usage - CARE</v>
      </c>
      <c r="D82" s="158">
        <f>IF($D$3="All",'Res Bill Impact'!C97,(VLOOKUP($D$3,'Res Bill Impact'!$B$93:$J$96,2,FALSE)))</f>
        <v>105.08441000000001</v>
      </c>
      <c r="E82" s="158">
        <f>IF($D$3="All",'Res Bill Impact'!E97,(VLOOKUP($D$3,'Res Bill Impact'!$B$93:$J$96,4,FALSE)))</f>
        <v>115.42252999999999</v>
      </c>
      <c r="F82" s="158">
        <f>IF($D$3="All",'Res Bill Impact'!G97,(VLOOKUP($D$3,'Res Bill Impact'!$B$93:$J$96,6,FALSE)))</f>
        <v>113.48158215863805</v>
      </c>
      <c r="G82" s="158">
        <f>IF($D$3="All",'Res Bill Impact'!I97,(VLOOKUP($D$3,'Res Bill Impact'!$B$93:$J$96,8,FALSE)))</f>
        <v>117.5752559341426</v>
      </c>
      <c r="H82" s="63">
        <f t="shared" si="19"/>
        <v>0.1188648814238249</v>
      </c>
      <c r="I82" s="63">
        <f t="shared" si="19"/>
        <v>1.8650829557648851E-2</v>
      </c>
      <c r="J82" s="65">
        <f t="shared" si="19"/>
        <v>3.6073464060290661E-2</v>
      </c>
      <c r="K82" s="437"/>
      <c r="L82" s="252"/>
      <c r="M82" s="39" t="str">
        <f>C82</f>
        <v>400 kWh Monthly Usage - CARE</v>
      </c>
      <c r="N82" s="158">
        <f>IF($D$3="All",'Res Bill Impact'!N97,(VLOOKUP($D$3,'Res Bill Impact'!$M$93:$U$96,2,FALSE)))</f>
        <v>112.39125000000001</v>
      </c>
      <c r="O82" s="158">
        <f>IF($D$3="All",'Res Bill Impact'!P97,(VLOOKUP($D$3,'Res Bill Impact'!$M$93:$U$96,4,FALSE)))</f>
        <v>123.64345</v>
      </c>
      <c r="P82" s="158">
        <f>IF($D$3="All",'Res Bill Impact'!R97,(VLOOKUP($D$3,'Res Bill Impact'!$M$93:$U$96,6,FALSE)))</f>
        <v>121.55625912609325</v>
      </c>
      <c r="Q82" s="158">
        <f>IF($D$3="All",'Res Bill Impact'!T97,(VLOOKUP($D$3,'Res Bill Impact'!$M$93:$U$96,8,FALSE)))</f>
        <v>125.95837563994507</v>
      </c>
      <c r="R82" s="63">
        <f t="shared" si="20"/>
        <v>0.12071336193827409</v>
      </c>
      <c r="S82" s="63">
        <f t="shared" si="20"/>
        <v>1.8722590156980301E-2</v>
      </c>
      <c r="T82" s="65">
        <f t="shared" si="20"/>
        <v>3.621464287812115E-2</v>
      </c>
    </row>
    <row r="83" spans="2:20" ht="15" thickBot="1">
      <c r="B83" s="512" t="s">
        <v>112</v>
      </c>
      <c r="C83" s="513"/>
      <c r="D83" s="160">
        <f>D81*(1-'SAR and RAR'!$AD$16)+D82*'SAR and RAR'!$AD$16</f>
        <v>164.19774785768712</v>
      </c>
      <c r="E83" s="160">
        <f>E81*(1-'SAR and RAR'!$AD$16)+E82*'SAR and RAR'!$AD$16</f>
        <v>181.7816715723641</v>
      </c>
      <c r="F83" s="160">
        <f>F81*(1-'SAR and RAR'!$AD$16)+F82*'SAR and RAR'!$AD$16</f>
        <v>178.91635246964992</v>
      </c>
      <c r="G83" s="160">
        <f>G81*(1-'SAR and RAR'!$AD$16)+G82*'SAR and RAR'!$AD$16</f>
        <v>184.95962752283353</v>
      </c>
      <c r="H83" s="66">
        <f t="shared" si="19"/>
        <v>0.12644436319029828</v>
      </c>
      <c r="I83" s="66">
        <f t="shared" si="19"/>
        <v>1.7482268278099511E-2</v>
      </c>
      <c r="J83" s="67">
        <f t="shared" si="19"/>
        <v>3.3777097340550455E-2</v>
      </c>
      <c r="K83" s="437"/>
      <c r="L83" s="512" t="s">
        <v>112</v>
      </c>
      <c r="M83" s="520"/>
      <c r="N83" s="160">
        <f>N81*(1-'SAR and RAR'!$AD$16)+N82*'SAR and RAR'!$AD$16</f>
        <v>174.67058059741808</v>
      </c>
      <c r="O83" s="160">
        <f>O81*(1-'SAR and RAR'!$AD$16)+O82*'SAR and RAR'!$AD$16</f>
        <v>193.56666823985432</v>
      </c>
      <c r="P83" s="160">
        <f>P81*(1-'SAR and RAR'!$AD$16)+P82*'SAR and RAR'!$AD$16</f>
        <v>190.49170427364746</v>
      </c>
      <c r="Q83" s="160">
        <f>Q81*(1-'SAR and RAR'!$AD$16)+Q82*'SAR and RAR'!$AD$16</f>
        <v>196.97714354245829</v>
      </c>
      <c r="R83" s="66">
        <f t="shared" si="20"/>
        <v>0.12770646819141529</v>
      </c>
      <c r="S83" s="66">
        <f t="shared" si="20"/>
        <v>1.761912489178119E-2</v>
      </c>
      <c r="T83" s="67">
        <f t="shared" si="20"/>
        <v>3.4045783219484926E-2</v>
      </c>
    </row>
    <row r="84" spans="2:20" ht="15" thickBot="1">
      <c r="D84" s="445"/>
      <c r="E84" s="445"/>
      <c r="F84" s="445"/>
      <c r="G84" s="445"/>
      <c r="N84" s="445"/>
      <c r="O84" s="445"/>
      <c r="P84" s="445"/>
      <c r="Q84" s="445"/>
    </row>
    <row r="85" spans="2:20">
      <c r="B85" s="464" t="s">
        <v>292</v>
      </c>
      <c r="C85" s="465"/>
      <c r="D85" s="465"/>
      <c r="E85" s="465"/>
      <c r="F85" s="465"/>
      <c r="G85" s="465"/>
      <c r="H85" s="465"/>
      <c r="I85" s="465"/>
      <c r="J85" s="466"/>
      <c r="L85" s="521" t="s">
        <v>293</v>
      </c>
      <c r="M85" s="522"/>
      <c r="N85" s="522"/>
      <c r="O85" s="522"/>
      <c r="P85" s="522"/>
      <c r="Q85" s="522"/>
      <c r="R85" s="522"/>
      <c r="S85" s="522"/>
      <c r="T85" s="523"/>
    </row>
    <row r="86" spans="2:20" ht="29">
      <c r="B86" s="61"/>
      <c r="C86" s="234"/>
      <c r="D86" s="51" t="str">
        <f>D80</f>
        <v>10/1/2025</v>
      </c>
      <c r="E86" s="177" t="str">
        <f>E80</f>
        <v>1/1/26</v>
      </c>
      <c r="F86" s="52" t="str">
        <f>$D$2&amp;" Authorized"</f>
        <v>2030 Authorized</v>
      </c>
      <c r="G86" s="52" t="str">
        <f>$D$2&amp;" w/Pending"</f>
        <v>2030 w/Pending</v>
      </c>
      <c r="H86" s="52" t="str">
        <f>$H$31</f>
        <v>% Change over 10/1/2025</v>
      </c>
      <c r="I86" s="52" t="str">
        <f>$I$31</f>
        <v>% Change over 1/1/26</v>
      </c>
      <c r="J86" s="53" t="s">
        <v>144</v>
      </c>
      <c r="L86" s="61"/>
      <c r="M86" s="234"/>
      <c r="N86" s="51" t="str">
        <f>N80</f>
        <v>10/1/2025</v>
      </c>
      <c r="O86" s="177" t="str">
        <f>O80</f>
        <v>1/1/26</v>
      </c>
      <c r="P86" s="52" t="str">
        <f>$D$2&amp;" Authorized"</f>
        <v>2030 Authorized</v>
      </c>
      <c r="Q86" s="52" t="str">
        <f>$D$2&amp;" w/Pending"</f>
        <v>2030 w/Pending</v>
      </c>
      <c r="R86" s="52" t="str">
        <f>$H$31</f>
        <v>% Change over 10/1/2025</v>
      </c>
      <c r="S86" s="52" t="str">
        <f>$I$31</f>
        <v>% Change over 1/1/26</v>
      </c>
      <c r="T86" s="53" t="s">
        <v>144</v>
      </c>
    </row>
    <row r="87" spans="2:20">
      <c r="B87" s="510" t="str">
        <f>$B$75</f>
        <v>400 kWh Monthly Usage - Non-CARE</v>
      </c>
      <c r="C87" s="511"/>
      <c r="D87" s="158">
        <f>IF($D$3="All",'Res Bill Impact'!D87,(VLOOKUP($D$3,'Res Bill Impact'!$B$83:$J$86,3,FALSE)))</f>
        <v>177.76331195218151</v>
      </c>
      <c r="E87" s="158">
        <f>IF($D$3="All",'Res Bill Impact'!F87,(VLOOKUP($D$3,'Res Bill Impact'!$B$83:$J$86,5,FALSE)))</f>
        <v>197.00790133839035</v>
      </c>
      <c r="F87" s="158">
        <f>IF($D$3="All",'Res Bill Impact'!H87,(VLOOKUP($D$3,'Res Bill Impact'!$B$83:$J$86,7,FALSE)))</f>
        <v>193.93385032772056</v>
      </c>
      <c r="G87" s="158">
        <f>IF($D$3="All",'Res Bill Impact'!J87,(VLOOKUP($D$3,'Res Bill Impact'!$B$83:$J$86,9,FALSE)))</f>
        <v>200.4173640722795</v>
      </c>
      <c r="H87" s="64">
        <f t="shared" ref="H87:J89" si="21">$G87/D87-1</f>
        <v>0.12743941295486194</v>
      </c>
      <c r="I87" s="64">
        <f t="shared" si="21"/>
        <v>1.7306223307423929E-2</v>
      </c>
      <c r="J87" s="65">
        <f t="shared" si="21"/>
        <v>3.3431573361755618E-2</v>
      </c>
      <c r="K87" s="437"/>
      <c r="L87" s="514" t="str">
        <f>B87</f>
        <v>400 kWh Monthly Usage - Non-CARE</v>
      </c>
      <c r="M87" s="515"/>
      <c r="N87" s="158">
        <f>IF($D$3="All",'Res Bill Impact'!O87,(VLOOKUP($D$3,'Res Bill Impact'!$M$83:$U$86,3,FALSE)))</f>
        <v>179.31378055404465</v>
      </c>
      <c r="O87" s="158">
        <f>IF($D$3="All",'Res Bill Impact'!Q87,(VLOOKUP($D$3,'Res Bill Impact'!$M$83:$U$86,5,FALSE)))</f>
        <v>198.75267868962283</v>
      </c>
      <c r="P87" s="158">
        <f>IF($D$3="All",'Res Bill Impact'!S87,(VLOOKUP($D$3,'Res Bill Impact'!$M$83:$U$86,7,FALSE)))</f>
        <v>195.64758960402227</v>
      </c>
      <c r="Q87" s="158">
        <f>IF($D$3="All",'Res Bill Impact'!U87,(VLOOKUP($D$3,'Res Bill Impact'!$M$83:$U$86,9,FALSE)))</f>
        <v>202.19656608316819</v>
      </c>
      <c r="R87" s="63">
        <f t="shared" ref="R87:T89" si="22">$Q87/N87-1</f>
        <v>0.12761308951504002</v>
      </c>
      <c r="S87" s="63">
        <f t="shared" si="22"/>
        <v>1.7327501778848564E-2</v>
      </c>
      <c r="T87" s="257">
        <f t="shared" si="22"/>
        <v>3.3473330759661302E-2</v>
      </c>
    </row>
    <row r="88" spans="2:20">
      <c r="B88" s="252"/>
      <c r="C88" s="253" t="str">
        <f>$C$76</f>
        <v>400 kWh Monthly Usage - CARE</v>
      </c>
      <c r="D88" s="158">
        <f>IF($D$3="All",'Res Bill Impact'!D97,(VLOOKUP($D$3,'Res Bill Impact'!$B$93:$J$96,3,FALSE)))</f>
        <v>104.58049</v>
      </c>
      <c r="E88" s="158">
        <f>IF($D$3="All",'Res Bill Impact'!F97,(VLOOKUP($D$3,'Res Bill Impact'!$B$93:$J$96,5,FALSE)))</f>
        <v>114.85557</v>
      </c>
      <c r="F88" s="158">
        <f>IF($D$3="All",'Res Bill Impact'!H97,(VLOOKUP($D$3,'Res Bill Impact'!$B$93:$J$96,7,FALSE)))</f>
        <v>112.92470788502047</v>
      </c>
      <c r="G88" s="158">
        <f>IF($D$3="All",'Res Bill Impact'!J97,(VLOOKUP($D$3,'Res Bill Impact'!$B$93:$J$96,9,FALSE)))</f>
        <v>116.99710974753553</v>
      </c>
      <c r="H88" s="63">
        <f t="shared" si="21"/>
        <v>0.11872787885709402</v>
      </c>
      <c r="I88" s="63">
        <f t="shared" si="21"/>
        <v>1.8645501890204752E-2</v>
      </c>
      <c r="J88" s="65">
        <f t="shared" si="21"/>
        <v>3.6062983369959722E-2</v>
      </c>
      <c r="K88" s="437"/>
      <c r="L88" s="252"/>
      <c r="M88" s="39" t="str">
        <f>C88</f>
        <v>400 kWh Monthly Usage - CARE</v>
      </c>
      <c r="N88" s="158">
        <f>IF($D$3="All",'Res Bill Impact'!O97,(VLOOKUP($D$3,'Res Bill Impact'!$M$93:$U$96,3,FALSE)))</f>
        <v>105.58833000000001</v>
      </c>
      <c r="O88" s="158">
        <f>IF($D$3="All",'Res Bill Impact'!Q97,(VLOOKUP($D$3,'Res Bill Impact'!$M$93:$U$96,5,FALSE)))</f>
        <v>115.98949</v>
      </c>
      <c r="P88" s="158">
        <f>IF($D$3="All",'Res Bill Impact'!S97,(VLOOKUP($D$3,'Res Bill Impact'!$M$93:$U$96,7,FALSE)))</f>
        <v>114.03845643225566</v>
      </c>
      <c r="Q88" s="158">
        <f>IF($D$3="All",'Res Bill Impact'!U97,(VLOOKUP($D$3,'Res Bill Impact'!$M$93:$U$96,9,FALSE)))</f>
        <v>118.15340212074966</v>
      </c>
      <c r="R88" s="63">
        <f t="shared" si="22"/>
        <v>0.11900057630184735</v>
      </c>
      <c r="S88" s="63">
        <f t="shared" si="22"/>
        <v>1.8656105141505952E-2</v>
      </c>
      <c r="T88" s="65">
        <f t="shared" si="22"/>
        <v>3.6083842391697818E-2</v>
      </c>
    </row>
    <row r="89" spans="2:20" ht="15" thickBot="1">
      <c r="B89" s="512" t="s">
        <v>112</v>
      </c>
      <c r="C89" s="513"/>
      <c r="D89" s="160">
        <f>D87*(1-'SAR and RAR'!$AD$16)+D88*'SAR and RAR'!$AD$16</f>
        <v>163.4754835308091</v>
      </c>
      <c r="E89" s="160">
        <f>E87*(1-'SAR and RAR'!$AD$16)+E88*'SAR and RAR'!$AD$16</f>
        <v>180.9689131815027</v>
      </c>
      <c r="F89" s="160">
        <f>F87*(1-'SAR and RAR'!$AD$16)+F88*'SAR and RAR'!$AD$16</f>
        <v>178.11805234523632</v>
      </c>
      <c r="G89" s="160">
        <f>G87*(1-'SAR and RAR'!$AD$16)+G88*'SAR and RAR'!$AD$16</f>
        <v>184.13083331458353</v>
      </c>
      <c r="H89" s="66">
        <f t="shared" si="21"/>
        <v>0.12635136069122965</v>
      </c>
      <c r="I89" s="66">
        <f t="shared" si="21"/>
        <v>1.7472172858272073E-2</v>
      </c>
      <c r="J89" s="67">
        <f t="shared" si="21"/>
        <v>3.3757280018383407E-2</v>
      </c>
      <c r="K89" s="437"/>
      <c r="L89" s="512" t="s">
        <v>112</v>
      </c>
      <c r="M89" s="520"/>
      <c r="N89" s="160">
        <f>N87*(1-'SAR and RAR'!$AD$16)+N88*'SAR and RAR'!$AD$16</f>
        <v>164.92001218456508</v>
      </c>
      <c r="O89" s="160">
        <f>O87*(1-'SAR and RAR'!$AD$16)+O88*'SAR and RAR'!$AD$16</f>
        <v>182.59442996322548</v>
      </c>
      <c r="P89" s="160">
        <f>P87*(1-'SAR and RAR'!$AD$16)+P88*'SAR and RAR'!$AD$16</f>
        <v>179.71465259406355</v>
      </c>
      <c r="Q89" s="160">
        <f>Q87*(1-'SAR and RAR'!$AD$16)+Q88*'SAR and RAR'!$AD$16</f>
        <v>185.78842173108353</v>
      </c>
      <c r="R89" s="66">
        <f t="shared" si="22"/>
        <v>0.12653655108371087</v>
      </c>
      <c r="S89" s="66">
        <f t="shared" si="22"/>
        <v>1.7492273825117977E-2</v>
      </c>
      <c r="T89" s="67">
        <f t="shared" si="22"/>
        <v>3.3796738603942833E-2</v>
      </c>
    </row>
    <row r="90" spans="2:20">
      <c r="D90" s="445"/>
      <c r="E90" s="445"/>
      <c r="F90" s="445"/>
      <c r="G90" s="445"/>
      <c r="N90" s="445"/>
      <c r="O90" s="445"/>
      <c r="P90" s="445"/>
      <c r="Q90" s="445"/>
    </row>
    <row r="91" spans="2:20" ht="15" thickBot="1"/>
    <row r="92" spans="2:20">
      <c r="B92" s="467" t="s">
        <v>406</v>
      </c>
      <c r="C92" s="468"/>
      <c r="D92" s="468"/>
      <c r="E92" s="468"/>
      <c r="F92" s="468"/>
      <c r="G92" s="468"/>
      <c r="H92" s="468"/>
      <c r="I92" s="468"/>
      <c r="J92" s="469"/>
    </row>
    <row r="93" spans="2:20" ht="29">
      <c r="B93" s="61"/>
      <c r="C93" s="234"/>
      <c r="D93" s="51" t="str">
        <f>D86</f>
        <v>10/1/2025</v>
      </c>
      <c r="E93" s="177" t="str">
        <f>E86</f>
        <v>1/1/26</v>
      </c>
      <c r="F93" s="52" t="str">
        <f>$D$2&amp;" Authorized"</f>
        <v>2030 Authorized</v>
      </c>
      <c r="G93" s="593" t="str">
        <f>$D$2&amp;" w/Pending"</f>
        <v>2030 w/Pending</v>
      </c>
      <c r="H93" s="52" t="str">
        <f>$H$31</f>
        <v>% Change over 10/1/2025</v>
      </c>
      <c r="I93" s="52" t="str">
        <f>$I$31</f>
        <v>% Change over 1/1/26</v>
      </c>
      <c r="J93" s="53" t="s">
        <v>144</v>
      </c>
    </row>
    <row r="94" spans="2:20">
      <c r="B94" s="370"/>
      <c r="C94" s="39" t="s">
        <v>395</v>
      </c>
      <c r="D94" s="158">
        <f>((D100*5)+(D106*7))/12</f>
        <v>376.54877376990413</v>
      </c>
      <c r="E94" s="158">
        <f>((E100*5)+(E106*7))/12</f>
        <v>393.3743120234779</v>
      </c>
      <c r="F94" s="158">
        <f>((F100*5)+(F106*7))/12</f>
        <v>387.53956748008409</v>
      </c>
      <c r="G94" s="598">
        <f>((G100*5)+(G106*7))/12</f>
        <v>401.64239704021747</v>
      </c>
      <c r="H94" s="64">
        <f t="shared" ref="H94:J96" si="23">$G94/D94-1</f>
        <v>6.6641096767047658E-2</v>
      </c>
      <c r="I94" s="64">
        <f t="shared" si="23"/>
        <v>2.1018365368621561E-2</v>
      </c>
      <c r="J94" s="65">
        <f t="shared" si="23"/>
        <v>3.6390683025825821E-2</v>
      </c>
      <c r="K94" s="437"/>
    </row>
    <row r="95" spans="2:20">
      <c r="B95" s="252"/>
      <c r="C95" s="39" t="s">
        <v>396</v>
      </c>
      <c r="D95" s="158">
        <f t="shared" ref="D95:G96" si="24">((D101*5)+(D107*7))/12</f>
        <v>415.27807488155094</v>
      </c>
      <c r="E95" s="158">
        <f t="shared" si="24"/>
        <v>433.75557923707146</v>
      </c>
      <c r="F95" s="158">
        <f t="shared" si="24"/>
        <v>427.40879429988854</v>
      </c>
      <c r="G95" s="598">
        <f>((G101*5)+(G107*7))/12</f>
        <v>442.74924760649566</v>
      </c>
      <c r="H95" s="63">
        <f t="shared" si="23"/>
        <v>6.615127160946388E-2</v>
      </c>
      <c r="I95" s="63">
        <f t="shared" si="23"/>
        <v>2.0734415417187346E-2</v>
      </c>
      <c r="J95" s="65">
        <f t="shared" si="23"/>
        <v>3.5891758689091446E-2</v>
      </c>
      <c r="K95" s="437"/>
    </row>
    <row r="96" spans="2:20" ht="15" thickBot="1">
      <c r="B96" s="371"/>
      <c r="C96" s="321" t="s">
        <v>397</v>
      </c>
      <c r="D96" s="160">
        <f>((D102*5)+(D108*7))/12</f>
        <v>1057.5316299670128</v>
      </c>
      <c r="E96" s="160">
        <f t="shared" si="24"/>
        <v>1106.9056125301365</v>
      </c>
      <c r="F96" s="160">
        <f t="shared" si="24"/>
        <v>1090.2744016337795</v>
      </c>
      <c r="G96" s="597">
        <f t="shared" si="24"/>
        <v>1130.4727566612526</v>
      </c>
      <c r="H96" s="66">
        <f t="shared" si="23"/>
        <v>6.8972997712148709E-2</v>
      </c>
      <c r="I96" s="66">
        <f t="shared" si="23"/>
        <v>2.1291015118485968E-2</v>
      </c>
      <c r="J96" s="67">
        <f t="shared" si="23"/>
        <v>3.6869942986128779E-2</v>
      </c>
      <c r="K96" s="437"/>
    </row>
    <row r="97" spans="2:11" ht="15" thickBot="1">
      <c r="K97" s="437"/>
    </row>
    <row r="98" spans="2:11">
      <c r="B98" s="467" t="s">
        <v>407</v>
      </c>
      <c r="C98" s="468"/>
      <c r="D98" s="468"/>
      <c r="E98" s="468"/>
      <c r="F98" s="468"/>
      <c r="G98" s="468"/>
      <c r="H98" s="468"/>
      <c r="I98" s="468"/>
      <c r="J98" s="469"/>
      <c r="K98" s="437"/>
    </row>
    <row r="99" spans="2:11" ht="29">
      <c r="B99" s="61"/>
      <c r="C99" s="234"/>
      <c r="D99" s="51" t="str">
        <f>D93</f>
        <v>10/1/2025</v>
      </c>
      <c r="E99" s="177" t="str">
        <f>E93</f>
        <v>1/1/26</v>
      </c>
      <c r="F99" s="52" t="str">
        <f>$D$2&amp;" Authorized"</f>
        <v>2030 Authorized</v>
      </c>
      <c r="G99" s="52" t="str">
        <f>$D$2&amp;" w/Pending"</f>
        <v>2030 w/Pending</v>
      </c>
      <c r="H99" s="52" t="str">
        <f>$H$31</f>
        <v>% Change over 10/1/2025</v>
      </c>
      <c r="I99" s="52" t="str">
        <f>$I$31</f>
        <v>% Change over 1/1/26</v>
      </c>
      <c r="J99" s="53" t="s">
        <v>144</v>
      </c>
      <c r="K99" s="437"/>
    </row>
    <row r="100" spans="2:11">
      <c r="B100" s="370"/>
      <c r="C100" s="39" t="s">
        <v>395</v>
      </c>
      <c r="D100" s="158">
        <f>'Bill Impact (TOU-A)'!C$36</f>
        <v>431.77896066155455</v>
      </c>
      <c r="E100" s="158">
        <f>'Bill Impact (TOU-A)'!E$36</f>
        <v>455.79710331249396</v>
      </c>
      <c r="F100" s="158">
        <f>'Bill Impact (TOU-A)'!G$36</f>
        <v>449.00674655548465</v>
      </c>
      <c r="G100" s="158">
        <f>'Bill Impact (TOU-A)'!I$36</f>
        <v>465.41933210818507</v>
      </c>
      <c r="H100" s="64">
        <f t="shared" ref="H100:J102" si="25">$G100/D100-1</f>
        <v>7.7911094591288199E-2</v>
      </c>
      <c r="I100" s="64">
        <f t="shared" si="25"/>
        <v>2.1110772152262092E-2</v>
      </c>
      <c r="J100" s="65">
        <f t="shared" si="25"/>
        <v>3.6553093419215088E-2</v>
      </c>
      <c r="K100" s="437"/>
    </row>
    <row r="101" spans="2:11">
      <c r="B101" s="252"/>
      <c r="C101" s="39" t="s">
        <v>396</v>
      </c>
      <c r="D101" s="158">
        <f>'Bill Impact (TOU-A)'!C$37</f>
        <v>505.16944969056567</v>
      </c>
      <c r="E101" s="158">
        <f>'Bill Impact (TOU-A)'!E$37</f>
        <v>532.98594854088014</v>
      </c>
      <c r="F101" s="158">
        <f>'Bill Impact (TOU-A)'!G$37</f>
        <v>525.12100521518778</v>
      </c>
      <c r="G101" s="158">
        <f>'Bill Impact (TOU-A)'!I$37</f>
        <v>544.13091291507703</v>
      </c>
      <c r="H101" s="63">
        <f t="shared" si="25"/>
        <v>7.7125533320308026E-2</v>
      </c>
      <c r="I101" s="63">
        <f t="shared" si="25"/>
        <v>2.0910428135502812E-2</v>
      </c>
      <c r="J101" s="65">
        <f t="shared" si="25"/>
        <v>3.6201004170646867E-2</v>
      </c>
      <c r="K101" s="437"/>
    </row>
    <row r="102" spans="2:11" ht="15" thickBot="1">
      <c r="B102" s="371"/>
      <c r="C102" s="321" t="s">
        <v>397</v>
      </c>
      <c r="D102" s="160">
        <f>'Bill Impact (TOU-A)'!C$38</f>
        <v>1312.8932294868373</v>
      </c>
      <c r="E102" s="160">
        <f>'Bill Impact (TOU-A)'!E$38</f>
        <v>1387.5924732521576</v>
      </c>
      <c r="F102" s="160">
        <f>'Bill Impact (TOU-A)'!G$38</f>
        <v>1366.667359482389</v>
      </c>
      <c r="G102" s="160">
        <f>'Bill Impact (TOU-A)'!I$38</f>
        <v>1417.2442632057182</v>
      </c>
      <c r="H102" s="66">
        <f t="shared" si="25"/>
        <v>7.9481736500132572E-2</v>
      </c>
      <c r="I102" s="66">
        <f t="shared" si="25"/>
        <v>2.1369235222258309E-2</v>
      </c>
      <c r="J102" s="67">
        <f t="shared" si="25"/>
        <v>3.7007471768759181E-2</v>
      </c>
      <c r="K102" s="437"/>
    </row>
    <row r="103" spans="2:11" ht="15" thickBot="1">
      <c r="C103" s="372"/>
      <c r="D103" s="373"/>
      <c r="E103" s="373"/>
      <c r="F103" s="373"/>
      <c r="G103" s="373"/>
      <c r="K103" s="437"/>
    </row>
    <row r="104" spans="2:11">
      <c r="B104" s="467" t="s">
        <v>408</v>
      </c>
      <c r="C104" s="468"/>
      <c r="D104" s="468"/>
      <c r="E104" s="468"/>
      <c r="F104" s="468"/>
      <c r="G104" s="468"/>
      <c r="H104" s="468"/>
      <c r="I104" s="468"/>
      <c r="J104" s="469"/>
      <c r="K104" s="437"/>
    </row>
    <row r="105" spans="2:11" ht="29">
      <c r="B105" s="61"/>
      <c r="C105" s="234"/>
      <c r="D105" s="51" t="str">
        <f>D99</f>
        <v>10/1/2025</v>
      </c>
      <c r="E105" s="177" t="str">
        <f>E99</f>
        <v>1/1/26</v>
      </c>
      <c r="F105" s="52" t="str">
        <f>$D$2&amp;" Authorized"</f>
        <v>2030 Authorized</v>
      </c>
      <c r="G105" s="52" t="str">
        <f>$D$2&amp;" w/Pending"</f>
        <v>2030 w/Pending</v>
      </c>
      <c r="H105" s="52" t="str">
        <f>$H$31</f>
        <v>% Change over 10/1/2025</v>
      </c>
      <c r="I105" s="52" t="str">
        <f>$I$31</f>
        <v>% Change over 1/1/26</v>
      </c>
      <c r="J105" s="53" t="s">
        <v>144</v>
      </c>
      <c r="K105" s="437"/>
    </row>
    <row r="106" spans="2:11">
      <c r="B106" s="370"/>
      <c r="C106" s="39" t="s">
        <v>395</v>
      </c>
      <c r="D106" s="158">
        <f>'Bill Impact (TOU-A)'!D$36</f>
        <v>337.09864027586815</v>
      </c>
      <c r="E106" s="158">
        <f>'Bill Impact (TOU-A)'!F$36</f>
        <v>348.78660395989493</v>
      </c>
      <c r="F106" s="158">
        <f>'Bill Impact (TOU-A)'!H$36</f>
        <v>343.63443956908367</v>
      </c>
      <c r="G106" s="158">
        <f>'Bill Impact (TOU-A)'!J$36</f>
        <v>356.08744342024067</v>
      </c>
      <c r="H106" s="64">
        <f t="shared" ref="H106:J108" si="26">$G106/D106-1</f>
        <v>5.6330108981848204E-2</v>
      </c>
      <c r="I106" s="64">
        <f t="shared" si="26"/>
        <v>2.0932109712519908E-2</v>
      </c>
      <c r="J106" s="65">
        <f t="shared" si="26"/>
        <v>3.6239103003683271E-2</v>
      </c>
      <c r="K106" s="437"/>
    </row>
    <row r="107" spans="2:11">
      <c r="B107" s="252"/>
      <c r="C107" s="39" t="s">
        <v>396</v>
      </c>
      <c r="D107" s="158">
        <f>'Bill Impact (TOU-A)'!D$37</f>
        <v>351.06995001796889</v>
      </c>
      <c r="E107" s="158">
        <f>'Bill Impact (TOU-A)'!F$37</f>
        <v>362.8767440200653</v>
      </c>
      <c r="F107" s="158">
        <f>'Bill Impact (TOU-A)'!H$37</f>
        <v>357.61435793181766</v>
      </c>
      <c r="G107" s="158">
        <f>'Bill Impact (TOU-A)'!J$37</f>
        <v>370.3337723860804</v>
      </c>
      <c r="H107" s="63">
        <f t="shared" si="26"/>
        <v>5.4871749539160186E-2</v>
      </c>
      <c r="I107" s="63">
        <f t="shared" si="26"/>
        <v>2.0549755499357003E-2</v>
      </c>
      <c r="J107" s="65">
        <f t="shared" si="26"/>
        <v>3.5567404306199091E-2</v>
      </c>
      <c r="K107" s="437"/>
    </row>
    <row r="108" spans="2:11" ht="15" thickBot="1">
      <c r="B108" s="371"/>
      <c r="C108" s="321" t="s">
        <v>397</v>
      </c>
      <c r="D108" s="160">
        <f>'Bill Impact (TOU-A)'!D$38</f>
        <v>875.13048745285244</v>
      </c>
      <c r="E108" s="160">
        <f>'Bill Impact (TOU-A)'!F$38</f>
        <v>906.41499772869258</v>
      </c>
      <c r="F108" s="160">
        <f>'Bill Impact (TOU-A)'!H$38</f>
        <v>892.85086031334401</v>
      </c>
      <c r="G108" s="160">
        <f>'Bill Impact (TOU-A)'!J$38</f>
        <v>925.63596627234847</v>
      </c>
      <c r="H108" s="66">
        <f t="shared" si="26"/>
        <v>5.7711940726115962E-2</v>
      </c>
      <c r="I108" s="66">
        <f t="shared" si="26"/>
        <v>2.1205483792545499E-2</v>
      </c>
      <c r="J108" s="67">
        <f t="shared" si="26"/>
        <v>3.6719577049518115E-2</v>
      </c>
      <c r="K108" s="437"/>
    </row>
  </sheetData>
  <mergeCells count="67">
    <mergeCell ref="B77:C77"/>
    <mergeCell ref="L75:M75"/>
    <mergeCell ref="L64:M64"/>
    <mergeCell ref="L65:M65"/>
    <mergeCell ref="L67:T67"/>
    <mergeCell ref="L69:M69"/>
    <mergeCell ref="L73:T73"/>
    <mergeCell ref="L89:M89"/>
    <mergeCell ref="L77:M77"/>
    <mergeCell ref="L79:T79"/>
    <mergeCell ref="L81:M81"/>
    <mergeCell ref="L83:M83"/>
    <mergeCell ref="L85:T85"/>
    <mergeCell ref="L87:M87"/>
    <mergeCell ref="L57:M57"/>
    <mergeCell ref="L63:M63"/>
    <mergeCell ref="B71:C71"/>
    <mergeCell ref="L70:M70"/>
    <mergeCell ref="L71:M71"/>
    <mergeCell ref="B57:C57"/>
    <mergeCell ref="B58:C58"/>
    <mergeCell ref="B59:C59"/>
    <mergeCell ref="B69:C69"/>
    <mergeCell ref="B70:C70"/>
    <mergeCell ref="B63:C63"/>
    <mergeCell ref="B64:C64"/>
    <mergeCell ref="B65:C65"/>
    <mergeCell ref="B81:C81"/>
    <mergeCell ref="B83:C83"/>
    <mergeCell ref="L41:M41"/>
    <mergeCell ref="L43:T43"/>
    <mergeCell ref="L58:M58"/>
    <mergeCell ref="L59:M59"/>
    <mergeCell ref="L61:T61"/>
    <mergeCell ref="L45:M45"/>
    <mergeCell ref="L46:M46"/>
    <mergeCell ref="L47:M47"/>
    <mergeCell ref="L49:T49"/>
    <mergeCell ref="L51:M51"/>
    <mergeCell ref="L52:M52"/>
    <mergeCell ref="L53:M53"/>
    <mergeCell ref="B41:C41"/>
    <mergeCell ref="L55:T55"/>
    <mergeCell ref="L37:T37"/>
    <mergeCell ref="L39:M39"/>
    <mergeCell ref="L40:M40"/>
    <mergeCell ref="L30:T30"/>
    <mergeCell ref="B31:C31"/>
    <mergeCell ref="L31:M31"/>
    <mergeCell ref="B32:C32"/>
    <mergeCell ref="L32:M32"/>
    <mergeCell ref="B87:C87"/>
    <mergeCell ref="B89:C89"/>
    <mergeCell ref="B75:C75"/>
    <mergeCell ref="G10:H12"/>
    <mergeCell ref="O5:P5"/>
    <mergeCell ref="M5:N5"/>
    <mergeCell ref="B45:C45"/>
    <mergeCell ref="B53:C53"/>
    <mergeCell ref="B46:C46"/>
    <mergeCell ref="B47:C47"/>
    <mergeCell ref="B51:C51"/>
    <mergeCell ref="B52:C52"/>
    <mergeCell ref="B34:C34"/>
    <mergeCell ref="L34:M34"/>
    <mergeCell ref="B39:C39"/>
    <mergeCell ref="B40:C40"/>
  </mergeCells>
  <phoneticPr fontId="40" type="noConversion"/>
  <dataValidations count="3">
    <dataValidation type="list" allowBlank="1" showInputMessage="1" showErrorMessage="1" sqref="D3" xr:uid="{C4DA6E63-9F04-466D-994F-08C28D8856CC}">
      <formula1>"Coastal - Mild, Mountain - Extreme, Desert - Hot, Inland - Warm, ALL"</formula1>
    </dataValidation>
    <dataValidation type="list" allowBlank="1" showInputMessage="1" showErrorMessage="1" sqref="D2" xr:uid="{E7B56FAD-CE5E-4838-9DB3-63A485983CEC}">
      <formula1>"2026, 2027, 2028, 2029, 2030"</formula1>
    </dataValidation>
    <dataValidation type="list" allowBlank="1" showInputMessage="1" showErrorMessage="1" sqref="I8" xr:uid="{A5F6ABD7-4D20-4C5E-A3ED-3EF8E893445B}">
      <formula1>"Y,N"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F1FEC-0591-4595-9489-C0DB61E71E9E}">
  <sheetPr codeName="Sheet6">
    <tabColor rgb="FFFFC000"/>
  </sheetPr>
  <dimension ref="A1:AN60"/>
  <sheetViews>
    <sheetView showGridLines="0" zoomScale="85" zoomScaleNormal="85" workbookViewId="0"/>
  </sheetViews>
  <sheetFormatPr defaultRowHeight="14.5"/>
  <cols>
    <col min="2" max="2" width="4.453125" customWidth="1"/>
    <col min="3" max="3" width="39.7265625" customWidth="1"/>
    <col min="16" max="16" width="18.7265625" customWidth="1"/>
    <col min="17" max="17" width="11.81640625" bestFit="1" customWidth="1"/>
    <col min="18" max="18" width="10.7265625" customWidth="1"/>
    <col min="20" max="21" width="10" bestFit="1" customWidth="1"/>
    <col min="23" max="23" width="11.81640625" style="293" customWidth="1"/>
    <col min="24" max="24" width="11.7265625" style="293" bestFit="1" customWidth="1"/>
    <col min="25" max="25" width="1.453125" style="293" customWidth="1"/>
    <col min="26" max="26" width="12.7265625" bestFit="1" customWidth="1"/>
    <col min="28" max="28" width="1.26953125" customWidth="1"/>
    <col min="29" max="29" width="12.7265625" style="293" bestFit="1" customWidth="1"/>
    <col min="30" max="30" width="9.7265625" style="293" customWidth="1"/>
    <col min="31" max="31" width="1" style="293" customWidth="1"/>
    <col min="34" max="34" width="1.54296875" customWidth="1"/>
    <col min="37" max="37" width="1.453125" customWidth="1"/>
  </cols>
  <sheetData>
    <row r="1" spans="1:18">
      <c r="A1" t="s">
        <v>347</v>
      </c>
      <c r="Q1" s="293"/>
    </row>
    <row r="2" spans="1:18">
      <c r="Q2" s="289" t="s">
        <v>176</v>
      </c>
    </row>
    <row r="3" spans="1:18">
      <c r="Q3" s="289" t="s">
        <v>348</v>
      </c>
    </row>
    <row r="4" spans="1:18">
      <c r="Q4" s="290" t="s">
        <v>359</v>
      </c>
    </row>
    <row r="5" spans="1:18">
      <c r="A5">
        <v>1</v>
      </c>
      <c r="B5" s="291" t="s">
        <v>349</v>
      </c>
      <c r="Q5" s="12">
        <f>'Authorized Rev Req'!$T$173</f>
        <v>4934958.8471066877</v>
      </c>
      <c r="R5" s="12"/>
    </row>
    <row r="6" spans="1:18">
      <c r="B6" s="292" t="s">
        <v>350</v>
      </c>
      <c r="C6" t="s">
        <v>351</v>
      </c>
      <c r="Q6" s="12">
        <f>Q5*0.01</f>
        <v>49349.588471066876</v>
      </c>
      <c r="R6" s="12"/>
    </row>
    <row r="7" spans="1:18">
      <c r="B7" s="292"/>
      <c r="Q7" s="12"/>
    </row>
    <row r="8" spans="1:18">
      <c r="B8" s="421"/>
    </row>
    <row r="9" spans="1:18" ht="16.5">
      <c r="A9">
        <v>2</v>
      </c>
      <c r="B9" s="294" t="s">
        <v>522</v>
      </c>
      <c r="Q9" s="297" t="s">
        <v>337</v>
      </c>
    </row>
    <row r="10" spans="1:18" ht="16.5">
      <c r="B10" s="421" t="s">
        <v>350</v>
      </c>
      <c r="C10" s="417" t="s">
        <v>464</v>
      </c>
      <c r="D10" s="417" t="s">
        <v>525</v>
      </c>
      <c r="E10" s="417"/>
      <c r="F10" s="417"/>
      <c r="G10" s="417"/>
      <c r="H10" s="420"/>
      <c r="I10" s="420"/>
      <c r="J10" s="420"/>
      <c r="K10" s="420"/>
      <c r="L10" s="420"/>
      <c r="M10" s="420"/>
      <c r="N10" s="420"/>
      <c r="O10" s="420"/>
      <c r="P10" s="420"/>
      <c r="Q10" s="13">
        <f>'Incremental Rev Req'!D93</f>
        <v>518939.85707732826</v>
      </c>
      <c r="R10" s="12"/>
    </row>
    <row r="11" spans="1:18">
      <c r="B11" s="421" t="s">
        <v>352</v>
      </c>
      <c r="C11" s="417"/>
      <c r="D11" s="417"/>
      <c r="E11" s="417"/>
      <c r="F11" s="417"/>
      <c r="G11" s="417"/>
      <c r="H11" s="420"/>
      <c r="I11" s="420"/>
      <c r="J11" s="420"/>
      <c r="K11" s="420"/>
      <c r="L11" s="420"/>
      <c r="M11" s="420"/>
      <c r="N11" s="420"/>
      <c r="O11" s="420"/>
      <c r="P11" s="420"/>
      <c r="Q11" s="13"/>
      <c r="R11" s="12"/>
    </row>
    <row r="12" spans="1:18">
      <c r="B12" s="421" t="s">
        <v>353</v>
      </c>
      <c r="C12" s="417"/>
      <c r="D12" s="417"/>
      <c r="Q12" s="13"/>
      <c r="R12" s="12"/>
    </row>
    <row r="13" spans="1:18">
      <c r="B13" s="421" t="s">
        <v>354</v>
      </c>
      <c r="D13" s="417"/>
      <c r="E13" s="417"/>
      <c r="F13" s="417"/>
      <c r="G13" s="417"/>
      <c r="H13" s="420"/>
      <c r="I13" s="420"/>
      <c r="J13" s="420"/>
      <c r="K13" s="420"/>
      <c r="L13" s="420"/>
      <c r="M13" s="420"/>
      <c r="N13" s="420"/>
      <c r="O13" s="420"/>
      <c r="P13" s="420"/>
      <c r="Q13" s="13"/>
      <c r="R13" s="12"/>
    </row>
    <row r="15" spans="1:18">
      <c r="B15" s="421"/>
      <c r="C15" s="213"/>
      <c r="D15" s="417"/>
      <c r="E15" s="417"/>
      <c r="F15" s="417"/>
      <c r="G15" s="417"/>
      <c r="H15" s="420"/>
      <c r="I15" s="420"/>
      <c r="J15" s="420"/>
      <c r="K15" s="420"/>
      <c r="L15" s="420"/>
      <c r="M15" s="420"/>
      <c r="N15" s="420"/>
      <c r="O15" s="420"/>
      <c r="P15" s="420"/>
      <c r="Q15" s="13"/>
      <c r="R15" s="12"/>
    </row>
    <row r="17" spans="1:40">
      <c r="W17" s="601"/>
      <c r="X17" s="601"/>
      <c r="Y17" s="601"/>
      <c r="Z17" s="602"/>
      <c r="AA17" s="602"/>
      <c r="AB17" s="602"/>
      <c r="AC17" s="601"/>
      <c r="AD17" s="601"/>
      <c r="AE17" s="601"/>
      <c r="AF17" s="602"/>
      <c r="AG17" s="602"/>
      <c r="AH17" s="602"/>
      <c r="AI17" s="602"/>
      <c r="AJ17" s="602"/>
      <c r="AK17" s="602"/>
      <c r="AL17" s="602"/>
      <c r="AM17" s="602"/>
      <c r="AN17" s="602"/>
    </row>
    <row r="18" spans="1:40">
      <c r="A18">
        <v>3</v>
      </c>
      <c r="B18" s="535" t="s">
        <v>356</v>
      </c>
      <c r="C18" s="536"/>
      <c r="D18" s="536"/>
      <c r="E18" s="536"/>
      <c r="F18" s="536"/>
      <c r="G18" s="536"/>
      <c r="H18" s="536"/>
      <c r="I18" s="536"/>
      <c r="J18" s="536"/>
      <c r="K18" s="536"/>
      <c r="L18" s="536"/>
      <c r="M18" s="536"/>
      <c r="N18" s="536"/>
      <c r="O18" s="536"/>
      <c r="P18" s="536"/>
      <c r="W18" s="602"/>
      <c r="X18" s="602"/>
      <c r="Y18" s="602"/>
      <c r="Z18" s="603"/>
      <c r="AA18" s="603"/>
      <c r="AB18" s="602"/>
      <c r="AC18" s="601"/>
      <c r="AD18" s="601"/>
      <c r="AE18" s="601"/>
      <c r="AF18" s="602"/>
      <c r="AG18" s="602"/>
      <c r="AH18" s="602"/>
      <c r="AI18" s="602"/>
      <c r="AJ18" s="602"/>
      <c r="AK18" s="602"/>
      <c r="AL18" s="602"/>
      <c r="AM18" s="602"/>
      <c r="AN18" s="602"/>
    </row>
    <row r="19" spans="1:40">
      <c r="B19" s="24" t="s">
        <v>350</v>
      </c>
      <c r="C19" s="24" t="s">
        <v>360</v>
      </c>
      <c r="Q19" s="12">
        <f>'Incremental Rev Req'!$O$121</f>
        <v>4891983.7003834629</v>
      </c>
      <c r="W19" s="604"/>
      <c r="X19" s="605"/>
      <c r="Y19" s="313"/>
      <c r="Z19" s="601"/>
      <c r="AA19" s="601"/>
      <c r="AB19" s="602"/>
      <c r="AC19" s="601"/>
      <c r="AD19" s="601"/>
      <c r="AE19" s="601"/>
      <c r="AF19" s="602"/>
      <c r="AG19" s="602"/>
      <c r="AH19" s="602"/>
      <c r="AI19" s="602"/>
      <c r="AJ19" s="602"/>
      <c r="AK19" s="602"/>
      <c r="AL19" s="602"/>
      <c r="AM19" s="602"/>
      <c r="AN19" s="602"/>
    </row>
    <row r="20" spans="1:40">
      <c r="A20" s="583"/>
      <c r="B20" s="24" t="s">
        <v>352</v>
      </c>
      <c r="C20" s="24" t="s">
        <v>361</v>
      </c>
      <c r="Q20" s="12">
        <f>'Incremental Rev Req'!$P$121</f>
        <v>5202907.7126487223</v>
      </c>
      <c r="W20" s="604"/>
      <c r="X20" s="605"/>
      <c r="Y20" s="313"/>
      <c r="Z20" s="606"/>
      <c r="AA20" s="607"/>
      <c r="AB20" s="602"/>
      <c r="AC20" s="601"/>
      <c r="AD20" s="601"/>
      <c r="AE20" s="601"/>
      <c r="AF20" s="602"/>
      <c r="AG20" s="602"/>
      <c r="AH20" s="602"/>
      <c r="AI20" s="602"/>
      <c r="AJ20" s="602"/>
      <c r="AK20" s="602"/>
      <c r="AL20" s="602"/>
      <c r="AM20" s="602"/>
      <c r="AN20" s="602"/>
    </row>
    <row r="21" spans="1:40">
      <c r="A21" s="583"/>
      <c r="B21" s="24" t="s">
        <v>353</v>
      </c>
      <c r="C21" s="24" t="s">
        <v>410</v>
      </c>
      <c r="Q21" s="12">
        <f>'Incremental Rev Req'!$Q$121</f>
        <v>5006442.7231760724</v>
      </c>
      <c r="W21" s="604"/>
      <c r="X21" s="605"/>
      <c r="Y21" s="313"/>
      <c r="Z21" s="606"/>
      <c r="AA21" s="607"/>
      <c r="AB21" s="602"/>
      <c r="AC21" s="601"/>
      <c r="AD21" s="601"/>
      <c r="AE21" s="601"/>
      <c r="AF21" s="602"/>
      <c r="AG21" s="602"/>
      <c r="AH21" s="602"/>
      <c r="AI21" s="602"/>
      <c r="AJ21" s="602"/>
      <c r="AK21" s="602"/>
      <c r="AL21" s="602"/>
      <c r="AM21" s="602"/>
      <c r="AN21" s="602"/>
    </row>
    <row r="22" spans="1:40">
      <c r="A22" s="583"/>
      <c r="B22" s="24" t="s">
        <v>354</v>
      </c>
      <c r="C22" s="24" t="s">
        <v>449</v>
      </c>
      <c r="Q22" s="12">
        <f>'Incremental Rev Req'!$R$121</f>
        <v>5025718.8397393618</v>
      </c>
      <c r="W22" s="604"/>
      <c r="X22" s="605"/>
      <c r="Y22" s="313"/>
      <c r="Z22" s="606"/>
      <c r="AA22" s="607"/>
      <c r="AB22" s="602"/>
      <c r="AC22" s="601"/>
      <c r="AD22" s="601"/>
      <c r="AE22" s="601"/>
      <c r="AF22" s="602"/>
      <c r="AG22" s="602"/>
      <c r="AH22" s="602"/>
      <c r="AI22" s="602"/>
      <c r="AJ22" s="602"/>
      <c r="AK22" s="602"/>
      <c r="AL22" s="602"/>
      <c r="AM22" s="602"/>
      <c r="AN22" s="602"/>
    </row>
    <row r="23" spans="1:40">
      <c r="A23" s="583"/>
      <c r="B23" s="24" t="s">
        <v>355</v>
      </c>
      <c r="C23" s="24" t="s">
        <v>524</v>
      </c>
      <c r="Q23" s="12">
        <f>'Incremental Rev Req'!$S$121</f>
        <v>4996764.0962988129</v>
      </c>
      <c r="W23" s="604"/>
      <c r="X23" s="605"/>
      <c r="Y23" s="313"/>
      <c r="Z23" s="606"/>
      <c r="AA23" s="607"/>
      <c r="AB23" s="602"/>
      <c r="AC23" s="601"/>
      <c r="AD23" s="601"/>
      <c r="AE23" s="601"/>
      <c r="AF23" s="602"/>
      <c r="AG23" s="602"/>
      <c r="AH23" s="602"/>
      <c r="AI23" s="602"/>
      <c r="AJ23" s="602"/>
      <c r="AK23" s="602"/>
      <c r="AL23" s="602"/>
      <c r="AM23" s="602"/>
      <c r="AN23" s="602"/>
    </row>
    <row r="24" spans="1:40">
      <c r="A24" s="583"/>
      <c r="R24" s="12"/>
      <c r="W24" s="601"/>
      <c r="X24" s="601"/>
      <c r="Y24" s="601"/>
      <c r="Z24" s="602"/>
      <c r="AA24" s="602"/>
      <c r="AB24" s="602"/>
      <c r="AC24" s="601"/>
      <c r="AD24" s="601"/>
      <c r="AE24" s="601"/>
      <c r="AF24" s="602"/>
      <c r="AG24" s="602"/>
      <c r="AH24" s="602"/>
      <c r="AI24" s="602"/>
      <c r="AJ24" s="602"/>
      <c r="AK24" s="602"/>
      <c r="AL24" s="602"/>
      <c r="AM24" s="602"/>
      <c r="AN24" s="602"/>
    </row>
    <row r="25" spans="1:40">
      <c r="A25" s="583">
        <v>4</v>
      </c>
      <c r="B25" s="537" t="s">
        <v>357</v>
      </c>
      <c r="C25" s="537"/>
      <c r="D25" s="537"/>
      <c r="E25" s="537"/>
      <c r="F25" s="537"/>
      <c r="G25" s="537"/>
      <c r="H25" s="537"/>
      <c r="I25" s="537"/>
      <c r="J25" s="537"/>
      <c r="K25" s="537"/>
      <c r="L25" s="536"/>
      <c r="M25" s="536"/>
      <c r="N25" s="536"/>
      <c r="O25" s="536"/>
      <c r="R25" s="295" t="s">
        <v>358</v>
      </c>
      <c r="W25" s="601"/>
      <c r="X25" s="601"/>
      <c r="Y25" s="602"/>
      <c r="Z25" s="603"/>
      <c r="AA25" s="603"/>
      <c r="AB25" s="602"/>
      <c r="AC25" s="601"/>
      <c r="AD25" s="601"/>
      <c r="AE25" s="601"/>
      <c r="AF25" s="602"/>
      <c r="AG25" s="602"/>
      <c r="AH25" s="602"/>
      <c r="AI25" s="602"/>
      <c r="AJ25" s="602"/>
      <c r="AK25" s="602"/>
      <c r="AL25" s="602"/>
      <c r="AM25" s="602"/>
      <c r="AN25" s="602"/>
    </row>
    <row r="26" spans="1:40">
      <c r="A26" s="583"/>
      <c r="B26" s="24" t="s">
        <v>350</v>
      </c>
      <c r="C26" s="24" t="s">
        <v>360</v>
      </c>
      <c r="Q26" s="457"/>
      <c r="R26" s="383">
        <v>43.050759337749653</v>
      </c>
      <c r="W26" s="608"/>
      <c r="X26" s="609"/>
      <c r="Y26" s="610"/>
      <c r="Z26" s="601"/>
      <c r="AA26" s="601"/>
      <c r="AB26" s="602"/>
      <c r="AC26" s="601"/>
      <c r="AD26" s="601"/>
      <c r="AE26" s="601"/>
      <c r="AF26" s="602"/>
      <c r="AG26" s="602"/>
      <c r="AH26" s="602"/>
      <c r="AI26" s="602"/>
      <c r="AJ26" s="602"/>
      <c r="AK26" s="602"/>
      <c r="AL26" s="602"/>
      <c r="AM26" s="602"/>
      <c r="AN26" s="602"/>
    </row>
    <row r="27" spans="1:40">
      <c r="A27" s="583"/>
      <c r="B27" s="24" t="s">
        <v>352</v>
      </c>
      <c r="C27" s="24" t="s">
        <v>361</v>
      </c>
      <c r="Q27" s="317"/>
      <c r="R27" s="383">
        <v>45.60777994351875</v>
      </c>
      <c r="W27" s="608"/>
      <c r="X27" s="609"/>
      <c r="Y27" s="610"/>
      <c r="Z27" s="611"/>
      <c r="AA27" s="607"/>
      <c r="AB27" s="602"/>
      <c r="AC27" s="601"/>
      <c r="AD27" s="601"/>
      <c r="AE27" s="601"/>
      <c r="AF27" s="602"/>
      <c r="AG27" s="602"/>
      <c r="AH27" s="602"/>
      <c r="AI27" s="602"/>
      <c r="AJ27" s="602"/>
      <c r="AK27" s="602"/>
      <c r="AL27" s="602"/>
      <c r="AM27" s="602"/>
      <c r="AN27" s="602"/>
    </row>
    <row r="28" spans="1:40">
      <c r="A28" s="583"/>
      <c r="B28" s="24" t="s">
        <v>353</v>
      </c>
      <c r="C28" s="24" t="s">
        <v>410</v>
      </c>
      <c r="R28" s="383">
        <v>44.187789261451243</v>
      </c>
      <c r="W28" s="608"/>
      <c r="X28" s="609"/>
      <c r="Y28" s="610"/>
      <c r="Z28" s="611"/>
      <c r="AA28" s="607"/>
      <c r="AB28" s="602"/>
      <c r="AC28" s="601"/>
      <c r="AD28" s="601"/>
      <c r="AE28" s="601"/>
      <c r="AF28" s="602"/>
      <c r="AG28" s="602"/>
      <c r="AH28" s="602"/>
      <c r="AI28" s="602"/>
      <c r="AJ28" s="602"/>
      <c r="AK28" s="602"/>
      <c r="AL28" s="602"/>
      <c r="AM28" s="602"/>
      <c r="AN28" s="602"/>
    </row>
    <row r="29" spans="1:40">
      <c r="A29" s="583"/>
      <c r="B29" s="24" t="s">
        <v>354</v>
      </c>
      <c r="C29" s="24" t="s">
        <v>449</v>
      </c>
      <c r="R29" s="383">
        <v>44.317414097808438</v>
      </c>
      <c r="W29" s="608"/>
      <c r="X29" s="609"/>
      <c r="Y29" s="610"/>
      <c r="Z29" s="611"/>
      <c r="AA29" s="607"/>
      <c r="AB29" s="602"/>
      <c r="AC29" s="601"/>
      <c r="AD29" s="601"/>
      <c r="AE29" s="601"/>
      <c r="AF29" s="602"/>
      <c r="AG29" s="602"/>
      <c r="AH29" s="602"/>
      <c r="AI29" s="602"/>
      <c r="AJ29" s="602"/>
      <c r="AK29" s="602"/>
      <c r="AL29" s="602"/>
      <c r="AM29" s="602"/>
      <c r="AN29" s="602"/>
    </row>
    <row r="30" spans="1:40">
      <c r="A30" s="583"/>
      <c r="B30" s="24" t="s">
        <v>355</v>
      </c>
      <c r="C30" s="24" t="s">
        <v>524</v>
      </c>
      <c r="R30" s="383">
        <v>44.083403218696787</v>
      </c>
      <c r="W30" s="604"/>
      <c r="X30" s="605"/>
      <c r="Y30" s="610"/>
      <c r="Z30" s="611"/>
      <c r="AA30" s="607"/>
      <c r="AB30" s="602"/>
      <c r="AC30" s="601"/>
      <c r="AD30" s="601"/>
      <c r="AE30" s="601"/>
      <c r="AF30" s="602"/>
      <c r="AG30" s="602"/>
      <c r="AH30" s="602"/>
      <c r="AI30" s="602"/>
      <c r="AJ30" s="602"/>
      <c r="AK30" s="602"/>
      <c r="AL30" s="602"/>
      <c r="AM30" s="602"/>
      <c r="AN30" s="602"/>
    </row>
    <row r="31" spans="1:40">
      <c r="A31" s="583"/>
      <c r="W31" s="601"/>
      <c r="X31" s="601"/>
      <c r="Y31" s="601"/>
      <c r="Z31" s="602"/>
      <c r="AA31" s="602"/>
      <c r="AB31" s="602"/>
      <c r="AC31" s="601"/>
      <c r="AD31" s="601"/>
      <c r="AE31" s="601"/>
      <c r="AF31" s="602"/>
      <c r="AG31" s="602"/>
      <c r="AH31" s="602"/>
      <c r="AI31" s="602"/>
      <c r="AJ31" s="602"/>
      <c r="AK31" s="602"/>
      <c r="AL31" s="602"/>
      <c r="AM31" s="602"/>
      <c r="AN31" s="602"/>
    </row>
    <row r="32" spans="1:40">
      <c r="A32" s="583">
        <v>5</v>
      </c>
      <c r="B32" s="46" t="s">
        <v>364</v>
      </c>
      <c r="S32" s="295" t="s">
        <v>149</v>
      </c>
      <c r="T32" s="295" t="s">
        <v>150</v>
      </c>
      <c r="W32" s="612"/>
      <c r="X32" s="612"/>
      <c r="Y32" s="613"/>
      <c r="Z32" s="603"/>
      <c r="AA32" s="603"/>
      <c r="AB32" s="613"/>
      <c r="AC32" s="612"/>
      <c r="AD32" s="612"/>
      <c r="AE32" s="613"/>
      <c r="AF32" s="603"/>
      <c r="AG32" s="603"/>
      <c r="AH32" s="602"/>
      <c r="AI32" s="602"/>
      <c r="AJ32" s="602"/>
      <c r="AK32" s="602"/>
      <c r="AL32" s="602"/>
      <c r="AM32" s="602"/>
      <c r="AN32" s="602"/>
    </row>
    <row r="33" spans="1:40">
      <c r="A33" s="583"/>
      <c r="B33" s="24" t="s">
        <v>350</v>
      </c>
      <c r="C33" s="24" t="s">
        <v>360</v>
      </c>
      <c r="Q33" s="458"/>
      <c r="R33" s="458"/>
      <c r="S33" s="400">
        <v>188.64753826630113</v>
      </c>
      <c r="T33" s="400">
        <v>106.55252219794663</v>
      </c>
      <c r="W33" s="614"/>
      <c r="X33" s="609"/>
      <c r="Y33" s="615"/>
      <c r="Z33" s="601"/>
      <c r="AA33" s="601"/>
      <c r="AB33" s="313"/>
      <c r="AC33" s="614"/>
      <c r="AD33" s="616"/>
      <c r="AE33" s="615"/>
      <c r="AF33" s="601"/>
      <c r="AG33" s="601"/>
      <c r="AH33" s="602"/>
      <c r="AI33" s="602"/>
      <c r="AJ33" s="602"/>
      <c r="AK33" s="602"/>
      <c r="AL33" s="602"/>
      <c r="AM33" s="602"/>
      <c r="AN33" s="602"/>
    </row>
    <row r="34" spans="1:40">
      <c r="A34" s="583"/>
      <c r="B34" s="24" t="s">
        <v>352</v>
      </c>
      <c r="C34" s="24" t="s">
        <v>361</v>
      </c>
      <c r="Q34" s="316"/>
      <c r="R34" s="316"/>
      <c r="S34" s="400">
        <v>198.33692783997085</v>
      </c>
      <c r="T34" s="400">
        <v>112.6390304426717</v>
      </c>
      <c r="W34" s="614"/>
      <c r="X34" s="609"/>
      <c r="Y34" s="615"/>
      <c r="Z34" s="617"/>
      <c r="AA34" s="607"/>
      <c r="AB34" s="313"/>
      <c r="AC34" s="614"/>
      <c r="AD34" s="616"/>
      <c r="AE34" s="615"/>
      <c r="AF34" s="617"/>
      <c r="AG34" s="607"/>
      <c r="AH34" s="602"/>
      <c r="AI34" s="602"/>
      <c r="AJ34" s="602"/>
      <c r="AK34" s="602"/>
      <c r="AL34" s="602"/>
      <c r="AM34" s="602"/>
      <c r="AN34" s="602"/>
    </row>
    <row r="35" spans="1:40">
      <c r="A35" s="583"/>
      <c r="B35" s="24" t="s">
        <v>353</v>
      </c>
      <c r="C35" s="24" t="s">
        <v>410</v>
      </c>
      <c r="S35" s="400">
        <v>192.95611750215403</v>
      </c>
      <c r="T35" s="400">
        <v>109.25900879781791</v>
      </c>
      <c r="W35" s="614"/>
      <c r="X35" s="609"/>
      <c r="Y35" s="615"/>
      <c r="Z35" s="617"/>
      <c r="AA35" s="607"/>
      <c r="AB35" s="313"/>
      <c r="AC35" s="614"/>
      <c r="AD35" s="616"/>
      <c r="AE35" s="615"/>
      <c r="AF35" s="617"/>
      <c r="AG35" s="607"/>
      <c r="AH35" s="602"/>
      <c r="AI35" s="602"/>
      <c r="AJ35" s="602"/>
      <c r="AK35" s="602"/>
      <c r="AL35" s="602"/>
      <c r="AM35" s="602"/>
      <c r="AN35" s="602"/>
    </row>
    <row r="36" spans="1:40">
      <c r="A36" s="583"/>
      <c r="B36" s="24" t="s">
        <v>354</v>
      </c>
      <c r="C36" s="24" t="s">
        <v>449</v>
      </c>
      <c r="Q36" s="315"/>
      <c r="R36" s="315"/>
      <c r="S36" s="400">
        <v>193.44730851369854</v>
      </c>
      <c r="T36" s="400">
        <v>109.56755642290516</v>
      </c>
      <c r="W36" s="614"/>
      <c r="X36" s="609"/>
      <c r="Y36" s="615"/>
      <c r="Z36" s="617"/>
      <c r="AA36" s="607"/>
      <c r="AB36" s="313"/>
      <c r="AC36" s="614"/>
      <c r="AD36" s="616"/>
      <c r="AE36" s="615"/>
      <c r="AF36" s="617"/>
      <c r="AG36" s="607"/>
      <c r="AH36" s="602"/>
      <c r="AI36" s="602"/>
      <c r="AJ36" s="602"/>
      <c r="AK36" s="602"/>
      <c r="AL36" s="602"/>
      <c r="AM36" s="602"/>
      <c r="AN36" s="602"/>
    </row>
    <row r="37" spans="1:40">
      <c r="A37" s="583"/>
      <c r="B37" s="24" t="s">
        <v>355</v>
      </c>
      <c r="C37" s="24" t="s">
        <v>524</v>
      </c>
      <c r="Q37" s="315"/>
      <c r="R37" s="315"/>
      <c r="S37" s="400">
        <v>192.56056455587756</v>
      </c>
      <c r="T37" s="400">
        <v>109.01053738995138</v>
      </c>
      <c r="W37" s="604"/>
      <c r="X37" s="605"/>
      <c r="Y37" s="615"/>
      <c r="Z37" s="617"/>
      <c r="AA37" s="607"/>
      <c r="AB37" s="313"/>
      <c r="AC37" s="604"/>
      <c r="AD37" s="605"/>
      <c r="AE37" s="615"/>
      <c r="AF37" s="617"/>
      <c r="AG37" s="607"/>
      <c r="AH37" s="602"/>
      <c r="AI37" s="601"/>
      <c r="AJ37" s="602"/>
      <c r="AK37" s="602"/>
      <c r="AL37" s="602"/>
      <c r="AM37" s="602"/>
      <c r="AN37" s="602"/>
    </row>
    <row r="38" spans="1:40">
      <c r="A38" s="583"/>
      <c r="B38" s="296"/>
      <c r="W38" s="601"/>
      <c r="X38" s="601"/>
      <c r="Y38" s="601"/>
      <c r="Z38" s="602"/>
      <c r="AA38" s="602"/>
      <c r="AB38" s="602"/>
      <c r="AC38" s="601"/>
      <c r="AD38" s="601"/>
      <c r="AE38" s="601"/>
      <c r="AF38" s="602"/>
      <c r="AG38" s="602"/>
      <c r="AH38" s="602"/>
      <c r="AI38" s="602"/>
      <c r="AJ38" s="602"/>
      <c r="AK38" s="602"/>
      <c r="AL38" s="602"/>
      <c r="AM38" s="602"/>
      <c r="AN38" s="602"/>
    </row>
    <row r="39" spans="1:40">
      <c r="A39" s="583">
        <v>6</v>
      </c>
      <c r="B39" t="s">
        <v>423</v>
      </c>
      <c r="R39" s="295" t="s">
        <v>358</v>
      </c>
      <c r="W39" s="601"/>
      <c r="X39" s="601"/>
      <c r="Y39" s="602"/>
      <c r="Z39" s="603"/>
      <c r="AA39" s="603"/>
      <c r="AB39" s="602"/>
      <c r="AC39" s="601"/>
      <c r="AD39" s="601"/>
      <c r="AE39" s="601"/>
      <c r="AF39" s="602"/>
      <c r="AG39" s="602"/>
      <c r="AH39" s="602"/>
      <c r="AI39" s="602"/>
      <c r="AJ39" s="602"/>
      <c r="AK39" s="602"/>
      <c r="AL39" s="602"/>
      <c r="AM39" s="602"/>
      <c r="AN39" s="602"/>
    </row>
    <row r="40" spans="1:40">
      <c r="A40" s="583"/>
      <c r="B40" s="24" t="s">
        <v>350</v>
      </c>
      <c r="C40" s="24" t="s">
        <v>360</v>
      </c>
      <c r="Q40" s="457"/>
      <c r="R40" s="383">
        <v>39.252925501383622</v>
      </c>
      <c r="W40" s="618"/>
      <c r="X40" s="609"/>
      <c r="Y40" s="610"/>
      <c r="Z40" s="601"/>
      <c r="AA40" s="601"/>
      <c r="AB40" s="602"/>
      <c r="AC40" s="601"/>
      <c r="AD40" s="601"/>
      <c r="AE40" s="601"/>
      <c r="AF40" s="602"/>
      <c r="AG40" s="602"/>
      <c r="AH40" s="602"/>
      <c r="AI40" s="602"/>
      <c r="AJ40" s="602"/>
      <c r="AK40" s="602"/>
      <c r="AL40" s="602"/>
      <c r="AM40" s="602"/>
      <c r="AN40" s="602"/>
    </row>
    <row r="41" spans="1:40">
      <c r="A41" s="583"/>
      <c r="B41" s="24" t="s">
        <v>352</v>
      </c>
      <c r="C41" s="24" t="s">
        <v>361</v>
      </c>
      <c r="Q41" s="317"/>
      <c r="R41" s="383">
        <v>41.473662403455847</v>
      </c>
      <c r="W41" s="618"/>
      <c r="X41" s="609"/>
      <c r="Y41" s="610"/>
      <c r="Z41" s="619"/>
      <c r="AA41" s="607"/>
      <c r="AB41" s="602"/>
      <c r="AC41" s="601"/>
      <c r="AD41" s="601"/>
      <c r="AE41" s="601"/>
      <c r="AF41" s="602"/>
      <c r="AG41" s="602"/>
      <c r="AH41" s="602"/>
      <c r="AI41" s="602"/>
      <c r="AJ41" s="602"/>
      <c r="AK41" s="602"/>
      <c r="AL41" s="602"/>
      <c r="AM41" s="602"/>
      <c r="AN41" s="602"/>
    </row>
    <row r="42" spans="1:40">
      <c r="A42" s="583"/>
      <c r="B42" s="24" t="s">
        <v>353</v>
      </c>
      <c r="C42" s="24" t="s">
        <v>410</v>
      </c>
      <c r="R42" s="383">
        <v>40.21500004460227</v>
      </c>
      <c r="W42" s="618"/>
      <c r="X42" s="609"/>
      <c r="Y42" s="610"/>
      <c r="Z42" s="619"/>
      <c r="AA42" s="607"/>
      <c r="AB42" s="602"/>
      <c r="AC42" s="601"/>
      <c r="AD42" s="601"/>
      <c r="AE42" s="601"/>
      <c r="AF42" s="602"/>
      <c r="AG42" s="602"/>
      <c r="AH42" s="602"/>
      <c r="AI42" s="602"/>
      <c r="AJ42" s="602"/>
      <c r="AK42" s="602"/>
      <c r="AL42" s="602"/>
      <c r="AM42" s="602"/>
      <c r="AN42" s="602"/>
    </row>
    <row r="43" spans="1:40">
      <c r="A43" s="583"/>
      <c r="B43" s="24" t="s">
        <v>354</v>
      </c>
      <c r="C43" s="24" t="s">
        <v>449</v>
      </c>
      <c r="R43" s="383">
        <v>40.333969251248213</v>
      </c>
      <c r="W43" s="618"/>
      <c r="X43" s="609"/>
      <c r="Y43" s="610"/>
      <c r="Z43" s="619"/>
      <c r="AA43" s="607"/>
      <c r="AB43" s="602"/>
      <c r="AC43" s="601"/>
      <c r="AD43" s="601"/>
      <c r="AE43" s="601"/>
      <c r="AF43" s="602"/>
      <c r="AG43" s="602"/>
      <c r="AH43" s="602"/>
      <c r="AI43" s="602"/>
      <c r="AJ43" s="602"/>
      <c r="AK43" s="602"/>
      <c r="AL43" s="602"/>
      <c r="AM43" s="602"/>
      <c r="AN43" s="602"/>
    </row>
    <row r="44" spans="1:40">
      <c r="A44" s="583"/>
      <c r="B44" s="24" t="s">
        <v>355</v>
      </c>
      <c r="C44" s="24" t="s">
        <v>524</v>
      </c>
      <c r="R44" s="383">
        <v>40.136968310527109</v>
      </c>
      <c r="W44" s="604"/>
      <c r="X44" s="605"/>
      <c r="Y44" s="610"/>
      <c r="Z44" s="619"/>
      <c r="AA44" s="607"/>
      <c r="AB44" s="602"/>
      <c r="AC44" s="601"/>
      <c r="AD44" s="601"/>
      <c r="AE44" s="601"/>
      <c r="AF44" s="602"/>
      <c r="AG44" s="602"/>
      <c r="AH44" s="602"/>
      <c r="AI44" s="602"/>
      <c r="AJ44" s="602"/>
      <c r="AK44" s="602"/>
      <c r="AL44" s="602"/>
      <c r="AM44" s="602"/>
      <c r="AN44" s="602"/>
    </row>
    <row r="45" spans="1:40">
      <c r="A45" s="583"/>
      <c r="W45" s="601"/>
      <c r="X45" s="601"/>
      <c r="Y45" s="601"/>
      <c r="Z45" s="602"/>
      <c r="AA45" s="602"/>
      <c r="AB45" s="602"/>
      <c r="AC45" s="601"/>
      <c r="AD45" s="601"/>
      <c r="AE45" s="601"/>
      <c r="AF45" s="602"/>
      <c r="AG45" s="602"/>
      <c r="AH45" s="602"/>
      <c r="AI45" s="602"/>
      <c r="AJ45" s="602"/>
      <c r="AK45" s="602"/>
      <c r="AL45" s="602"/>
      <c r="AM45" s="602"/>
      <c r="AN45" s="602"/>
    </row>
    <row r="46" spans="1:40">
      <c r="A46" s="583">
        <v>7</v>
      </c>
      <c r="B46" s="46" t="s">
        <v>459</v>
      </c>
      <c r="S46" s="295" t="s">
        <v>395</v>
      </c>
      <c r="T46" s="295" t="s">
        <v>396</v>
      </c>
      <c r="U46" s="295" t="s">
        <v>397</v>
      </c>
      <c r="W46" s="620"/>
      <c r="X46" s="620"/>
      <c r="Y46" s="621"/>
      <c r="Z46" s="603"/>
      <c r="AA46" s="603"/>
      <c r="AB46" s="622"/>
      <c r="AC46" s="620"/>
      <c r="AD46" s="620"/>
      <c r="AE46" s="621"/>
      <c r="AF46" s="603"/>
      <c r="AG46" s="603"/>
      <c r="AH46" s="622"/>
      <c r="AI46" s="620"/>
      <c r="AJ46" s="620"/>
      <c r="AK46" s="621"/>
      <c r="AL46" s="603"/>
      <c r="AM46" s="603"/>
      <c r="AN46" s="602"/>
    </row>
    <row r="47" spans="1:40">
      <c r="B47" s="24" t="s">
        <v>350</v>
      </c>
      <c r="C47" s="24" t="s">
        <v>360</v>
      </c>
      <c r="P47" s="458"/>
      <c r="Q47" s="458"/>
      <c r="R47" s="458"/>
      <c r="S47" s="400">
        <v>393.1512832830681</v>
      </c>
      <c r="T47" s="400">
        <v>433.51297813608682</v>
      </c>
      <c r="U47" s="400">
        <v>1106.2698969490827</v>
      </c>
      <c r="W47" s="614"/>
      <c r="X47" s="609"/>
      <c r="Y47" s="615"/>
      <c r="Z47" s="601"/>
      <c r="AA47" s="601"/>
      <c r="AB47" s="601"/>
      <c r="AC47" s="614"/>
      <c r="AD47" s="609"/>
      <c r="AE47" s="623"/>
      <c r="AF47" s="601"/>
      <c r="AG47" s="601"/>
      <c r="AH47" s="601"/>
      <c r="AI47" s="614"/>
      <c r="AJ47" s="609"/>
      <c r="AK47" s="140"/>
      <c r="AL47" s="601"/>
      <c r="AM47" s="601"/>
      <c r="AN47" s="602"/>
    </row>
    <row r="48" spans="1:40">
      <c r="B48" s="24" t="s">
        <v>352</v>
      </c>
      <c r="C48" s="24" t="s">
        <v>361</v>
      </c>
      <c r="R48" s="384"/>
      <c r="S48" s="400">
        <v>414.48116625385302</v>
      </c>
      <c r="T48" s="400">
        <v>456.71471026746661</v>
      </c>
      <c r="U48" s="400">
        <v>1167.0680654795935</v>
      </c>
      <c r="W48" s="614"/>
      <c r="X48" s="609"/>
      <c r="Y48" s="615"/>
      <c r="Z48" s="614"/>
      <c r="AA48" s="392"/>
      <c r="AB48" s="392"/>
      <c r="AC48" s="614"/>
      <c r="AD48" s="609"/>
      <c r="AE48" s="623"/>
      <c r="AF48" s="614"/>
      <c r="AG48" s="392"/>
      <c r="AH48" s="392"/>
      <c r="AI48" s="614"/>
      <c r="AJ48" s="609"/>
      <c r="AK48" s="140"/>
      <c r="AL48" s="614"/>
      <c r="AM48" s="392"/>
      <c r="AN48" s="602"/>
    </row>
    <row r="49" spans="2:40">
      <c r="B49" s="24" t="s">
        <v>353</v>
      </c>
      <c r="C49" s="24" t="s">
        <v>410</v>
      </c>
      <c r="R49" s="316"/>
      <c r="S49" s="400">
        <v>402.39188148129529</v>
      </c>
      <c r="T49" s="400">
        <v>443.56450464575556</v>
      </c>
      <c r="U49" s="400">
        <v>1132.6090684929702</v>
      </c>
      <c r="W49" s="614"/>
      <c r="X49" s="609"/>
      <c r="Y49" s="615"/>
      <c r="Z49" s="614"/>
      <c r="AA49" s="392"/>
      <c r="AB49" s="392"/>
      <c r="AC49" s="614"/>
      <c r="AD49" s="609"/>
      <c r="AE49" s="623"/>
      <c r="AF49" s="614"/>
      <c r="AG49" s="392"/>
      <c r="AH49" s="392"/>
      <c r="AI49" s="614"/>
      <c r="AJ49" s="609"/>
      <c r="AK49" s="140"/>
      <c r="AL49" s="614"/>
      <c r="AM49" s="392"/>
      <c r="AN49" s="602"/>
    </row>
    <row r="50" spans="2:40">
      <c r="B50" s="24" t="s">
        <v>354</v>
      </c>
      <c r="C50" s="24" t="s">
        <v>449</v>
      </c>
      <c r="R50" s="315"/>
      <c r="S50" s="400">
        <v>403.53456490881746</v>
      </c>
      <c r="T50" s="400">
        <v>444.80746668322445</v>
      </c>
      <c r="U50" s="400">
        <v>1135.8661449475703</v>
      </c>
      <c r="W50" s="614"/>
      <c r="X50" s="609"/>
      <c r="Y50" s="615"/>
      <c r="Z50" s="614"/>
      <c r="AA50" s="392"/>
      <c r="AB50" s="392"/>
      <c r="AC50" s="614"/>
      <c r="AD50" s="609"/>
      <c r="AE50" s="623"/>
      <c r="AF50" s="614"/>
      <c r="AG50" s="392"/>
      <c r="AH50" s="392"/>
      <c r="AI50" s="614"/>
      <c r="AJ50" s="609"/>
      <c r="AK50" s="140"/>
      <c r="AL50" s="614"/>
      <c r="AM50" s="392"/>
      <c r="AN50" s="602"/>
    </row>
    <row r="51" spans="2:40">
      <c r="B51" s="24" t="s">
        <v>355</v>
      </c>
      <c r="C51" s="24" t="s">
        <v>524</v>
      </c>
      <c r="R51" s="315"/>
      <c r="S51" s="400">
        <v>401.64239704021747</v>
      </c>
      <c r="T51" s="400">
        <v>442.74924760649566</v>
      </c>
      <c r="U51" s="400">
        <v>1130.4727566612526</v>
      </c>
      <c r="W51" s="604"/>
      <c r="X51" s="605"/>
      <c r="Y51" s="615"/>
      <c r="Z51" s="614"/>
      <c r="AA51" s="392"/>
      <c r="AB51" s="392"/>
      <c r="AC51" s="604"/>
      <c r="AD51" s="605"/>
      <c r="AE51" s="623"/>
      <c r="AF51" s="614"/>
      <c r="AG51" s="392"/>
      <c r="AH51" s="392"/>
      <c r="AI51" s="604"/>
      <c r="AJ51" s="605"/>
      <c r="AK51" s="140"/>
      <c r="AL51" s="614"/>
      <c r="AM51" s="392"/>
      <c r="AN51" s="602"/>
    </row>
    <row r="52" spans="2:40">
      <c r="B52" s="296"/>
      <c r="W52" s="601"/>
      <c r="X52" s="601"/>
      <c r="Y52" s="601"/>
      <c r="Z52" s="602"/>
      <c r="AA52" s="602"/>
      <c r="AB52" s="602"/>
      <c r="AC52" s="601"/>
      <c r="AD52" s="601"/>
      <c r="AE52" s="601"/>
      <c r="AF52" s="602"/>
      <c r="AG52" s="602"/>
      <c r="AH52" s="602"/>
      <c r="AI52" s="601"/>
      <c r="AJ52" s="601"/>
      <c r="AK52" s="602"/>
      <c r="AL52" s="602"/>
      <c r="AM52" s="602"/>
      <c r="AN52" s="602"/>
    </row>
    <row r="53" spans="2:40">
      <c r="B53" s="296"/>
      <c r="W53" s="601"/>
      <c r="X53" s="601"/>
      <c r="Y53" s="601"/>
      <c r="Z53" s="602"/>
      <c r="AA53" s="602"/>
      <c r="AB53" s="602"/>
      <c r="AC53" s="601"/>
      <c r="AD53" s="601"/>
      <c r="AE53" s="601"/>
      <c r="AF53" s="602"/>
      <c r="AG53" s="602"/>
      <c r="AH53" s="602"/>
      <c r="AI53" s="602"/>
      <c r="AJ53" s="602"/>
      <c r="AK53" s="602"/>
      <c r="AL53" s="602"/>
      <c r="AM53" s="602"/>
      <c r="AN53" s="602"/>
    </row>
    <row r="54" spans="2:40">
      <c r="B54" s="296"/>
      <c r="W54" s="393"/>
    </row>
    <row r="55" spans="2:40">
      <c r="B55" s="296"/>
      <c r="W55" s="394"/>
      <c r="Z55" s="314"/>
      <c r="AF55" s="314"/>
      <c r="AL55" s="314"/>
    </row>
    <row r="56" spans="2:40">
      <c r="B56" s="501" t="s">
        <v>338</v>
      </c>
      <c r="W56" s="394"/>
    </row>
    <row r="57" spans="2:40" ht="16.5">
      <c r="B57" s="417" t="s">
        <v>523</v>
      </c>
      <c r="W57" s="394"/>
    </row>
    <row r="58" spans="2:40" ht="16.5">
      <c r="B58" s="46" t="s">
        <v>526</v>
      </c>
      <c r="C58" s="46"/>
      <c r="W58" s="394"/>
    </row>
    <row r="59" spans="2:40">
      <c r="B59" s="24"/>
      <c r="C59" s="46"/>
    </row>
    <row r="60" spans="2:40">
      <c r="B60" s="24"/>
    </row>
  </sheetData>
  <mergeCells count="15">
    <mergeCell ref="AL46:AM46"/>
    <mergeCell ref="AF32:AG32"/>
    <mergeCell ref="AC32:AD32"/>
    <mergeCell ref="W46:X46"/>
    <mergeCell ref="AC46:AD46"/>
    <mergeCell ref="AI46:AJ46"/>
    <mergeCell ref="Z46:AA46"/>
    <mergeCell ref="AF46:AG46"/>
    <mergeCell ref="Z39:AA39"/>
    <mergeCell ref="B18:P18"/>
    <mergeCell ref="B25:O25"/>
    <mergeCell ref="W32:X32"/>
    <mergeCell ref="Z32:AA32"/>
    <mergeCell ref="Z18:AA18"/>
    <mergeCell ref="Z25:AA25"/>
  </mergeCells>
  <phoneticPr fontId="40" type="noConversion"/>
  <conditionalFormatting sqref="W19:X23 W26:X30 W33:X37 AC33:AD37 W40:X44 W47:X51 AC47:AD51 AI47:AJ51">
    <cfRule type="cellIs" dxfId="22" priority="1" operator="lessThan">
      <formula>0</formula>
    </cfRule>
  </conditionalFormatting>
  <conditionalFormatting sqref="Z20:AA23">
    <cfRule type="cellIs" dxfId="21" priority="9" operator="lessThan">
      <formula>0</formula>
    </cfRule>
  </conditionalFormatting>
  <conditionalFormatting sqref="Z27:AA30">
    <cfRule type="cellIs" dxfId="20" priority="8" operator="lessThan">
      <formula>0</formula>
    </cfRule>
  </conditionalFormatting>
  <conditionalFormatting sqref="Z34:AA37">
    <cfRule type="cellIs" dxfId="19" priority="7" operator="lessThan">
      <formula>0</formula>
    </cfRule>
  </conditionalFormatting>
  <conditionalFormatting sqref="Z41:AA44">
    <cfRule type="cellIs" dxfId="18" priority="5" operator="lessThan">
      <formula>0</formula>
    </cfRule>
  </conditionalFormatting>
  <conditionalFormatting sqref="Z48:AC51">
    <cfRule type="cellIs" dxfId="17" priority="4" operator="lessThan">
      <formula>0</formula>
    </cfRule>
  </conditionalFormatting>
  <conditionalFormatting sqref="AF34:AG37">
    <cfRule type="cellIs" dxfId="16" priority="6" operator="lessThan">
      <formula>0</formula>
    </cfRule>
  </conditionalFormatting>
  <conditionalFormatting sqref="AF48:AI51">
    <cfRule type="cellIs" dxfId="15" priority="3" operator="lessThan">
      <formula>0</formula>
    </cfRule>
  </conditionalFormatting>
  <conditionalFormatting sqref="AL48:AM51">
    <cfRule type="cellIs" dxfId="14" priority="2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9D28-87E3-445F-89CF-C3F304F54B9A}">
  <sheetPr codeName="Sheet1">
    <pageSetUpPr fitToPage="1"/>
  </sheetPr>
  <dimension ref="A1:Y195"/>
  <sheetViews>
    <sheetView topLeftCell="A92" zoomScale="85" zoomScaleNormal="85" workbookViewId="0"/>
  </sheetViews>
  <sheetFormatPr defaultRowHeight="14.5" outlineLevelCol="1"/>
  <cols>
    <col min="1" max="1" width="89.1796875" bestFit="1" customWidth="1"/>
    <col min="2" max="2" width="61.81640625" customWidth="1"/>
    <col min="3" max="15" width="14.453125" hidden="1" customWidth="1" outlineLevel="1"/>
    <col min="16" max="16" width="14.453125" customWidth="1" collapsed="1"/>
    <col min="17" max="19" width="14.453125" customWidth="1"/>
    <col min="20" max="20" width="15.36328125" customWidth="1"/>
    <col min="21" max="21" width="28.453125" bestFit="1" customWidth="1"/>
    <col min="22" max="22" width="12" customWidth="1"/>
    <col min="23" max="23" width="14.453125" customWidth="1"/>
    <col min="24" max="24" width="14.1796875" bestFit="1" customWidth="1"/>
    <col min="25" max="25" width="15" style="281" bestFit="1" customWidth="1"/>
  </cols>
  <sheetData>
    <row r="1" spans="1:25" ht="18.5">
      <c r="A1" s="796" t="s">
        <v>577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</row>
    <row r="2" spans="1:25" ht="18.5">
      <c r="A2" s="796" t="s">
        <v>485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W2" s="16"/>
    </row>
    <row r="3" spans="1:25" ht="18.5">
      <c r="A3" s="796" t="s">
        <v>486</v>
      </c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W3" s="16"/>
    </row>
    <row r="4" spans="1:25" ht="18.5">
      <c r="A4" s="796" t="s">
        <v>487</v>
      </c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288"/>
      <c r="N4" s="288"/>
      <c r="O4" s="288"/>
      <c r="P4" s="288"/>
      <c r="Q4" s="288"/>
      <c r="R4" s="288"/>
      <c r="S4" s="288"/>
      <c r="T4" s="288"/>
      <c r="U4" t="s">
        <v>450</v>
      </c>
      <c r="W4" s="16"/>
    </row>
    <row r="5" spans="1:25">
      <c r="B5" t="s">
        <v>17</v>
      </c>
      <c r="C5" s="180">
        <v>43862</v>
      </c>
      <c r="D5" s="180">
        <v>43922</v>
      </c>
      <c r="E5" s="180">
        <v>43983</v>
      </c>
      <c r="F5" s="180">
        <v>44105</v>
      </c>
      <c r="G5" s="180">
        <v>44228</v>
      </c>
      <c r="H5" s="180">
        <v>44256</v>
      </c>
      <c r="I5" s="180">
        <v>44348</v>
      </c>
      <c r="J5" s="180">
        <v>44501</v>
      </c>
      <c r="K5" s="180">
        <v>44562</v>
      </c>
      <c r="L5" s="180">
        <v>44713</v>
      </c>
      <c r="M5" s="180">
        <v>44927</v>
      </c>
      <c r="N5" s="180">
        <v>45292</v>
      </c>
      <c r="O5" s="180">
        <v>45352</v>
      </c>
      <c r="P5" s="180">
        <v>45566</v>
      </c>
      <c r="Q5" s="180">
        <v>45689</v>
      </c>
      <c r="R5" s="180">
        <v>45809</v>
      </c>
      <c r="S5" s="180">
        <v>45931</v>
      </c>
      <c r="T5" s="647">
        <v>46023</v>
      </c>
      <c r="W5" s="180"/>
    </row>
    <row r="6" spans="1:25">
      <c r="B6" t="s">
        <v>18</v>
      </c>
      <c r="C6" t="s">
        <v>151</v>
      </c>
      <c r="D6" t="s">
        <v>200</v>
      </c>
      <c r="E6" t="s">
        <v>214</v>
      </c>
      <c r="F6" t="s">
        <v>220</v>
      </c>
      <c r="G6" t="s">
        <v>231</v>
      </c>
      <c r="H6" t="s">
        <v>248</v>
      </c>
      <c r="I6" t="s">
        <v>264</v>
      </c>
      <c r="J6" t="s">
        <v>301</v>
      </c>
      <c r="K6" t="s">
        <v>323</v>
      </c>
      <c r="L6" t="s">
        <v>329</v>
      </c>
      <c r="M6" t="s">
        <v>468</v>
      </c>
      <c r="N6" t="s">
        <v>378</v>
      </c>
      <c r="O6" t="s">
        <v>427</v>
      </c>
      <c r="P6" t="s">
        <v>443</v>
      </c>
      <c r="Q6" t="s">
        <v>461</v>
      </c>
      <c r="R6" t="s">
        <v>475</v>
      </c>
      <c r="S6" t="s">
        <v>469</v>
      </c>
      <c r="T6" s="583" t="s">
        <v>477</v>
      </c>
    </row>
    <row r="7" spans="1:25" s="583" customFormat="1" ht="62.25" customHeight="1">
      <c r="A7" s="629" t="s">
        <v>0</v>
      </c>
      <c r="B7" s="630" t="str">
        <f>_xlfn.TEXTJOIN(" ",TRUE,"Authority for Revenue Requirement as of",Summary!E31)</f>
        <v>Authority for Revenue Requirement as of 1/1/26</v>
      </c>
      <c r="C7" s="631" t="s">
        <v>16</v>
      </c>
      <c r="D7" s="631" t="s">
        <v>16</v>
      </c>
      <c r="E7" s="631" t="s">
        <v>16</v>
      </c>
      <c r="F7" s="631" t="s">
        <v>16</v>
      </c>
      <c r="G7" s="631" t="s">
        <v>16</v>
      </c>
      <c r="H7" s="631" t="s">
        <v>16</v>
      </c>
      <c r="I7" s="631" t="s">
        <v>16</v>
      </c>
      <c r="J7" s="631" t="s">
        <v>16</v>
      </c>
      <c r="K7" s="631" t="s">
        <v>16</v>
      </c>
      <c r="L7" s="631" t="s">
        <v>16</v>
      </c>
      <c r="M7" s="631" t="s">
        <v>16</v>
      </c>
      <c r="N7" s="631" t="s">
        <v>16</v>
      </c>
      <c r="O7" s="631" t="s">
        <v>16</v>
      </c>
      <c r="P7" s="631" t="s">
        <v>16</v>
      </c>
      <c r="Q7" s="631" t="s">
        <v>16</v>
      </c>
      <c r="R7" s="631" t="s">
        <v>16</v>
      </c>
      <c r="S7" s="631" t="s">
        <v>16</v>
      </c>
      <c r="T7" s="631" t="s">
        <v>16</v>
      </c>
      <c r="U7" s="631" t="s">
        <v>1</v>
      </c>
      <c r="V7" s="631" t="s">
        <v>15</v>
      </c>
      <c r="W7" s="632"/>
      <c r="Y7" s="633"/>
    </row>
    <row r="8" spans="1:25" s="583" customFormat="1">
      <c r="A8" s="634" t="s">
        <v>2</v>
      </c>
      <c r="Y8" s="633"/>
    </row>
    <row r="9" spans="1:25" s="583" customFormat="1">
      <c r="A9" s="583" t="s">
        <v>19</v>
      </c>
      <c r="B9" s="635" t="s">
        <v>539</v>
      </c>
      <c r="C9" s="635">
        <v>1477315.7596823999</v>
      </c>
      <c r="D9" s="635">
        <v>1477315.7596823999</v>
      </c>
      <c r="E9" s="635">
        <v>1477315.7596823999</v>
      </c>
      <c r="F9" s="635">
        <v>1477315.7596823999</v>
      </c>
      <c r="G9" s="635">
        <v>1558749.6462927</v>
      </c>
      <c r="H9" s="635">
        <v>1558749.6462927</v>
      </c>
      <c r="I9" s="635">
        <v>1558749.6462927</v>
      </c>
      <c r="J9" s="635">
        <v>1558749.6462927</v>
      </c>
      <c r="K9" s="635">
        <v>1628214.3345532001</v>
      </c>
      <c r="L9" s="635">
        <v>1622781.4869994856</v>
      </c>
      <c r="M9" s="635">
        <v>1673262.9692801998</v>
      </c>
      <c r="N9" s="635">
        <v>1673262.9692801998</v>
      </c>
      <c r="O9" s="635">
        <v>1720272.5372833791</v>
      </c>
      <c r="P9" s="635">
        <v>1720272.5372833791</v>
      </c>
      <c r="Q9" s="635">
        <v>2016576.1387274999</v>
      </c>
      <c r="R9" s="635">
        <v>2016576.1387274999</v>
      </c>
      <c r="S9" s="635">
        <v>2016576.1387274999</v>
      </c>
      <c r="T9" s="635">
        <v>2110024.0674999999</v>
      </c>
      <c r="U9" s="583" t="s">
        <v>5</v>
      </c>
      <c r="V9" s="583" t="s">
        <v>24</v>
      </c>
      <c r="W9" s="635"/>
      <c r="X9" s="635"/>
      <c r="Y9" s="636"/>
    </row>
    <row r="10" spans="1:25" s="583" customFormat="1">
      <c r="A10" s="583" t="s">
        <v>19</v>
      </c>
      <c r="B10" s="635" t="s">
        <v>539</v>
      </c>
      <c r="C10" s="635">
        <v>198523.7366944</v>
      </c>
      <c r="D10" s="635">
        <v>198523.7366944</v>
      </c>
      <c r="E10" s="635">
        <v>198523.7366944</v>
      </c>
      <c r="F10" s="635">
        <v>198523.7366944</v>
      </c>
      <c r="G10" s="635">
        <v>200900.22403919999</v>
      </c>
      <c r="H10" s="635">
        <v>200900.22403919999</v>
      </c>
      <c r="I10" s="635">
        <v>200900.22403919999</v>
      </c>
      <c r="J10" s="635">
        <v>200900.22403919999</v>
      </c>
      <c r="K10" s="635">
        <v>203501.2640546</v>
      </c>
      <c r="L10" s="635">
        <v>203055.40087854289</v>
      </c>
      <c r="M10" s="635">
        <v>202592.5097464</v>
      </c>
      <c r="N10" s="635">
        <v>202592.5097464</v>
      </c>
      <c r="O10" s="635">
        <v>206976.1183843688</v>
      </c>
      <c r="P10" s="635">
        <v>206976.1183843688</v>
      </c>
      <c r="Q10" s="635">
        <v>218153.07271800001</v>
      </c>
      <c r="R10" s="635">
        <v>218153.07271800001</v>
      </c>
      <c r="S10" s="635">
        <v>218153.07271800001</v>
      </c>
      <c r="T10" s="635">
        <v>224821.89891000002</v>
      </c>
      <c r="U10" s="583" t="s">
        <v>3</v>
      </c>
      <c r="V10" s="583" t="s">
        <v>24</v>
      </c>
      <c r="W10" s="635"/>
      <c r="X10" s="635"/>
      <c r="Y10" s="636"/>
    </row>
    <row r="11" spans="1:25" s="583" customFormat="1">
      <c r="A11" s="583" t="s">
        <v>206</v>
      </c>
      <c r="B11" s="635" t="s">
        <v>540</v>
      </c>
      <c r="C11" s="635">
        <v>38304.415000000001</v>
      </c>
      <c r="D11" s="635">
        <v>38304.415000000001</v>
      </c>
      <c r="E11" s="635">
        <v>38304.415000000001</v>
      </c>
      <c r="F11" s="635">
        <v>38304.415000000001</v>
      </c>
      <c r="G11" s="635">
        <v>38722.434000000001</v>
      </c>
      <c r="H11" s="635">
        <v>38722.434000000001</v>
      </c>
      <c r="I11" s="635">
        <v>38722.434000000001</v>
      </c>
      <c r="J11" s="635">
        <v>38722.434000000001</v>
      </c>
      <c r="K11" s="635">
        <v>0</v>
      </c>
      <c r="L11" s="635">
        <v>0</v>
      </c>
      <c r="M11" s="635">
        <v>0</v>
      </c>
      <c r="N11" s="635">
        <v>0</v>
      </c>
      <c r="O11" s="635">
        <v>0</v>
      </c>
      <c r="P11" s="635">
        <v>0</v>
      </c>
      <c r="Q11" s="637">
        <v>166603.17092951052</v>
      </c>
      <c r="R11" s="637">
        <v>166603.17092951052</v>
      </c>
      <c r="S11" s="637">
        <v>166603.17092951052</v>
      </c>
      <c r="T11" s="635">
        <v>181748.916</v>
      </c>
      <c r="U11" s="583" t="s">
        <v>5</v>
      </c>
      <c r="V11" s="583" t="s">
        <v>26</v>
      </c>
      <c r="W11" s="635"/>
      <c r="X11" s="635"/>
      <c r="Y11" s="636"/>
    </row>
    <row r="12" spans="1:25" s="583" customFormat="1">
      <c r="A12" s="583" t="s">
        <v>206</v>
      </c>
      <c r="B12" s="635" t="s">
        <v>488</v>
      </c>
      <c r="C12" s="635">
        <v>-19594.055499999999</v>
      </c>
      <c r="D12" s="635">
        <v>-19594.055499999999</v>
      </c>
      <c r="E12" s="635">
        <v>-19594.055499999999</v>
      </c>
      <c r="F12" s="635">
        <v>-19594.055499999999</v>
      </c>
      <c r="G12" s="635">
        <v>-19807.915000000001</v>
      </c>
      <c r="H12" s="635">
        <v>-19807.915000000001</v>
      </c>
      <c r="I12" s="635">
        <v>-19807.915000000001</v>
      </c>
      <c r="J12" s="635">
        <v>-19807.915000000001</v>
      </c>
      <c r="K12" s="635">
        <v>0</v>
      </c>
      <c r="L12" s="635">
        <v>0</v>
      </c>
      <c r="M12" s="635">
        <v>0</v>
      </c>
      <c r="N12" s="635">
        <v>0</v>
      </c>
      <c r="O12" s="635">
        <v>0</v>
      </c>
      <c r="P12" s="635">
        <v>0</v>
      </c>
      <c r="Q12" s="637">
        <v>-14343.037775307326</v>
      </c>
      <c r="R12" s="637">
        <v>-14343.037775307326</v>
      </c>
      <c r="S12" s="637">
        <v>-14343.037775307326</v>
      </c>
      <c r="T12" s="637">
        <v>-16572.168939117768</v>
      </c>
      <c r="U12" s="583" t="s">
        <v>3</v>
      </c>
      <c r="V12" s="583" t="s">
        <v>26</v>
      </c>
      <c r="W12" s="635"/>
      <c r="X12" s="635"/>
      <c r="Y12" s="636"/>
    </row>
    <row r="13" spans="1:25" s="583" customFormat="1">
      <c r="A13" s="583" t="s">
        <v>206</v>
      </c>
      <c r="B13" s="635" t="s">
        <v>541</v>
      </c>
      <c r="C13" s="635">
        <v>0</v>
      </c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635">
        <v>0</v>
      </c>
      <c r="N13" s="635">
        <v>0</v>
      </c>
      <c r="O13" s="635">
        <v>0</v>
      </c>
      <c r="P13" s="635">
        <v>0</v>
      </c>
      <c r="Q13" s="637">
        <v>19839.868520808574</v>
      </c>
      <c r="R13" s="637">
        <v>19839.868520808574</v>
      </c>
      <c r="S13" s="637">
        <v>19839.868520808574</v>
      </c>
      <c r="T13" s="635">
        <v>22568.700939117767</v>
      </c>
      <c r="U13" s="583" t="s">
        <v>251</v>
      </c>
      <c r="V13" s="583" t="s">
        <v>26</v>
      </c>
      <c r="W13" s="635"/>
      <c r="X13" s="635"/>
      <c r="Y13" s="636"/>
    </row>
    <row r="14" spans="1:25" s="583" customFormat="1">
      <c r="A14" s="583" t="s">
        <v>204</v>
      </c>
      <c r="B14" s="635" t="s">
        <v>451</v>
      </c>
      <c r="C14" s="635">
        <v>-32053.919132110164</v>
      </c>
      <c r="D14" s="635">
        <v>-32053.919132110164</v>
      </c>
      <c r="E14" s="635">
        <v>-32053.919132110164</v>
      </c>
      <c r="F14" s="635">
        <v>-32053.919132110164</v>
      </c>
      <c r="G14" s="635">
        <v>-32053.919132110164</v>
      </c>
      <c r="H14" s="635">
        <v>-32053.919132110164</v>
      </c>
      <c r="I14" s="635">
        <v>-32053.919132110164</v>
      </c>
      <c r="J14" s="635">
        <v>-32053.919132110164</v>
      </c>
      <c r="K14" s="635">
        <v>0</v>
      </c>
      <c r="L14" s="635">
        <v>0</v>
      </c>
      <c r="M14" s="635">
        <v>0</v>
      </c>
      <c r="N14" s="635">
        <v>0</v>
      </c>
      <c r="O14" s="635">
        <v>0</v>
      </c>
      <c r="P14" s="635">
        <v>0</v>
      </c>
      <c r="Q14" s="635">
        <v>0</v>
      </c>
      <c r="R14" s="635">
        <v>0</v>
      </c>
      <c r="S14" s="635">
        <v>0</v>
      </c>
      <c r="T14" s="635">
        <v>0</v>
      </c>
      <c r="U14" s="583" t="s">
        <v>5</v>
      </c>
      <c r="V14" s="583" t="s">
        <v>24</v>
      </c>
      <c r="W14" s="635"/>
      <c r="X14" s="635"/>
      <c r="Y14" s="636"/>
    </row>
    <row r="15" spans="1:25" s="583" customFormat="1">
      <c r="A15" s="583" t="s">
        <v>204</v>
      </c>
      <c r="B15" s="635" t="s">
        <v>451</v>
      </c>
      <c r="C15" s="635">
        <v>-7335.0289387033235</v>
      </c>
      <c r="D15" s="635">
        <v>-7335.0289387033235</v>
      </c>
      <c r="E15" s="635">
        <v>-7335.0289387033235</v>
      </c>
      <c r="F15" s="635">
        <v>-7335.0289387033235</v>
      </c>
      <c r="G15" s="635">
        <v>-7335.0289387033235</v>
      </c>
      <c r="H15" s="635">
        <v>-7335.0289387033235</v>
      </c>
      <c r="I15" s="635">
        <v>-7335.0289387033235</v>
      </c>
      <c r="J15" s="635">
        <v>-7335.0289387033235</v>
      </c>
      <c r="K15" s="635">
        <v>0</v>
      </c>
      <c r="L15" s="635">
        <v>0</v>
      </c>
      <c r="M15" s="635">
        <v>0</v>
      </c>
      <c r="N15" s="635">
        <v>0</v>
      </c>
      <c r="O15" s="635">
        <v>0</v>
      </c>
      <c r="P15" s="635">
        <v>0</v>
      </c>
      <c r="Q15" s="635">
        <v>0</v>
      </c>
      <c r="R15" s="635">
        <v>0</v>
      </c>
      <c r="S15" s="635">
        <v>0</v>
      </c>
      <c r="T15" s="635">
        <v>0</v>
      </c>
      <c r="U15" s="583" t="s">
        <v>3</v>
      </c>
      <c r="V15" s="583" t="s">
        <v>24</v>
      </c>
      <c r="W15" s="635"/>
      <c r="X15" s="635"/>
      <c r="Y15" s="636"/>
    </row>
    <row r="16" spans="1:25" s="583" customFormat="1">
      <c r="A16" s="638" t="s">
        <v>235</v>
      </c>
      <c r="B16" s="635" t="s">
        <v>451</v>
      </c>
      <c r="C16" s="635">
        <v>0</v>
      </c>
      <c r="D16" s="635">
        <v>0</v>
      </c>
      <c r="E16" s="635">
        <v>0</v>
      </c>
      <c r="F16" s="635">
        <v>0</v>
      </c>
      <c r="G16" s="635">
        <v>-7486.5516527999998</v>
      </c>
      <c r="H16" s="635">
        <v>-7486.5516527999998</v>
      </c>
      <c r="I16" s="635">
        <v>-7486.5516527999998</v>
      </c>
      <c r="J16" s="635">
        <v>-7486.5516527999998</v>
      </c>
      <c r="K16" s="635">
        <v>0</v>
      </c>
      <c r="L16" s="635">
        <v>0</v>
      </c>
      <c r="M16" s="635">
        <v>0</v>
      </c>
      <c r="N16" s="635">
        <v>0</v>
      </c>
      <c r="O16" s="635">
        <v>0</v>
      </c>
      <c r="P16" s="635">
        <v>0</v>
      </c>
      <c r="Q16" s="635">
        <v>0</v>
      </c>
      <c r="R16" s="635">
        <v>0</v>
      </c>
      <c r="S16" s="635">
        <v>0</v>
      </c>
      <c r="T16" s="635">
        <v>0</v>
      </c>
      <c r="U16" s="583" t="s">
        <v>5</v>
      </c>
      <c r="V16" s="583" t="s">
        <v>26</v>
      </c>
      <c r="W16" s="635"/>
      <c r="X16" s="635"/>
      <c r="Y16" s="636"/>
    </row>
    <row r="17" spans="1:25" s="583" customFormat="1">
      <c r="A17" s="638" t="s">
        <v>234</v>
      </c>
      <c r="B17" s="635" t="s">
        <v>451</v>
      </c>
      <c r="C17" s="635">
        <v>0</v>
      </c>
      <c r="D17" s="635">
        <v>0</v>
      </c>
      <c r="E17" s="635">
        <v>0</v>
      </c>
      <c r="F17" s="635">
        <v>0</v>
      </c>
      <c r="G17" s="635">
        <v>-53.643027799999999</v>
      </c>
      <c r="H17" s="635">
        <v>-53.643027799999999</v>
      </c>
      <c r="I17" s="635">
        <v>-53.643027799999999</v>
      </c>
      <c r="J17" s="635">
        <v>-53.643027799999999</v>
      </c>
      <c r="K17" s="635">
        <v>0</v>
      </c>
      <c r="L17" s="635">
        <v>0</v>
      </c>
      <c r="M17" s="635">
        <v>0</v>
      </c>
      <c r="N17" s="635">
        <v>0</v>
      </c>
      <c r="O17" s="635">
        <v>0</v>
      </c>
      <c r="P17" s="635">
        <v>0</v>
      </c>
      <c r="Q17" s="635">
        <v>0</v>
      </c>
      <c r="R17" s="635">
        <v>0</v>
      </c>
      <c r="S17" s="635">
        <v>0</v>
      </c>
      <c r="T17" s="635">
        <v>0</v>
      </c>
      <c r="U17" s="583" t="s">
        <v>3</v>
      </c>
      <c r="V17" s="583" t="s">
        <v>26</v>
      </c>
      <c r="W17" s="639"/>
      <c r="X17" s="639"/>
      <c r="Y17" s="636"/>
    </row>
    <row r="18" spans="1:25" s="583" customFormat="1">
      <c r="A18" s="638" t="s">
        <v>40</v>
      </c>
      <c r="B18" s="635" t="s">
        <v>542</v>
      </c>
      <c r="C18" s="635">
        <v>801215.36425870005</v>
      </c>
      <c r="D18" s="635">
        <v>801215.36425870005</v>
      </c>
      <c r="E18" s="635">
        <v>801215.36425870005</v>
      </c>
      <c r="F18" s="635">
        <v>801215.36425870005</v>
      </c>
      <c r="G18" s="635">
        <v>801215.36425870005</v>
      </c>
      <c r="H18" s="635">
        <v>663435.15883986873</v>
      </c>
      <c r="I18" s="635">
        <v>663435.15883986873</v>
      </c>
      <c r="J18" s="635">
        <v>663435.15883986873</v>
      </c>
      <c r="K18" s="635">
        <v>786860.06604541873</v>
      </c>
      <c r="L18" s="635">
        <v>786860.06604541873</v>
      </c>
      <c r="M18" s="635">
        <v>545074.22041898174</v>
      </c>
      <c r="N18" s="635">
        <v>487032.04468507774</v>
      </c>
      <c r="O18" s="635">
        <v>487032.04468507774</v>
      </c>
      <c r="P18" s="635">
        <v>487032.04468507774</v>
      </c>
      <c r="Q18" s="635">
        <v>464895.44433890504</v>
      </c>
      <c r="R18" s="635">
        <v>464895.44433890504</v>
      </c>
      <c r="S18" s="635">
        <v>464895.44433890504</v>
      </c>
      <c r="T18" s="635">
        <v>398611.61778033664</v>
      </c>
      <c r="U18" s="583" t="s">
        <v>3</v>
      </c>
      <c r="V18" s="583" t="s">
        <v>24</v>
      </c>
      <c r="W18" s="639"/>
      <c r="X18" s="639"/>
      <c r="Y18" s="640"/>
    </row>
    <row r="19" spans="1:25" s="583" customFormat="1">
      <c r="A19" s="638" t="s">
        <v>41</v>
      </c>
      <c r="B19" s="635" t="s">
        <v>451</v>
      </c>
      <c r="C19" s="635">
        <v>0</v>
      </c>
      <c r="D19" s="635">
        <v>-186232.39839999998</v>
      </c>
      <c r="E19" s="635">
        <v>-186232.39839999998</v>
      </c>
      <c r="F19" s="635">
        <v>-186232.39839999998</v>
      </c>
      <c r="G19" s="635">
        <v>0</v>
      </c>
      <c r="H19" s="635">
        <v>55341.557366349334</v>
      </c>
      <c r="I19" s="635">
        <v>55341.557366349334</v>
      </c>
      <c r="J19" s="635">
        <v>55341.557366349334</v>
      </c>
      <c r="K19" s="635">
        <v>149125.7809671688</v>
      </c>
      <c r="L19" s="635">
        <v>149125.7809671688</v>
      </c>
      <c r="M19" s="635">
        <v>-4541.853247395592</v>
      </c>
      <c r="N19" s="635">
        <v>0</v>
      </c>
      <c r="O19" s="635">
        <v>0</v>
      </c>
      <c r="P19" s="635">
        <v>0</v>
      </c>
      <c r="Q19" s="635">
        <v>0</v>
      </c>
      <c r="R19" s="635">
        <v>0</v>
      </c>
      <c r="S19" s="635">
        <v>0</v>
      </c>
      <c r="T19" s="635">
        <v>0</v>
      </c>
      <c r="U19" s="583" t="s">
        <v>3</v>
      </c>
      <c r="V19" s="583" t="s">
        <v>24</v>
      </c>
      <c r="W19" s="641"/>
      <c r="X19" s="637"/>
      <c r="Y19" s="640"/>
    </row>
    <row r="20" spans="1:25" s="583" customFormat="1">
      <c r="A20" s="583" t="s">
        <v>53</v>
      </c>
      <c r="B20" s="635" t="s">
        <v>543</v>
      </c>
      <c r="C20" s="635">
        <v>0</v>
      </c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635">
        <v>106558.60764250722</v>
      </c>
      <c r="N20" s="635">
        <v>-78073.242312040151</v>
      </c>
      <c r="O20" s="635">
        <v>-78073.242312040151</v>
      </c>
      <c r="P20" s="635">
        <v>-78073.242312040151</v>
      </c>
      <c r="Q20" s="635">
        <v>121137.34030850908</v>
      </c>
      <c r="R20" s="635">
        <v>121137.34030850908</v>
      </c>
      <c r="S20" s="635">
        <v>121137.34030850908</v>
      </c>
      <c r="T20" s="635">
        <v>-2230.5184374006599</v>
      </c>
      <c r="U20" s="583" t="s">
        <v>3</v>
      </c>
      <c r="V20" s="583" t="s">
        <v>26</v>
      </c>
      <c r="W20" s="635"/>
      <c r="X20" s="635"/>
      <c r="Y20" s="636"/>
    </row>
    <row r="21" spans="1:25" s="583" customFormat="1">
      <c r="A21" s="583" t="s">
        <v>330</v>
      </c>
      <c r="B21" s="635" t="s">
        <v>489</v>
      </c>
      <c r="C21" s="635">
        <v>352010.14804195391</v>
      </c>
      <c r="D21" s="635">
        <v>352010.14804195391</v>
      </c>
      <c r="E21" s="635">
        <v>352010.14804195391</v>
      </c>
      <c r="F21" s="635">
        <v>352010.14804195391</v>
      </c>
      <c r="G21" s="635">
        <v>352010.14804195391</v>
      </c>
      <c r="H21" s="635">
        <v>224966.11872143956</v>
      </c>
      <c r="I21" s="635">
        <v>224966.11872143956</v>
      </c>
      <c r="J21" s="635">
        <v>224966.11872143956</v>
      </c>
      <c r="K21" s="635">
        <v>30288.3684359037</v>
      </c>
      <c r="L21" s="635">
        <v>30288.3684359037</v>
      </c>
      <c r="M21" s="635">
        <v>41.484471775096608</v>
      </c>
      <c r="N21" s="635">
        <v>-94445.891028563361</v>
      </c>
      <c r="O21" s="635">
        <v>-97290.830192037392</v>
      </c>
      <c r="P21" s="635">
        <v>-97290.830192037392</v>
      </c>
      <c r="Q21" s="635">
        <v>-66097.75023491781</v>
      </c>
      <c r="R21" s="635">
        <v>-66097.75023491781</v>
      </c>
      <c r="S21" s="635">
        <v>-66097.75023491781</v>
      </c>
      <c r="T21" s="635">
        <v>-107381.29504366641</v>
      </c>
      <c r="U21" s="583" t="s">
        <v>3</v>
      </c>
      <c r="V21" s="583" t="s">
        <v>24</v>
      </c>
      <c r="W21" s="635"/>
      <c r="X21" s="635"/>
      <c r="Y21" s="636"/>
    </row>
    <row r="22" spans="1:25" s="583" customFormat="1">
      <c r="A22" s="583" t="s">
        <v>203</v>
      </c>
      <c r="B22" s="635" t="s">
        <v>544</v>
      </c>
      <c r="C22" s="635">
        <v>254053.64200475891</v>
      </c>
      <c r="D22" s="635">
        <v>254053.64200475891</v>
      </c>
      <c r="E22" s="635">
        <v>254053.64200475891</v>
      </c>
      <c r="F22" s="635">
        <v>254053.64200475891</v>
      </c>
      <c r="G22" s="635">
        <v>254053.64200475891</v>
      </c>
      <c r="H22" s="635">
        <v>97010.609932855412</v>
      </c>
      <c r="I22" s="635">
        <v>97010.609932855412</v>
      </c>
      <c r="J22" s="635">
        <v>97010.609932855412</v>
      </c>
      <c r="K22" s="635">
        <v>-49396.580372743534</v>
      </c>
      <c r="L22" s="635">
        <v>-49396.580372743534</v>
      </c>
      <c r="M22" s="635">
        <v>-7303.5433951182349</v>
      </c>
      <c r="N22" s="635">
        <v>51403.58499015007</v>
      </c>
      <c r="O22" s="635">
        <v>50883.296223820733</v>
      </c>
      <c r="P22" s="635">
        <v>50883.296223820733</v>
      </c>
      <c r="Q22" s="635">
        <v>-132513.70493383484</v>
      </c>
      <c r="R22" s="635">
        <v>-132513.70493383484</v>
      </c>
      <c r="S22" s="635">
        <v>-132513.70493383484</v>
      </c>
      <c r="T22" s="635">
        <v>94341.524603530444</v>
      </c>
      <c r="U22" s="583" t="s">
        <v>3</v>
      </c>
      <c r="V22" s="583" t="s">
        <v>26</v>
      </c>
      <c r="W22" s="635"/>
      <c r="X22" s="635"/>
      <c r="Y22" s="636"/>
    </row>
    <row r="23" spans="1:25" s="583" customFormat="1">
      <c r="A23" s="583" t="s">
        <v>320</v>
      </c>
      <c r="B23" s="635" t="s">
        <v>451</v>
      </c>
      <c r="C23" s="635">
        <v>0</v>
      </c>
      <c r="D23" s="635">
        <v>0</v>
      </c>
      <c r="E23" s="635">
        <v>0</v>
      </c>
      <c r="F23" s="635">
        <v>0</v>
      </c>
      <c r="G23" s="635">
        <v>-2471.0007218152782</v>
      </c>
      <c r="H23" s="635">
        <v>-2471.0007218152782</v>
      </c>
      <c r="I23" s="635">
        <v>-2471.0007218152782</v>
      </c>
      <c r="J23" s="635">
        <v>-2471.0007218152782</v>
      </c>
      <c r="K23" s="635">
        <v>-2470.7040940930806</v>
      </c>
      <c r="L23" s="635">
        <v>-2470.7040940930806</v>
      </c>
      <c r="M23" s="635">
        <v>-428.1251468284795</v>
      </c>
      <c r="N23" s="635">
        <v>0</v>
      </c>
      <c r="O23" s="635">
        <v>0</v>
      </c>
      <c r="P23" s="635">
        <v>0</v>
      </c>
      <c r="Q23" s="635">
        <v>0</v>
      </c>
      <c r="R23" s="635">
        <v>0</v>
      </c>
      <c r="S23" s="635">
        <v>0</v>
      </c>
      <c r="T23" s="635">
        <v>0</v>
      </c>
      <c r="U23" s="583" t="s">
        <v>3</v>
      </c>
      <c r="V23" s="583" t="s">
        <v>24</v>
      </c>
      <c r="W23" s="635"/>
      <c r="X23" s="635"/>
      <c r="Y23" s="636"/>
    </row>
    <row r="24" spans="1:25" s="583" customFormat="1">
      <c r="A24" s="583" t="s">
        <v>321</v>
      </c>
      <c r="B24" s="635" t="s">
        <v>451</v>
      </c>
      <c r="C24" s="635">
        <v>9839.3111363526241</v>
      </c>
      <c r="D24" s="635">
        <v>9839.3111363526241</v>
      </c>
      <c r="E24" s="635">
        <v>9839.3111363526241</v>
      </c>
      <c r="F24" s="635">
        <v>9839.3111363526241</v>
      </c>
      <c r="G24" s="635">
        <v>9839.3111363526241</v>
      </c>
      <c r="H24" s="635">
        <v>22488.622374953778</v>
      </c>
      <c r="I24" s="635">
        <v>22488.622374953778</v>
      </c>
      <c r="J24" s="635">
        <v>22488.622374953778</v>
      </c>
      <c r="K24" s="635">
        <v>-17985.713429346531</v>
      </c>
      <c r="L24" s="635">
        <v>-17985.713429346531</v>
      </c>
      <c r="M24" s="635">
        <v>0</v>
      </c>
      <c r="N24" s="635">
        <v>0</v>
      </c>
      <c r="O24" s="635">
        <v>0</v>
      </c>
      <c r="P24" s="635">
        <v>0</v>
      </c>
      <c r="Q24" s="635">
        <v>0</v>
      </c>
      <c r="R24" s="635">
        <v>0</v>
      </c>
      <c r="S24" s="635">
        <v>0</v>
      </c>
      <c r="T24" s="635">
        <v>0</v>
      </c>
      <c r="U24" s="583" t="s">
        <v>3</v>
      </c>
      <c r="V24" s="583" t="s">
        <v>24</v>
      </c>
      <c r="W24" s="635"/>
      <c r="X24" s="635"/>
      <c r="Y24" s="636"/>
    </row>
    <row r="25" spans="1:25" s="583" customFormat="1">
      <c r="A25" s="583" t="s">
        <v>305</v>
      </c>
      <c r="B25" s="635" t="s">
        <v>451</v>
      </c>
      <c r="C25" s="635">
        <v>0</v>
      </c>
      <c r="D25" s="635">
        <v>0</v>
      </c>
      <c r="E25" s="635">
        <v>0</v>
      </c>
      <c r="F25" s="635">
        <v>0</v>
      </c>
      <c r="G25" s="635">
        <v>2471.0007218152782</v>
      </c>
      <c r="H25" s="635">
        <v>2471.0007218152782</v>
      </c>
      <c r="I25" s="635">
        <v>2471.0007218152782</v>
      </c>
      <c r="J25" s="635">
        <v>2471.0007218152782</v>
      </c>
      <c r="K25" s="635">
        <v>2470.7040940930806</v>
      </c>
      <c r="L25" s="635">
        <v>2470.7040940930806</v>
      </c>
      <c r="M25" s="635">
        <v>-2700.7391953273445</v>
      </c>
      <c r="N25" s="635">
        <v>0</v>
      </c>
      <c r="O25" s="635">
        <v>0</v>
      </c>
      <c r="P25" s="635">
        <v>0</v>
      </c>
      <c r="Q25" s="635">
        <v>0</v>
      </c>
      <c r="R25" s="635">
        <v>0</v>
      </c>
      <c r="S25" s="635">
        <v>0</v>
      </c>
      <c r="T25" s="635">
        <v>0</v>
      </c>
      <c r="U25" s="583" t="s">
        <v>251</v>
      </c>
      <c r="V25" s="583" t="s">
        <v>24</v>
      </c>
      <c r="W25" s="635"/>
      <c r="X25" s="635"/>
      <c r="Y25" s="636"/>
    </row>
    <row r="26" spans="1:25" s="583" customFormat="1">
      <c r="A26" s="583" t="s">
        <v>331</v>
      </c>
      <c r="B26" s="635" t="s">
        <v>545</v>
      </c>
      <c r="C26" s="635">
        <v>0</v>
      </c>
      <c r="D26" s="635">
        <v>0</v>
      </c>
      <c r="E26" s="635">
        <v>0</v>
      </c>
      <c r="F26" s="635">
        <v>0</v>
      </c>
      <c r="G26" s="635">
        <v>0</v>
      </c>
      <c r="H26" s="635">
        <v>98129.888763111332</v>
      </c>
      <c r="I26" s="635">
        <v>98129.888763111332</v>
      </c>
      <c r="J26" s="635">
        <v>98129.888763111332</v>
      </c>
      <c r="K26" s="635">
        <v>153061.7712138943</v>
      </c>
      <c r="L26" s="635">
        <v>153061.7712138943</v>
      </c>
      <c r="M26" s="635">
        <v>97929.459201915961</v>
      </c>
      <c r="N26" s="635">
        <v>60194.209131811956</v>
      </c>
      <c r="O26" s="635">
        <v>63009.916720960238</v>
      </c>
      <c r="P26" s="635">
        <v>63009.916720960238</v>
      </c>
      <c r="Q26" s="635">
        <v>-3939.3649907225172</v>
      </c>
      <c r="R26" s="635">
        <v>-3939.3649907225172</v>
      </c>
      <c r="S26" s="635">
        <v>-3939.3649907225172</v>
      </c>
      <c r="T26" s="635">
        <v>126355.97773807139</v>
      </c>
      <c r="U26" s="583" t="s">
        <v>251</v>
      </c>
      <c r="V26" s="583" t="s">
        <v>24</v>
      </c>
      <c r="W26" s="635"/>
      <c r="X26" s="635"/>
      <c r="Y26" s="636"/>
    </row>
    <row r="27" spans="1:25" s="583" customFormat="1">
      <c r="A27" s="583" t="s">
        <v>250</v>
      </c>
      <c r="B27" s="635" t="s">
        <v>546</v>
      </c>
      <c r="C27" s="635">
        <v>0</v>
      </c>
      <c r="D27" s="635">
        <v>0</v>
      </c>
      <c r="E27" s="635">
        <v>0</v>
      </c>
      <c r="F27" s="635">
        <v>0</v>
      </c>
      <c r="G27" s="635">
        <v>0</v>
      </c>
      <c r="H27" s="635">
        <v>26801.531556966504</v>
      </c>
      <c r="I27" s="635">
        <v>26801.531556966504</v>
      </c>
      <c r="J27" s="635">
        <v>26801.531556966504</v>
      </c>
      <c r="K27" s="635">
        <v>-62287.582937048333</v>
      </c>
      <c r="L27" s="635">
        <v>-62287.582937048333</v>
      </c>
      <c r="M27" s="635">
        <v>-7362.4888490041121</v>
      </c>
      <c r="N27" s="635">
        <v>52533.713465837092</v>
      </c>
      <c r="O27" s="635">
        <v>53048.656297202651</v>
      </c>
      <c r="P27" s="635">
        <v>53048.656297202651</v>
      </c>
      <c r="Q27" s="635">
        <v>-189199.81541037062</v>
      </c>
      <c r="R27" s="635">
        <v>-189199.81541037062</v>
      </c>
      <c r="S27" s="635">
        <v>-189199.81541037062</v>
      </c>
      <c r="T27" s="635">
        <v>204936.39232294427</v>
      </c>
      <c r="U27" s="583" t="s">
        <v>251</v>
      </c>
      <c r="V27" s="583" t="s">
        <v>26</v>
      </c>
      <c r="W27" s="635"/>
      <c r="X27" s="635"/>
      <c r="Y27" s="636"/>
    </row>
    <row r="28" spans="1:25" s="583" customFormat="1">
      <c r="A28" s="583" t="s">
        <v>306</v>
      </c>
      <c r="B28" s="635" t="s">
        <v>451</v>
      </c>
      <c r="C28" s="635">
        <v>0</v>
      </c>
      <c r="D28" s="635">
        <v>0</v>
      </c>
      <c r="E28" s="635">
        <v>0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13113.836794822102</v>
      </c>
      <c r="L28" s="635">
        <v>13113.836794822102</v>
      </c>
      <c r="M28" s="635">
        <v>0</v>
      </c>
      <c r="N28" s="635">
        <v>0</v>
      </c>
      <c r="O28" s="635">
        <v>0</v>
      </c>
      <c r="P28" s="635">
        <v>0</v>
      </c>
      <c r="Q28" s="635">
        <v>0</v>
      </c>
      <c r="R28" s="635">
        <v>0</v>
      </c>
      <c r="S28" s="635">
        <v>0</v>
      </c>
      <c r="T28" s="635">
        <v>0</v>
      </c>
      <c r="U28" s="583" t="s">
        <v>251</v>
      </c>
      <c r="V28" s="583" t="s">
        <v>24</v>
      </c>
      <c r="W28" s="635"/>
      <c r="X28" s="635"/>
      <c r="Y28" s="636"/>
    </row>
    <row r="29" spans="1:25" s="583" customFormat="1">
      <c r="A29" s="583" t="s">
        <v>307</v>
      </c>
      <c r="B29" s="635" t="s">
        <v>451</v>
      </c>
      <c r="C29" s="635">
        <v>0</v>
      </c>
      <c r="D29" s="635">
        <v>0</v>
      </c>
      <c r="E29" s="635">
        <v>0</v>
      </c>
      <c r="F29" s="635">
        <v>0</v>
      </c>
      <c r="G29" s="635">
        <v>0</v>
      </c>
      <c r="H29" s="635">
        <v>0</v>
      </c>
      <c r="I29" s="635">
        <v>0</v>
      </c>
      <c r="J29" s="635">
        <v>0</v>
      </c>
      <c r="K29" s="635">
        <v>17985.713429346531</v>
      </c>
      <c r="L29" s="635">
        <v>17985.713429346531</v>
      </c>
      <c r="M29" s="635">
        <v>0</v>
      </c>
      <c r="N29" s="635">
        <v>0</v>
      </c>
      <c r="O29" s="635">
        <v>0</v>
      </c>
      <c r="P29" s="635">
        <v>0</v>
      </c>
      <c r="Q29" s="635">
        <v>0</v>
      </c>
      <c r="R29" s="635">
        <v>0</v>
      </c>
      <c r="S29" s="635">
        <v>0</v>
      </c>
      <c r="T29" s="635">
        <v>0</v>
      </c>
      <c r="U29" s="583" t="s">
        <v>251</v>
      </c>
      <c r="V29" s="583" t="s">
        <v>24</v>
      </c>
      <c r="W29" s="635"/>
      <c r="X29" s="635"/>
      <c r="Y29" s="636"/>
    </row>
    <row r="30" spans="1:25" s="583" customFormat="1">
      <c r="A30" s="583" t="s">
        <v>411</v>
      </c>
      <c r="B30" s="635" t="s">
        <v>547</v>
      </c>
      <c r="C30" s="635">
        <v>0</v>
      </c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56139.34870353376</v>
      </c>
      <c r="L30" s="635">
        <v>56139.34870353376</v>
      </c>
      <c r="M30" s="635">
        <v>52668.024321018689</v>
      </c>
      <c r="N30" s="635">
        <v>-14112.271914700001</v>
      </c>
      <c r="O30" s="635">
        <v>-14112.271914700001</v>
      </c>
      <c r="P30" s="635">
        <v>-14112.271914700001</v>
      </c>
      <c r="Q30" s="635">
        <v>7369.6605196006794</v>
      </c>
      <c r="R30" s="635">
        <v>7369.6605196006794</v>
      </c>
      <c r="S30" s="635">
        <v>7369.6605196006794</v>
      </c>
      <c r="T30" s="635">
        <v>0</v>
      </c>
      <c r="U30" s="583" t="s">
        <v>251</v>
      </c>
      <c r="V30" s="583" t="s">
        <v>24</v>
      </c>
      <c r="W30" s="635"/>
      <c r="X30" s="635"/>
      <c r="Y30" s="636"/>
    </row>
    <row r="31" spans="1:25" s="583" customFormat="1">
      <c r="A31" s="583" t="s">
        <v>25</v>
      </c>
      <c r="B31" s="635" t="s">
        <v>548</v>
      </c>
      <c r="C31" s="635">
        <v>77873.209604699994</v>
      </c>
      <c r="D31" s="635">
        <v>77873.209604699994</v>
      </c>
      <c r="E31" s="635">
        <v>77873.209604699994</v>
      </c>
      <c r="F31" s="635">
        <v>77873.209604699994</v>
      </c>
      <c r="G31" s="635">
        <v>56543.384849999995</v>
      </c>
      <c r="H31" s="635">
        <v>56543.384849999995</v>
      </c>
      <c r="I31" s="635">
        <v>56543.384849999995</v>
      </c>
      <c r="J31" s="635">
        <v>56543.384849999995</v>
      </c>
      <c r="K31" s="635">
        <v>88240.647853200004</v>
      </c>
      <c r="L31" s="635">
        <v>88240.647853200004</v>
      </c>
      <c r="M31" s="635">
        <v>-17637.3861</v>
      </c>
      <c r="N31" s="635">
        <v>60174.611399999994</v>
      </c>
      <c r="O31" s="635">
        <v>60174.611399999994</v>
      </c>
      <c r="P31" s="635">
        <v>60174.611399999994</v>
      </c>
      <c r="Q31" s="635">
        <v>287612.83949999994</v>
      </c>
      <c r="R31" s="635">
        <v>287612.83949999994</v>
      </c>
      <c r="S31" s="635">
        <v>287612.83949999994</v>
      </c>
      <c r="T31" s="635">
        <v>179107.02109999998</v>
      </c>
      <c r="U31" s="583" t="s">
        <v>5</v>
      </c>
      <c r="V31" s="583" t="s">
        <v>26</v>
      </c>
      <c r="W31" s="635"/>
      <c r="X31" s="635"/>
      <c r="Y31" s="636"/>
    </row>
    <row r="32" spans="1:25" s="583" customFormat="1">
      <c r="A32" s="583" t="s">
        <v>27</v>
      </c>
      <c r="B32" s="635" t="s">
        <v>549</v>
      </c>
      <c r="C32" s="635">
        <v>0</v>
      </c>
      <c r="D32" s="635">
        <v>0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5">
        <v>10746.45935073</v>
      </c>
      <c r="N32" s="635">
        <v>0</v>
      </c>
      <c r="O32" s="635">
        <v>0</v>
      </c>
      <c r="P32" s="635">
        <v>0</v>
      </c>
      <c r="Q32" s="635">
        <v>36482.420390634747</v>
      </c>
      <c r="R32" s="635">
        <v>36482.420390634747</v>
      </c>
      <c r="S32" s="635">
        <v>36482.420390634747</v>
      </c>
      <c r="T32" s="635">
        <v>36596.138794175</v>
      </c>
      <c r="U32" s="583" t="s">
        <v>5</v>
      </c>
      <c r="V32" s="583" t="s">
        <v>24</v>
      </c>
      <c r="W32" s="635"/>
      <c r="X32" s="635"/>
      <c r="Y32" s="636"/>
    </row>
    <row r="33" spans="1:25" s="583" customFormat="1">
      <c r="A33" s="583" t="s">
        <v>30</v>
      </c>
      <c r="B33" s="635" t="s">
        <v>548</v>
      </c>
      <c r="C33" s="635">
        <v>948.26887619999991</v>
      </c>
      <c r="D33" s="635">
        <v>948.26887619999991</v>
      </c>
      <c r="E33" s="635">
        <v>948.26887619999991</v>
      </c>
      <c r="F33" s="635">
        <v>948.26887619999991</v>
      </c>
      <c r="G33" s="635">
        <v>129.68666249999998</v>
      </c>
      <c r="H33" s="635">
        <v>129.68666249999998</v>
      </c>
      <c r="I33" s="635">
        <v>129.68666249999998</v>
      </c>
      <c r="J33" s="635">
        <v>129.68666249999998</v>
      </c>
      <c r="K33" s="635">
        <v>-642.13116339999999</v>
      </c>
      <c r="L33" s="635">
        <v>-642.13116339999999</v>
      </c>
      <c r="M33" s="635">
        <v>-4106.3984813999996</v>
      </c>
      <c r="N33" s="635">
        <v>-3725.6384402999997</v>
      </c>
      <c r="O33" s="635">
        <v>-3725.6384402999997</v>
      </c>
      <c r="P33" s="635">
        <v>-3725.6384402999997</v>
      </c>
      <c r="Q33" s="635">
        <v>-4131.4494164999996</v>
      </c>
      <c r="R33" s="635">
        <v>-4131.4494164999996</v>
      </c>
      <c r="S33" s="635">
        <v>-4131.4494164999996</v>
      </c>
      <c r="T33" s="635">
        <v>6847.1496999999999</v>
      </c>
      <c r="U33" s="583" t="s">
        <v>5</v>
      </c>
      <c r="V33" s="583" t="s">
        <v>26</v>
      </c>
      <c r="W33" s="635"/>
      <c r="X33" s="635"/>
      <c r="Y33" s="636"/>
    </row>
    <row r="34" spans="1:25" s="583" customFormat="1">
      <c r="A34" s="583" t="s">
        <v>39</v>
      </c>
      <c r="B34" s="635" t="s">
        <v>548</v>
      </c>
      <c r="C34" s="635">
        <v>-405.6598803</v>
      </c>
      <c r="D34" s="635">
        <v>-405.6598803</v>
      </c>
      <c r="E34" s="635">
        <v>-405.6598803</v>
      </c>
      <c r="F34" s="635">
        <v>-405.6598803</v>
      </c>
      <c r="G34" s="635">
        <v>-1520.9651778</v>
      </c>
      <c r="H34" s="635">
        <v>-1520.9651778</v>
      </c>
      <c r="I34" s="635">
        <v>-1520.9651778</v>
      </c>
      <c r="J34" s="635">
        <v>-1520.9651778</v>
      </c>
      <c r="K34" s="635">
        <v>-1694.0229237999999</v>
      </c>
      <c r="L34" s="635">
        <v>-1694.0229237999999</v>
      </c>
      <c r="M34" s="635">
        <v>-1381.9410756</v>
      </c>
      <c r="N34" s="635">
        <v>-1145.3926031999999</v>
      </c>
      <c r="O34" s="635">
        <v>-1145.3926031999999</v>
      </c>
      <c r="P34" s="635">
        <v>-1145.3926031999999</v>
      </c>
      <c r="Q34" s="635">
        <v>113.17617149999998</v>
      </c>
      <c r="R34" s="635">
        <v>113.17617149999998</v>
      </c>
      <c r="S34" s="635">
        <v>113.17617149999998</v>
      </c>
      <c r="T34" s="635">
        <v>8421.9732999999997</v>
      </c>
      <c r="U34" s="583" t="s">
        <v>5</v>
      </c>
      <c r="V34" s="583" t="s">
        <v>26</v>
      </c>
      <c r="W34" s="635"/>
      <c r="X34" s="635"/>
      <c r="Y34" s="636"/>
    </row>
    <row r="35" spans="1:25" s="583" customFormat="1">
      <c r="A35" s="583" t="s">
        <v>31</v>
      </c>
      <c r="B35" s="635" t="s">
        <v>548</v>
      </c>
      <c r="C35" s="635">
        <v>809.24477400000001</v>
      </c>
      <c r="D35" s="635">
        <v>809.24477400000001</v>
      </c>
      <c r="E35" s="635">
        <v>809.24477400000001</v>
      </c>
      <c r="F35" s="635">
        <v>809.24477400000001</v>
      </c>
      <c r="G35" s="635">
        <v>1489.8403787999998</v>
      </c>
      <c r="H35" s="635">
        <v>1489.8403787999998</v>
      </c>
      <c r="I35" s="635">
        <v>1489.8403787999998</v>
      </c>
      <c r="J35" s="635">
        <v>1489.8403787999998</v>
      </c>
      <c r="K35" s="635">
        <v>1527.0065792</v>
      </c>
      <c r="L35" s="635">
        <v>1527.0065792</v>
      </c>
      <c r="M35" s="635">
        <v>-467.90947829999999</v>
      </c>
      <c r="N35" s="635">
        <v>641.17085939999993</v>
      </c>
      <c r="O35" s="635">
        <v>641.17085939999993</v>
      </c>
      <c r="P35" s="635">
        <v>641.17085939999993</v>
      </c>
      <c r="Q35" s="635">
        <v>646.86931049999998</v>
      </c>
      <c r="R35" s="635">
        <v>646.86931049999998</v>
      </c>
      <c r="S35" s="635">
        <v>646.86931049999998</v>
      </c>
      <c r="T35" s="635">
        <v>152.06629999999998</v>
      </c>
      <c r="U35" s="583" t="s">
        <v>5</v>
      </c>
      <c r="V35" s="583" t="s">
        <v>26</v>
      </c>
      <c r="W35" s="635"/>
      <c r="X35" s="635"/>
      <c r="Y35" s="636"/>
    </row>
    <row r="36" spans="1:25" s="583" customFormat="1">
      <c r="A36" s="583" t="s">
        <v>34</v>
      </c>
      <c r="B36" s="635" t="s">
        <v>548</v>
      </c>
      <c r="C36" s="635">
        <v>170.14890119999998</v>
      </c>
      <c r="D36" s="635">
        <v>170.14890119999998</v>
      </c>
      <c r="E36" s="635">
        <v>170.14890119999998</v>
      </c>
      <c r="F36" s="635">
        <v>170.14890119999998</v>
      </c>
      <c r="G36" s="635">
        <v>82.999463999999989</v>
      </c>
      <c r="H36" s="635">
        <v>82.999463999999989</v>
      </c>
      <c r="I36" s="635">
        <v>82.999463999999989</v>
      </c>
      <c r="J36" s="635">
        <v>82.999463999999989</v>
      </c>
      <c r="K36" s="635">
        <v>311.21057999999999</v>
      </c>
      <c r="L36" s="635">
        <v>311.21057999999999</v>
      </c>
      <c r="M36" s="635">
        <v>132.79914239999999</v>
      </c>
      <c r="N36" s="635">
        <v>161.8489548</v>
      </c>
      <c r="O36" s="635">
        <v>161.8489548</v>
      </c>
      <c r="P36" s="635">
        <v>161.8489548</v>
      </c>
      <c r="Q36" s="635">
        <v>97.601468999999994</v>
      </c>
      <c r="R36" s="635">
        <v>97.601468999999994</v>
      </c>
      <c r="S36" s="635">
        <v>97.601468999999994</v>
      </c>
      <c r="T36" s="635">
        <v>59.36835</v>
      </c>
      <c r="U36" s="583" t="s">
        <v>5</v>
      </c>
      <c r="V36" s="583" t="s">
        <v>26</v>
      </c>
      <c r="W36" s="635"/>
      <c r="X36" s="635"/>
      <c r="Y36" s="636"/>
    </row>
    <row r="37" spans="1:25" s="583" customFormat="1">
      <c r="A37" s="638" t="s">
        <v>42</v>
      </c>
      <c r="B37" s="635" t="s">
        <v>451</v>
      </c>
      <c r="C37" s="635">
        <v>-1100</v>
      </c>
      <c r="D37" s="635">
        <v>-1100</v>
      </c>
      <c r="E37" s="635">
        <v>-1100</v>
      </c>
      <c r="F37" s="635">
        <v>-1100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0</v>
      </c>
      <c r="N37" s="635">
        <v>0</v>
      </c>
      <c r="O37" s="635">
        <v>0</v>
      </c>
      <c r="P37" s="635">
        <v>0</v>
      </c>
      <c r="Q37" s="635">
        <v>0</v>
      </c>
      <c r="R37" s="635">
        <v>0</v>
      </c>
      <c r="S37" s="635">
        <v>0</v>
      </c>
      <c r="T37" s="635">
        <v>0</v>
      </c>
      <c r="U37" s="583" t="s">
        <v>3</v>
      </c>
      <c r="V37" s="583" t="s">
        <v>24</v>
      </c>
      <c r="W37" s="635"/>
      <c r="X37" s="635"/>
      <c r="Y37" s="636"/>
    </row>
    <row r="38" spans="1:25" s="583" customFormat="1">
      <c r="A38" s="638" t="s">
        <v>50</v>
      </c>
      <c r="B38" s="635" t="s">
        <v>550</v>
      </c>
      <c r="C38" s="635">
        <v>5978.5056403103417</v>
      </c>
      <c r="D38" s="635">
        <v>5978.5056403103417</v>
      </c>
      <c r="E38" s="635">
        <v>5978.5056403103417</v>
      </c>
      <c r="F38" s="635">
        <v>5978.5056403103417</v>
      </c>
      <c r="G38" s="635">
        <v>1527.3080934</v>
      </c>
      <c r="H38" s="635">
        <v>1527.3080934</v>
      </c>
      <c r="I38" s="635">
        <v>1527.3080934</v>
      </c>
      <c r="J38" s="635">
        <v>1527.3080934</v>
      </c>
      <c r="K38" s="635">
        <v>1457.2959840000001</v>
      </c>
      <c r="L38" s="635">
        <v>1457.2959840000001</v>
      </c>
      <c r="M38" s="635">
        <v>1540.4658171999999</v>
      </c>
      <c r="N38" s="635">
        <v>1540.4658171999999</v>
      </c>
      <c r="O38" s="635">
        <v>1540.4658171999999</v>
      </c>
      <c r="P38" s="635">
        <v>1540.4658171999999</v>
      </c>
      <c r="Q38" s="635">
        <v>1595.085975</v>
      </c>
      <c r="R38" s="635">
        <v>1595.085975</v>
      </c>
      <c r="S38" s="635">
        <v>1595.085975</v>
      </c>
      <c r="T38" s="635">
        <v>1420.24218</v>
      </c>
      <c r="U38" s="583" t="s">
        <v>3</v>
      </c>
      <c r="V38" s="583" t="s">
        <v>24</v>
      </c>
      <c r="W38" s="635"/>
      <c r="X38" s="635"/>
      <c r="Y38" s="636"/>
    </row>
    <row r="39" spans="1:25" s="583" customFormat="1">
      <c r="A39" s="638" t="s">
        <v>51</v>
      </c>
      <c r="B39" s="635" t="s">
        <v>451</v>
      </c>
      <c r="C39" s="635">
        <v>0</v>
      </c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5">
        <v>0</v>
      </c>
      <c r="N39" s="635">
        <v>0</v>
      </c>
      <c r="O39" s="635">
        <v>0</v>
      </c>
      <c r="P39" s="635">
        <v>0</v>
      </c>
      <c r="Q39" s="635">
        <v>0</v>
      </c>
      <c r="R39" s="635">
        <v>0</v>
      </c>
      <c r="S39" s="635">
        <v>0</v>
      </c>
      <c r="T39" s="635">
        <v>0</v>
      </c>
      <c r="U39" s="583" t="s">
        <v>3</v>
      </c>
      <c r="V39" s="583" t="s">
        <v>24</v>
      </c>
      <c r="W39" s="635"/>
      <c r="X39" s="635"/>
      <c r="Y39" s="636"/>
    </row>
    <row r="40" spans="1:25" s="583" customFormat="1">
      <c r="A40" s="638" t="s">
        <v>52</v>
      </c>
      <c r="B40" s="635" t="s">
        <v>548</v>
      </c>
      <c r="C40" s="635">
        <v>466.99606976938986</v>
      </c>
      <c r="D40" s="635">
        <v>466.99606976938986</v>
      </c>
      <c r="E40" s="635">
        <v>466.99606976938986</v>
      </c>
      <c r="F40" s="635">
        <v>466.99606976938986</v>
      </c>
      <c r="G40" s="635">
        <v>2754.9338452659995</v>
      </c>
      <c r="H40" s="635">
        <v>2754.9338452659995</v>
      </c>
      <c r="I40" s="635">
        <v>2754.9338452659995</v>
      </c>
      <c r="J40" s="635">
        <v>2754.9338452659995</v>
      </c>
      <c r="K40" s="635">
        <v>-18223.289949766604</v>
      </c>
      <c r="L40" s="635">
        <v>-18223.289949766604</v>
      </c>
      <c r="M40" s="635">
        <v>-82533.698187948947</v>
      </c>
      <c r="N40" s="635">
        <v>-48774.079285199696</v>
      </c>
      <c r="O40" s="635">
        <v>-48774.079285199696</v>
      </c>
      <c r="P40" s="635">
        <v>-48774.079285199696</v>
      </c>
      <c r="Q40" s="635">
        <v>2182.475535031163</v>
      </c>
      <c r="R40" s="635">
        <v>2182.475535031163</v>
      </c>
      <c r="S40" s="635">
        <v>2182.475535031163</v>
      </c>
      <c r="T40" s="635">
        <v>-25129.549760000002</v>
      </c>
      <c r="U40" s="583" t="s">
        <v>3</v>
      </c>
      <c r="V40" s="583" t="s">
        <v>26</v>
      </c>
      <c r="W40" s="635"/>
      <c r="X40" s="635"/>
      <c r="Y40" s="636"/>
    </row>
    <row r="41" spans="1:25" s="583" customFormat="1">
      <c r="A41" s="638" t="s">
        <v>56</v>
      </c>
      <c r="B41" s="635" t="s">
        <v>542</v>
      </c>
      <c r="C41" s="635">
        <v>18724.668751262619</v>
      </c>
      <c r="D41" s="635">
        <v>18724.668751262619</v>
      </c>
      <c r="E41" s="635">
        <v>18724.668751262619</v>
      </c>
      <c r="F41" s="635">
        <v>18724.668751262619</v>
      </c>
      <c r="G41" s="635">
        <v>18724.668751262619</v>
      </c>
      <c r="H41" s="635">
        <v>11401.226441231669</v>
      </c>
      <c r="I41" s="635">
        <v>11401.226441231669</v>
      </c>
      <c r="J41" s="635">
        <v>11401.226441231669</v>
      </c>
      <c r="K41" s="635">
        <v>9575.3765038420588</v>
      </c>
      <c r="L41" s="635">
        <v>9575.3765038420588</v>
      </c>
      <c r="M41" s="635">
        <v>10765.967043677038</v>
      </c>
      <c r="N41" s="635">
        <v>4978.0553645074278</v>
      </c>
      <c r="O41" s="635">
        <v>4978.0553645074278</v>
      </c>
      <c r="P41" s="635">
        <v>4978.0553645074278</v>
      </c>
      <c r="Q41" s="635">
        <v>2311.0350881632939</v>
      </c>
      <c r="R41" s="635">
        <v>2311.0350881632939</v>
      </c>
      <c r="S41" s="635">
        <v>2311.0350881632939</v>
      </c>
      <c r="T41" s="635">
        <v>556.89772626709453</v>
      </c>
      <c r="U41" s="583" t="s">
        <v>14</v>
      </c>
      <c r="V41" s="583" t="s">
        <v>24</v>
      </c>
      <c r="W41" s="635"/>
      <c r="X41" s="635"/>
      <c r="Y41" s="636"/>
    </row>
    <row r="42" spans="1:25" s="583" customFormat="1">
      <c r="A42" s="638" t="s">
        <v>57</v>
      </c>
      <c r="B42" s="635" t="s">
        <v>548</v>
      </c>
      <c r="C42" s="635">
        <v>-1680.1401159999998</v>
      </c>
      <c r="D42" s="635">
        <v>-1680.1401159999998</v>
      </c>
      <c r="E42" s="635">
        <v>-1680.1401159999998</v>
      </c>
      <c r="F42" s="635">
        <v>-1680.1401159999998</v>
      </c>
      <c r="G42" s="635">
        <v>2244.9101068</v>
      </c>
      <c r="H42" s="635">
        <v>2244.9101068</v>
      </c>
      <c r="I42" s="635">
        <v>2244.9101068</v>
      </c>
      <c r="J42" s="635">
        <v>2244.9101068</v>
      </c>
      <c r="K42" s="635">
        <v>9746.6789041000011</v>
      </c>
      <c r="L42" s="635">
        <v>9746.6789041000011</v>
      </c>
      <c r="M42" s="635">
        <v>15866.190637599999</v>
      </c>
      <c r="N42" s="635">
        <v>4920.9887011999999</v>
      </c>
      <c r="O42" s="635">
        <v>4920.9887011999999</v>
      </c>
      <c r="P42" s="635">
        <v>4920.9887011999999</v>
      </c>
      <c r="Q42" s="635">
        <v>3351.1996770000001</v>
      </c>
      <c r="R42" s="635">
        <v>3351.1996770000001</v>
      </c>
      <c r="S42" s="635">
        <v>3351.1996770000001</v>
      </c>
      <c r="T42" s="635">
        <v>-1871.3062200000002</v>
      </c>
      <c r="U42" s="583" t="s">
        <v>14</v>
      </c>
      <c r="V42" s="583" t="s">
        <v>26</v>
      </c>
      <c r="W42" s="635"/>
      <c r="X42" s="635"/>
      <c r="Y42" s="636"/>
    </row>
    <row r="43" spans="1:25" s="583" customFormat="1">
      <c r="A43" s="638" t="s">
        <v>58</v>
      </c>
      <c r="B43" s="635" t="s">
        <v>542</v>
      </c>
      <c r="C43" s="635">
        <v>132913.61422435864</v>
      </c>
      <c r="D43" s="635">
        <v>132913.61422435864</v>
      </c>
      <c r="E43" s="635">
        <v>132913.61422435864</v>
      </c>
      <c r="F43" s="635">
        <v>132913.61422435864</v>
      </c>
      <c r="G43" s="635">
        <v>132913.61422435864</v>
      </c>
      <c r="H43" s="635">
        <v>124438.99750989386</v>
      </c>
      <c r="I43" s="635">
        <v>124438.99750989386</v>
      </c>
      <c r="J43" s="635">
        <v>124438.99750989386</v>
      </c>
      <c r="K43" s="635">
        <v>146823.98913219353</v>
      </c>
      <c r="L43" s="635">
        <v>146823.98913219353</v>
      </c>
      <c r="M43" s="635">
        <v>189848.65786940834</v>
      </c>
      <c r="N43" s="635">
        <v>207539.6836296336</v>
      </c>
      <c r="O43" s="635">
        <v>207539.6836296336</v>
      </c>
      <c r="P43" s="635">
        <v>207539.6836296336</v>
      </c>
      <c r="Q43" s="635">
        <v>194547.97944908033</v>
      </c>
      <c r="R43" s="635">
        <v>194547.97944908033</v>
      </c>
      <c r="S43" s="635">
        <v>194547.97944908033</v>
      </c>
      <c r="T43" s="635">
        <v>251070.6757248409</v>
      </c>
      <c r="U43" s="583" t="s">
        <v>59</v>
      </c>
      <c r="V43" s="583" t="s">
        <v>24</v>
      </c>
      <c r="W43" s="635"/>
      <c r="X43" s="635"/>
      <c r="Y43" s="636"/>
    </row>
    <row r="44" spans="1:25" s="583" customFormat="1">
      <c r="A44" s="638" t="s">
        <v>60</v>
      </c>
      <c r="B44" s="635" t="s">
        <v>551</v>
      </c>
      <c r="C44" s="635">
        <v>14420.433000000001</v>
      </c>
      <c r="D44" s="635">
        <v>14420.433000000001</v>
      </c>
      <c r="E44" s="635">
        <v>14420.433000000001</v>
      </c>
      <c r="F44" s="635">
        <v>14420.433000000001</v>
      </c>
      <c r="G44" s="635">
        <v>14420.433000000001</v>
      </c>
      <c r="H44" s="635">
        <v>0</v>
      </c>
      <c r="I44" s="635">
        <v>0</v>
      </c>
      <c r="J44" s="635">
        <v>0</v>
      </c>
      <c r="K44" s="635">
        <v>-91971.658124724228</v>
      </c>
      <c r="L44" s="635">
        <v>-91971.658124724228</v>
      </c>
      <c r="M44" s="635">
        <v>400.31599999999997</v>
      </c>
      <c r="N44" s="635">
        <v>161229.56037695956</v>
      </c>
      <c r="O44" s="635">
        <v>161229.56037695956</v>
      </c>
      <c r="P44" s="635">
        <v>161229.56037695956</v>
      </c>
      <c r="Q44" s="635">
        <v>-83519.87394803045</v>
      </c>
      <c r="R44" s="635">
        <v>-83519.87394803045</v>
      </c>
      <c r="S44" s="635">
        <v>-83519.87394803045</v>
      </c>
      <c r="T44" s="635">
        <v>-79665.630380000002</v>
      </c>
      <c r="U44" s="583" t="s">
        <v>59</v>
      </c>
      <c r="V44" s="583" t="s">
        <v>26</v>
      </c>
      <c r="W44" s="635"/>
      <c r="X44" s="635"/>
      <c r="Y44" s="636"/>
    </row>
    <row r="45" spans="1:25" s="583" customFormat="1">
      <c r="A45" s="583" t="s">
        <v>79</v>
      </c>
      <c r="B45" s="635" t="s">
        <v>451</v>
      </c>
      <c r="C45" s="635">
        <v>1072.8605559999999</v>
      </c>
      <c r="D45" s="635">
        <v>1072.8605559999999</v>
      </c>
      <c r="E45" s="635">
        <v>1072.8605559999999</v>
      </c>
      <c r="F45" s="635">
        <v>1072.8605559999999</v>
      </c>
      <c r="G45" s="635">
        <v>1072.8605559999999</v>
      </c>
      <c r="H45" s="635">
        <v>1072.8605559999999</v>
      </c>
      <c r="I45" s="635">
        <v>1072.8605559999999</v>
      </c>
      <c r="J45" s="635">
        <v>1072.8605559999999</v>
      </c>
      <c r="K45" s="635">
        <v>1188.2224727319999</v>
      </c>
      <c r="L45" s="635">
        <v>1188.2224727319999</v>
      </c>
      <c r="M45" s="635">
        <v>1342.6576582538</v>
      </c>
      <c r="N45" s="635">
        <v>1301.010426029</v>
      </c>
      <c r="O45" s="635">
        <v>1301.010426029</v>
      </c>
      <c r="P45" s="635">
        <v>1301.010426029</v>
      </c>
      <c r="Q45" s="635">
        <v>0</v>
      </c>
      <c r="R45" s="635">
        <v>0</v>
      </c>
      <c r="S45" s="635">
        <v>0</v>
      </c>
      <c r="T45" s="635">
        <v>0</v>
      </c>
      <c r="U45" s="583" t="s">
        <v>80</v>
      </c>
      <c r="V45" s="583" t="s">
        <v>24</v>
      </c>
      <c r="W45" s="635"/>
      <c r="X45" s="635"/>
      <c r="Y45" s="636"/>
    </row>
    <row r="46" spans="1:25" s="583" customFormat="1">
      <c r="A46" s="583" t="s">
        <v>81</v>
      </c>
      <c r="B46" s="635" t="s">
        <v>548</v>
      </c>
      <c r="C46" s="635">
        <v>-25.303314999999998</v>
      </c>
      <c r="D46" s="635">
        <v>-25.303314999999998</v>
      </c>
      <c r="E46" s="635">
        <v>-25.303314999999998</v>
      </c>
      <c r="F46" s="635">
        <v>-25.303314999999998</v>
      </c>
      <c r="G46" s="635">
        <v>179.14747019999999</v>
      </c>
      <c r="H46" s="635">
        <v>179.14747019999999</v>
      </c>
      <c r="I46" s="635">
        <v>179.14747019999999</v>
      </c>
      <c r="J46" s="635">
        <v>179.14747019999999</v>
      </c>
      <c r="K46" s="635">
        <v>170.01786480000001</v>
      </c>
      <c r="L46" s="635">
        <v>170.01786480000001</v>
      </c>
      <c r="M46" s="635">
        <v>21.254784599999997</v>
      </c>
      <c r="N46" s="635">
        <v>141.698564</v>
      </c>
      <c r="O46" s="635">
        <v>141.698564</v>
      </c>
      <c r="P46" s="635">
        <v>141.698564</v>
      </c>
      <c r="Q46" s="635">
        <v>211.66537700000001</v>
      </c>
      <c r="R46" s="635">
        <v>211.66537700000001</v>
      </c>
      <c r="S46" s="635">
        <v>211.66537700000001</v>
      </c>
      <c r="T46" s="635">
        <v>-64.002330000000001</v>
      </c>
      <c r="U46" s="583" t="s">
        <v>80</v>
      </c>
      <c r="V46" s="583" t="s">
        <v>26</v>
      </c>
      <c r="W46" s="635"/>
      <c r="X46" s="635"/>
      <c r="Y46" s="636"/>
    </row>
    <row r="47" spans="1:25" s="583" customFormat="1">
      <c r="A47" s="583" t="s">
        <v>82</v>
      </c>
      <c r="B47" s="635" t="s">
        <v>451</v>
      </c>
      <c r="C47" s="635">
        <v>89235.037634656328</v>
      </c>
      <c r="D47" s="635">
        <v>89234.737495486523</v>
      </c>
      <c r="E47" s="635">
        <v>89234.737495486523</v>
      </c>
      <c r="F47" s="635">
        <v>66926.053121614896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-48518.545714285719</v>
      </c>
      <c r="M47" s="635">
        <v>0</v>
      </c>
      <c r="N47" s="635">
        <v>0</v>
      </c>
      <c r="O47" s="635">
        <v>0</v>
      </c>
      <c r="P47" s="635">
        <v>0</v>
      </c>
      <c r="Q47" s="635">
        <v>0</v>
      </c>
      <c r="R47" s="635">
        <v>0</v>
      </c>
      <c r="S47" s="635">
        <v>0</v>
      </c>
      <c r="T47" s="635">
        <v>0</v>
      </c>
      <c r="U47" s="583" t="s">
        <v>97</v>
      </c>
      <c r="V47" s="583" t="s">
        <v>24</v>
      </c>
      <c r="W47" s="635"/>
      <c r="X47" s="635"/>
      <c r="Y47" s="636"/>
    </row>
    <row r="48" spans="1:25" s="583" customFormat="1">
      <c r="A48" s="583" t="s">
        <v>221</v>
      </c>
      <c r="B48" s="635" t="s">
        <v>552</v>
      </c>
      <c r="C48" s="635">
        <v>0</v>
      </c>
      <c r="D48" s="635">
        <v>0</v>
      </c>
      <c r="E48" s="635">
        <v>0</v>
      </c>
      <c r="F48" s="635">
        <v>22308.684373871631</v>
      </c>
      <c r="G48" s="635">
        <v>89234.737495486523</v>
      </c>
      <c r="H48" s="635">
        <v>90159.118373967591</v>
      </c>
      <c r="I48" s="635">
        <v>90159.118373967591</v>
      </c>
      <c r="J48" s="635">
        <v>90159.118373967591</v>
      </c>
      <c r="K48" s="635">
        <v>92132.448620537703</v>
      </c>
      <c r="L48" s="635">
        <v>92132.448620537703</v>
      </c>
      <c r="M48" s="635">
        <v>75464.804373230654</v>
      </c>
      <c r="N48" s="635">
        <v>84674.29105918284</v>
      </c>
      <c r="O48" s="635">
        <v>84674.29105918284</v>
      </c>
      <c r="P48" s="635">
        <v>84674.29105918284</v>
      </c>
      <c r="Q48" s="635">
        <v>91816.684925380512</v>
      </c>
      <c r="R48" s="635">
        <v>91816.684925380512</v>
      </c>
      <c r="S48" s="635">
        <v>91816.684925380512</v>
      </c>
      <c r="T48" s="635">
        <v>88541.557594423386</v>
      </c>
      <c r="U48" s="583" t="s">
        <v>221</v>
      </c>
      <c r="V48" s="583" t="s">
        <v>24</v>
      </c>
      <c r="W48" s="635"/>
      <c r="X48" s="635"/>
      <c r="Y48" s="636"/>
    </row>
    <row r="49" spans="1:25" s="583" customFormat="1">
      <c r="A49" s="583" t="s">
        <v>339</v>
      </c>
      <c r="B49" s="635" t="s">
        <v>451</v>
      </c>
      <c r="C49" s="635">
        <v>0</v>
      </c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49157.3050858653</v>
      </c>
      <c r="N49" s="635">
        <v>0</v>
      </c>
      <c r="O49" s="635">
        <v>0</v>
      </c>
      <c r="P49" s="635">
        <v>0</v>
      </c>
      <c r="Q49" s="635">
        <v>0</v>
      </c>
      <c r="R49" s="635">
        <v>0</v>
      </c>
      <c r="S49" s="635">
        <v>0</v>
      </c>
      <c r="T49" s="635">
        <v>0</v>
      </c>
      <c r="U49" s="583" t="s">
        <v>5</v>
      </c>
      <c r="V49" s="583" t="s">
        <v>24</v>
      </c>
      <c r="W49" s="635"/>
      <c r="X49" s="635"/>
      <c r="Y49" s="636"/>
    </row>
    <row r="50" spans="1:25" s="583" customFormat="1">
      <c r="A50" s="583" t="s">
        <v>340</v>
      </c>
      <c r="B50" s="635" t="s">
        <v>451</v>
      </c>
      <c r="C50" s="635">
        <v>0</v>
      </c>
      <c r="D50" s="635">
        <v>0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0</v>
      </c>
      <c r="M50" s="635">
        <v>20399.187039640197</v>
      </c>
      <c r="N50" s="635">
        <v>0</v>
      </c>
      <c r="O50" s="635">
        <v>0</v>
      </c>
      <c r="P50" s="635">
        <v>0</v>
      </c>
      <c r="Q50" s="635">
        <v>0</v>
      </c>
      <c r="R50" s="635">
        <v>0</v>
      </c>
      <c r="S50" s="635">
        <v>0</v>
      </c>
      <c r="T50" s="635">
        <v>0</v>
      </c>
      <c r="U50" s="583" t="s">
        <v>5</v>
      </c>
      <c r="V50" s="583" t="s">
        <v>24</v>
      </c>
      <c r="W50" s="635"/>
      <c r="X50" s="635"/>
      <c r="Y50" s="636"/>
    </row>
    <row r="51" spans="1:25" s="583" customFormat="1">
      <c r="A51" s="583" t="s">
        <v>341</v>
      </c>
      <c r="B51" s="635" t="s">
        <v>451</v>
      </c>
      <c r="C51" s="635">
        <v>0</v>
      </c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635">
        <v>5846.3905841522819</v>
      </c>
      <c r="N51" s="635">
        <v>0</v>
      </c>
      <c r="O51" s="635">
        <v>0</v>
      </c>
      <c r="P51" s="635">
        <v>0</v>
      </c>
      <c r="Q51" s="635">
        <v>0</v>
      </c>
      <c r="R51" s="635">
        <v>0</v>
      </c>
      <c r="S51" s="635">
        <v>0</v>
      </c>
      <c r="T51" s="635">
        <v>0</v>
      </c>
      <c r="U51" s="583" t="s">
        <v>3</v>
      </c>
      <c r="V51" s="583" t="s">
        <v>24</v>
      </c>
      <c r="W51" s="635"/>
      <c r="X51" s="635"/>
      <c r="Y51" s="636"/>
    </row>
    <row r="52" spans="1:25" s="583" customFormat="1">
      <c r="A52" s="583" t="s">
        <v>341</v>
      </c>
      <c r="B52" s="635" t="s">
        <v>451</v>
      </c>
      <c r="C52" s="635">
        <v>0</v>
      </c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45706.503939637616</v>
      </c>
      <c r="N52" s="635">
        <v>0</v>
      </c>
      <c r="O52" s="635">
        <v>0</v>
      </c>
      <c r="P52" s="635">
        <v>0</v>
      </c>
      <c r="Q52" s="635">
        <v>0</v>
      </c>
      <c r="R52" s="635">
        <v>0</v>
      </c>
      <c r="S52" s="635">
        <v>0</v>
      </c>
      <c r="T52" s="635">
        <v>0</v>
      </c>
      <c r="U52" s="583" t="s">
        <v>5</v>
      </c>
      <c r="V52" s="583" t="s">
        <v>24</v>
      </c>
      <c r="W52" s="635"/>
      <c r="X52" s="635"/>
      <c r="Y52" s="636"/>
    </row>
    <row r="53" spans="1:25" s="583" customFormat="1">
      <c r="A53" s="583" t="s">
        <v>372</v>
      </c>
      <c r="B53" s="635" t="s">
        <v>553</v>
      </c>
      <c r="C53" s="635">
        <v>0</v>
      </c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635">
        <v>0</v>
      </c>
      <c r="N53" s="635">
        <v>5509.0894229999994</v>
      </c>
      <c r="O53" s="635">
        <v>5509.0894229999994</v>
      </c>
      <c r="P53" s="635">
        <v>5509.0894229999994</v>
      </c>
      <c r="Q53" s="635">
        <v>5814.5555999999997</v>
      </c>
      <c r="R53" s="635">
        <v>5814.5555999999997</v>
      </c>
      <c r="S53" s="635">
        <v>5814.5555999999997</v>
      </c>
      <c r="T53" s="635">
        <v>5770.1869999999999</v>
      </c>
      <c r="U53" s="583" t="s">
        <v>5</v>
      </c>
      <c r="V53" s="583" t="s">
        <v>24</v>
      </c>
      <c r="W53" s="635"/>
      <c r="X53" s="635"/>
      <c r="Y53" s="636"/>
    </row>
    <row r="54" spans="1:25" s="583" customFormat="1">
      <c r="A54" s="583" t="s">
        <v>373</v>
      </c>
      <c r="B54" s="635" t="s">
        <v>542</v>
      </c>
      <c r="C54" s="635">
        <v>0</v>
      </c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5">
        <v>0</v>
      </c>
      <c r="N54" s="635">
        <v>646.63774141190402</v>
      </c>
      <c r="O54" s="635">
        <v>646.63774141190402</v>
      </c>
      <c r="P54" s="635">
        <v>646.63774141190402</v>
      </c>
      <c r="Q54" s="635">
        <v>80.182302790146849</v>
      </c>
      <c r="R54" s="635">
        <v>80.182302790146849</v>
      </c>
      <c r="S54" s="635">
        <v>80.182302790146849</v>
      </c>
      <c r="T54" s="635">
        <v>313.03090980522069</v>
      </c>
      <c r="U54" s="583" t="s">
        <v>373</v>
      </c>
      <c r="V54" s="583" t="s">
        <v>24</v>
      </c>
      <c r="W54" s="635"/>
      <c r="X54" s="635"/>
      <c r="Y54" s="636"/>
    </row>
    <row r="55" spans="1:25" s="583" customFormat="1">
      <c r="A55" s="583" t="s">
        <v>377</v>
      </c>
      <c r="B55" s="635" t="s">
        <v>554</v>
      </c>
      <c r="C55" s="635">
        <v>0</v>
      </c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5">
        <v>0</v>
      </c>
      <c r="N55" s="635">
        <v>0</v>
      </c>
      <c r="O55" s="635">
        <v>241288.05862842887</v>
      </c>
      <c r="P55" s="635">
        <v>241288.05862842887</v>
      </c>
      <c r="Q55" s="635">
        <v>99794.80313630063</v>
      </c>
      <c r="R55" s="635">
        <v>99794.80313630063</v>
      </c>
      <c r="S55" s="635">
        <v>99794.80313630063</v>
      </c>
      <c r="T55" s="635">
        <v>0</v>
      </c>
      <c r="U55" s="583" t="s">
        <v>5</v>
      </c>
      <c r="V55" s="583" t="s">
        <v>24</v>
      </c>
      <c r="W55" s="635"/>
      <c r="X55" s="635"/>
      <c r="Y55" s="636"/>
    </row>
    <row r="56" spans="1:25" s="583" customFormat="1">
      <c r="A56" s="583" t="s">
        <v>428</v>
      </c>
      <c r="B56" s="635" t="s">
        <v>555</v>
      </c>
      <c r="C56" s="635">
        <v>0</v>
      </c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5">
        <v>0</v>
      </c>
      <c r="N56" s="635">
        <v>0</v>
      </c>
      <c r="O56" s="635">
        <v>0</v>
      </c>
      <c r="P56" s="635">
        <v>30408.928623</v>
      </c>
      <c r="Q56" s="635">
        <v>31070.493173999996</v>
      </c>
      <c r="R56" s="635">
        <v>31070.493173999996</v>
      </c>
      <c r="S56" s="635">
        <v>637.5244889999999</v>
      </c>
      <c r="T56" s="635">
        <v>619.72225000000003</v>
      </c>
      <c r="U56" s="583" t="s">
        <v>5</v>
      </c>
      <c r="V56" s="583" t="s">
        <v>24</v>
      </c>
      <c r="W56" s="635"/>
      <c r="X56" s="635"/>
      <c r="Y56" s="636"/>
    </row>
    <row r="57" spans="1:25" s="583" customFormat="1">
      <c r="A57" s="583" t="s">
        <v>470</v>
      </c>
      <c r="B57" s="635" t="s">
        <v>556</v>
      </c>
      <c r="C57" s="635"/>
      <c r="D57" s="635"/>
      <c r="E57" s="635"/>
      <c r="F57" s="635"/>
      <c r="G57" s="635"/>
      <c r="H57" s="635"/>
      <c r="I57" s="635"/>
      <c r="J57" s="635"/>
      <c r="K57" s="635"/>
      <c r="L57" s="635"/>
      <c r="M57" s="635"/>
      <c r="N57" s="635"/>
      <c r="O57" s="635"/>
      <c r="P57" s="635"/>
      <c r="Q57" s="635"/>
      <c r="R57" s="635"/>
      <c r="S57" s="635"/>
      <c r="T57" s="635">
        <v>-202.88650119643737</v>
      </c>
      <c r="U57" s="583" t="s">
        <v>5</v>
      </c>
      <c r="V57" s="583" t="s">
        <v>24</v>
      </c>
      <c r="W57" s="635"/>
      <c r="X57" s="635"/>
      <c r="Y57" s="636"/>
    </row>
    <row r="58" spans="1:25" s="583" customFormat="1">
      <c r="A58" s="583" t="s">
        <v>480</v>
      </c>
      <c r="B58" s="635" t="s">
        <v>557</v>
      </c>
      <c r="C58" s="635"/>
      <c r="D58" s="635"/>
      <c r="E58" s="635"/>
      <c r="F58" s="635"/>
      <c r="G58" s="635"/>
      <c r="H58" s="635"/>
      <c r="I58" s="635"/>
      <c r="J58" s="635"/>
      <c r="K58" s="635"/>
      <c r="L58" s="635"/>
      <c r="M58" s="635"/>
      <c r="N58" s="635"/>
      <c r="O58" s="635"/>
      <c r="P58" s="635"/>
      <c r="Q58" s="635"/>
      <c r="R58" s="635"/>
      <c r="S58" s="635"/>
      <c r="T58" s="635">
        <v>6151.3942999999999</v>
      </c>
      <c r="U58" s="583" t="s">
        <v>5</v>
      </c>
      <c r="V58" s="583" t="s">
        <v>24</v>
      </c>
      <c r="W58" s="635"/>
      <c r="X58" s="635"/>
      <c r="Y58" s="636"/>
    </row>
    <row r="59" spans="1:25" s="583" customFormat="1">
      <c r="A59" s="583" t="s">
        <v>481</v>
      </c>
      <c r="B59" s="635" t="s">
        <v>548</v>
      </c>
      <c r="C59" s="635"/>
      <c r="D59" s="635"/>
      <c r="E59" s="635"/>
      <c r="F59" s="635"/>
      <c r="G59" s="635"/>
      <c r="H59" s="635"/>
      <c r="I59" s="635"/>
      <c r="J59" s="635"/>
      <c r="K59" s="635"/>
      <c r="L59" s="635"/>
      <c r="M59" s="635"/>
      <c r="N59" s="635"/>
      <c r="O59" s="635"/>
      <c r="P59" s="635"/>
      <c r="Q59" s="635"/>
      <c r="R59" s="635"/>
      <c r="S59" s="635"/>
      <c r="T59" s="635">
        <v>5045.2681999999995</v>
      </c>
      <c r="U59" s="583" t="s">
        <v>5</v>
      </c>
      <c r="V59" s="583" t="s">
        <v>26</v>
      </c>
      <c r="W59" s="635"/>
      <c r="X59" s="635"/>
      <c r="Y59" s="636"/>
    </row>
    <row r="60" spans="1:25" s="583" customFormat="1">
      <c r="A60" s="583" t="s">
        <v>482</v>
      </c>
      <c r="B60" s="635" t="s">
        <v>548</v>
      </c>
      <c r="C60" s="635"/>
      <c r="D60" s="635"/>
      <c r="E60" s="635"/>
      <c r="F60" s="635"/>
      <c r="G60" s="635"/>
      <c r="H60" s="635"/>
      <c r="I60" s="635"/>
      <c r="J60" s="635"/>
      <c r="K60" s="635"/>
      <c r="L60" s="635"/>
      <c r="M60" s="635"/>
      <c r="N60" s="635"/>
      <c r="O60" s="635"/>
      <c r="P60" s="635"/>
      <c r="Q60" s="635"/>
      <c r="R60" s="635"/>
      <c r="S60" s="635"/>
      <c r="T60" s="635">
        <v>229.14099999999999</v>
      </c>
      <c r="U60" s="583" t="s">
        <v>5</v>
      </c>
      <c r="V60" s="583" t="s">
        <v>26</v>
      </c>
      <c r="W60" s="635"/>
      <c r="X60" s="635"/>
      <c r="Y60" s="636"/>
    </row>
    <row r="61" spans="1:25" s="583" customFormat="1">
      <c r="A61" s="583" t="s">
        <v>483</v>
      </c>
      <c r="B61" s="635" t="s">
        <v>548</v>
      </c>
      <c r="C61" s="635"/>
      <c r="D61" s="635"/>
      <c r="E61" s="635"/>
      <c r="F61" s="635"/>
      <c r="G61" s="635"/>
      <c r="H61" s="635"/>
      <c r="I61" s="635"/>
      <c r="J61" s="635"/>
      <c r="K61" s="635"/>
      <c r="L61" s="635"/>
      <c r="M61" s="635"/>
      <c r="N61" s="635"/>
      <c r="O61" s="635"/>
      <c r="P61" s="635"/>
      <c r="Q61" s="635"/>
      <c r="R61" s="635"/>
      <c r="S61" s="635"/>
      <c r="T61" s="635">
        <v>-41662</v>
      </c>
      <c r="U61" s="583" t="s">
        <v>5</v>
      </c>
      <c r="V61" s="583" t="s">
        <v>26</v>
      </c>
      <c r="W61" s="635"/>
      <c r="X61" s="635"/>
      <c r="Y61" s="636"/>
    </row>
    <row r="62" spans="1:25" s="583" customFormat="1">
      <c r="B62" s="635"/>
      <c r="C62" s="635"/>
      <c r="D62" s="635"/>
      <c r="E62" s="635"/>
      <c r="F62" s="635"/>
      <c r="G62" s="635"/>
      <c r="H62" s="635"/>
      <c r="I62" s="635"/>
      <c r="J62" s="635"/>
      <c r="K62" s="635"/>
      <c r="L62" s="635"/>
      <c r="M62" s="635"/>
      <c r="N62" s="635"/>
      <c r="O62" s="635"/>
      <c r="P62" s="635"/>
      <c r="Q62" s="635"/>
      <c r="R62" s="635"/>
      <c r="S62" s="635"/>
      <c r="T62" s="635"/>
      <c r="W62" s="635"/>
      <c r="X62" s="635"/>
      <c r="Y62" s="633"/>
    </row>
    <row r="63" spans="1:25" s="583" customFormat="1">
      <c r="B63" s="635"/>
      <c r="C63" s="635"/>
      <c r="D63" s="635"/>
      <c r="E63" s="635"/>
      <c r="F63" s="635"/>
      <c r="G63" s="635"/>
      <c r="H63" s="635"/>
      <c r="I63" s="635"/>
      <c r="J63" s="635"/>
      <c r="K63" s="635"/>
      <c r="L63" s="635"/>
      <c r="M63" s="635"/>
      <c r="N63" s="635"/>
      <c r="O63" s="635"/>
      <c r="P63" s="635"/>
      <c r="Q63" s="635"/>
      <c r="R63" s="635"/>
      <c r="S63" s="635"/>
      <c r="T63" s="635"/>
      <c r="W63" s="635"/>
      <c r="X63" s="635"/>
      <c r="Y63" s="633"/>
    </row>
    <row r="64" spans="1:25" s="583" customFormat="1">
      <c r="B64" s="635"/>
      <c r="C64" s="635"/>
      <c r="D64" s="635"/>
      <c r="E64" s="635"/>
      <c r="F64" s="635"/>
      <c r="G64" s="635"/>
      <c r="H64" s="635"/>
      <c r="I64" s="635"/>
      <c r="J64" s="635"/>
      <c r="K64" s="635"/>
      <c r="L64" s="635"/>
      <c r="M64" s="635"/>
      <c r="N64" s="635"/>
      <c r="O64" s="635"/>
      <c r="P64" s="635"/>
      <c r="Q64" s="635"/>
      <c r="R64" s="635"/>
      <c r="S64" s="635"/>
      <c r="T64" s="635"/>
      <c r="U64" s="635"/>
      <c r="V64" s="635"/>
      <c r="W64" s="635"/>
      <c r="X64" s="635"/>
      <c r="Y64" s="633"/>
    </row>
    <row r="65" spans="1:25" s="583" customFormat="1">
      <c r="A65" s="634" t="s">
        <v>6</v>
      </c>
      <c r="B65" s="642"/>
      <c r="C65" s="642">
        <f t="shared" ref="C65:T65" si="0">SUM(C9:C64)</f>
        <v>3411681.2579689091</v>
      </c>
      <c r="D65" s="642">
        <f t="shared" si="0"/>
        <v>3225448.5594297396</v>
      </c>
      <c r="E65" s="642">
        <f t="shared" si="0"/>
        <v>3225448.5594297396</v>
      </c>
      <c r="F65" s="642">
        <f t="shared" si="0"/>
        <v>3225448.5594297391</v>
      </c>
      <c r="G65" s="642">
        <f t="shared" si="0"/>
        <v>3468551.2717425255</v>
      </c>
      <c r="H65" s="642">
        <f t="shared" si="0"/>
        <v>3210312.18271029</v>
      </c>
      <c r="I65" s="642">
        <f t="shared" si="0"/>
        <v>3210312.18271029</v>
      </c>
      <c r="J65" s="642">
        <f t="shared" si="0"/>
        <v>3210312.18271029</v>
      </c>
      <c r="K65" s="642">
        <f t="shared" si="0"/>
        <v>3147262.3997916635</v>
      </c>
      <c r="L65" s="642">
        <f t="shared" si="0"/>
        <v>3092865.1433476061</v>
      </c>
      <c r="M65" s="642">
        <f t="shared" si="0"/>
        <v>2976902.1512522702</v>
      </c>
      <c r="N65" s="642">
        <f t="shared" si="0"/>
        <v>2820201.6280327979</v>
      </c>
      <c r="O65" s="642">
        <f t="shared" si="0"/>
        <v>3112848.2857930851</v>
      </c>
      <c r="P65" s="642">
        <f t="shared" si="0"/>
        <v>3143257.2144160853</v>
      </c>
      <c r="Q65" s="642">
        <f t="shared" si="0"/>
        <v>3278558.7664345312</v>
      </c>
      <c r="R65" s="642">
        <f t="shared" si="0"/>
        <v>3278558.7664345312</v>
      </c>
      <c r="S65" s="642">
        <f t="shared" si="0"/>
        <v>3248125.797749531</v>
      </c>
      <c r="T65" s="642">
        <f t="shared" si="0"/>
        <v>3679531.5726121305</v>
      </c>
      <c r="U65" s="643"/>
      <c r="W65" s="642"/>
      <c r="X65" s="635"/>
      <c r="Y65" s="633"/>
    </row>
    <row r="66" spans="1:25" s="583" customFormat="1">
      <c r="X66" s="635"/>
      <c r="Y66" s="633"/>
    </row>
    <row r="67" spans="1:25" s="583" customFormat="1">
      <c r="A67" s="634" t="s">
        <v>7</v>
      </c>
      <c r="X67" s="635"/>
      <c r="Y67" s="633"/>
    </row>
    <row r="68" spans="1:25" s="583" customFormat="1">
      <c r="A68" s="583" t="s">
        <v>20</v>
      </c>
      <c r="B68" s="635" t="s">
        <v>451</v>
      </c>
      <c r="C68" s="635">
        <v>2460.8645955489001</v>
      </c>
      <c r="D68" s="635">
        <v>2460.8645955489001</v>
      </c>
      <c r="E68" s="635">
        <v>2460.8645955489001</v>
      </c>
      <c r="F68" s="635">
        <v>2460.8645955489001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0</v>
      </c>
      <c r="M68" s="635">
        <v>0</v>
      </c>
      <c r="N68" s="635">
        <v>3065.9919002135998</v>
      </c>
      <c r="O68" s="635">
        <v>3065.9919002135998</v>
      </c>
      <c r="P68" s="635">
        <v>3065.9919002135998</v>
      </c>
      <c r="Q68" s="635">
        <v>0</v>
      </c>
      <c r="R68" s="635">
        <v>0</v>
      </c>
      <c r="S68" s="635">
        <v>0</v>
      </c>
      <c r="T68" s="635">
        <v>0</v>
      </c>
      <c r="U68" s="583" t="s">
        <v>5</v>
      </c>
      <c r="V68" s="583" t="s">
        <v>24</v>
      </c>
      <c r="W68" s="635"/>
      <c r="X68" s="635"/>
      <c r="Y68" s="636"/>
    </row>
    <row r="69" spans="1:25" s="583" customFormat="1">
      <c r="A69" s="583" t="s">
        <v>21</v>
      </c>
      <c r="B69" s="635" t="s">
        <v>451</v>
      </c>
      <c r="C69" s="635">
        <v>7842.9966589774358</v>
      </c>
      <c r="D69" s="635">
        <v>7842.9966589774358</v>
      </c>
      <c r="E69" s="635">
        <v>7842.9966589774358</v>
      </c>
      <c r="F69" s="635">
        <v>7842.9966589774358</v>
      </c>
      <c r="G69" s="635">
        <v>7578.9246840164033</v>
      </c>
      <c r="H69" s="635">
        <v>7578.9246840164033</v>
      </c>
      <c r="I69" s="635">
        <v>7578.9246840164033</v>
      </c>
      <c r="J69" s="635">
        <v>7578.9246840164033</v>
      </c>
      <c r="K69" s="635">
        <v>7575.7133050282164</v>
      </c>
      <c r="L69" s="635">
        <v>7575.7133050282164</v>
      </c>
      <c r="M69" s="635">
        <v>6782.9873780056369</v>
      </c>
      <c r="N69" s="635">
        <v>0</v>
      </c>
      <c r="O69" s="635">
        <v>0</v>
      </c>
      <c r="P69" s="635">
        <v>0</v>
      </c>
      <c r="Q69" s="635">
        <v>0</v>
      </c>
      <c r="R69" s="635">
        <v>0</v>
      </c>
      <c r="S69" s="635">
        <v>0</v>
      </c>
      <c r="T69" s="635">
        <v>0</v>
      </c>
      <c r="U69" s="583" t="s">
        <v>5</v>
      </c>
      <c r="V69" s="583" t="s">
        <v>24</v>
      </c>
      <c r="W69" s="635"/>
      <c r="X69" s="635"/>
      <c r="Y69" s="636"/>
    </row>
    <row r="70" spans="1:25" s="583" customFormat="1">
      <c r="A70" s="583" t="s">
        <v>109</v>
      </c>
      <c r="B70" s="635" t="s">
        <v>558</v>
      </c>
      <c r="C70" s="635">
        <v>0</v>
      </c>
      <c r="D70" s="635">
        <v>0</v>
      </c>
      <c r="E70" s="635">
        <v>0</v>
      </c>
      <c r="F70" s="635">
        <v>0</v>
      </c>
      <c r="G70" s="635">
        <v>-18242.264576517904</v>
      </c>
      <c r="H70" s="635">
        <v>-18242.264576517904</v>
      </c>
      <c r="I70" s="635">
        <v>-18242.264576517904</v>
      </c>
      <c r="J70" s="635">
        <v>-18242.264576517904</v>
      </c>
      <c r="K70" s="635">
        <v>-10363.512138304784</v>
      </c>
      <c r="L70" s="635">
        <v>-10363.512138304784</v>
      </c>
      <c r="M70" s="635">
        <v>-10098.269566881992</v>
      </c>
      <c r="N70" s="635">
        <v>-9628.1291666901761</v>
      </c>
      <c r="O70" s="635">
        <v>-10421.975347421361</v>
      </c>
      <c r="P70" s="635">
        <v>-10421.975347421361</v>
      </c>
      <c r="Q70" s="635">
        <v>-9229.3669170651228</v>
      </c>
      <c r="R70" s="635">
        <v>-9229.3669170651228</v>
      </c>
      <c r="S70" s="635">
        <v>-9229.3669170651228</v>
      </c>
      <c r="T70" s="635">
        <v>-8217.2473647965744</v>
      </c>
      <c r="U70" s="583" t="s">
        <v>5</v>
      </c>
      <c r="V70" s="583" t="s">
        <v>24</v>
      </c>
      <c r="W70" s="635"/>
      <c r="X70" s="635"/>
      <c r="Y70" s="636"/>
    </row>
    <row r="71" spans="1:25" s="583" customFormat="1">
      <c r="A71" s="583" t="s">
        <v>110</v>
      </c>
      <c r="B71" s="635" t="s">
        <v>559</v>
      </c>
      <c r="C71" s="635">
        <v>0</v>
      </c>
      <c r="D71" s="635">
        <v>0</v>
      </c>
      <c r="E71" s="635">
        <v>0</v>
      </c>
      <c r="F71" s="635">
        <v>0</v>
      </c>
      <c r="G71" s="635">
        <v>13838.708958752715</v>
      </c>
      <c r="H71" s="635">
        <v>13838.708958752715</v>
      </c>
      <c r="I71" s="635">
        <v>13838.708958752715</v>
      </c>
      <c r="J71" s="635">
        <v>13838.708958752715</v>
      </c>
      <c r="K71" s="635">
        <v>11822.733650287277</v>
      </c>
      <c r="L71" s="635">
        <v>11822.733650287277</v>
      </c>
      <c r="M71" s="635">
        <v>14749.202182647461</v>
      </c>
      <c r="N71" s="635">
        <v>17874.03602115027</v>
      </c>
      <c r="O71" s="635">
        <v>18549.958611841474</v>
      </c>
      <c r="P71" s="635">
        <v>18549.958611841474</v>
      </c>
      <c r="Q71" s="635">
        <v>15737.903139376944</v>
      </c>
      <c r="R71" s="635">
        <v>15737.903139376944</v>
      </c>
      <c r="S71" s="635">
        <v>15737.903139376944</v>
      </c>
      <c r="T71" s="635">
        <v>14532.780425580537</v>
      </c>
      <c r="U71" s="583" t="s">
        <v>5</v>
      </c>
      <c r="V71" s="583" t="s">
        <v>24</v>
      </c>
      <c r="W71" s="635"/>
      <c r="X71" s="635"/>
      <c r="Y71" s="636"/>
    </row>
    <row r="72" spans="1:25" s="583" customFormat="1">
      <c r="A72" s="583" t="s">
        <v>111</v>
      </c>
      <c r="B72" s="635" t="s">
        <v>560</v>
      </c>
      <c r="C72" s="635">
        <v>0</v>
      </c>
      <c r="D72" s="635">
        <v>0</v>
      </c>
      <c r="E72" s="635">
        <v>0</v>
      </c>
      <c r="F72" s="635">
        <v>0</v>
      </c>
      <c r="G72" s="635">
        <v>297.65388165463486</v>
      </c>
      <c r="H72" s="635">
        <v>297.65388165463486</v>
      </c>
      <c r="I72" s="635">
        <v>297.65388165463486</v>
      </c>
      <c r="J72" s="635">
        <v>297.65388165463486</v>
      </c>
      <c r="K72" s="635">
        <v>2717.1226761587423</v>
      </c>
      <c r="L72" s="635">
        <v>2717.1226761587423</v>
      </c>
      <c r="M72" s="635">
        <v>3521.4260113924061</v>
      </c>
      <c r="N72" s="635">
        <v>3442.8771572392989</v>
      </c>
      <c r="O72" s="635">
        <v>3619.679406389409</v>
      </c>
      <c r="P72" s="635">
        <v>3619.679406389409</v>
      </c>
      <c r="Q72" s="635">
        <v>3464.1058374170839</v>
      </c>
      <c r="R72" s="635">
        <v>3464.1058374170839</v>
      </c>
      <c r="S72" s="635">
        <v>3464.1058374170839</v>
      </c>
      <c r="T72" s="635">
        <v>3178.120409211077</v>
      </c>
      <c r="U72" s="583" t="s">
        <v>5</v>
      </c>
      <c r="V72" s="583" t="s">
        <v>24</v>
      </c>
      <c r="W72" s="635"/>
      <c r="X72" s="635"/>
      <c r="Y72" s="636"/>
    </row>
    <row r="73" spans="1:25" s="583" customFormat="1">
      <c r="A73" s="583" t="s">
        <v>113</v>
      </c>
      <c r="B73" s="635" t="s">
        <v>559</v>
      </c>
      <c r="C73" s="635">
        <v>0</v>
      </c>
      <c r="D73" s="635">
        <v>0</v>
      </c>
      <c r="E73" s="635">
        <v>0</v>
      </c>
      <c r="F73" s="635">
        <v>0</v>
      </c>
      <c r="G73" s="635">
        <v>916.84931421797876</v>
      </c>
      <c r="H73" s="635">
        <v>916.84931421797876</v>
      </c>
      <c r="I73" s="635">
        <v>916.84931421797876</v>
      </c>
      <c r="J73" s="635">
        <v>916.84931421797876</v>
      </c>
      <c r="K73" s="635">
        <v>223.70722107676906</v>
      </c>
      <c r="L73" s="635">
        <v>223.70722107676906</v>
      </c>
      <c r="M73" s="635">
        <v>224.82059047319851</v>
      </c>
      <c r="N73" s="635">
        <v>222.196486445505</v>
      </c>
      <c r="O73" s="635">
        <v>228.67458897609933</v>
      </c>
      <c r="P73" s="635">
        <v>228.67458897609933</v>
      </c>
      <c r="Q73" s="635">
        <v>222.3452238648876</v>
      </c>
      <c r="R73" s="635">
        <v>222.3452238648876</v>
      </c>
      <c r="S73" s="635">
        <v>222.3452238648876</v>
      </c>
      <c r="T73" s="635">
        <v>196.82219103401869</v>
      </c>
      <c r="U73" s="583" t="s">
        <v>5</v>
      </c>
      <c r="V73" s="583" t="s">
        <v>24</v>
      </c>
      <c r="W73" s="635"/>
      <c r="X73" s="635"/>
      <c r="Y73" s="636"/>
    </row>
    <row r="74" spans="1:25" s="583" customFormat="1">
      <c r="A74" s="583" t="s">
        <v>101</v>
      </c>
      <c r="B74" s="635" t="s">
        <v>451</v>
      </c>
      <c r="C74" s="635">
        <v>11774.82637087723</v>
      </c>
      <c r="D74" s="635">
        <v>11774.82637087723</v>
      </c>
      <c r="E74" s="635">
        <v>11774.82637087723</v>
      </c>
      <c r="F74" s="635">
        <v>11774.82637087723</v>
      </c>
      <c r="G74" s="635">
        <v>3849.8475114850912</v>
      </c>
      <c r="H74" s="635">
        <v>3849.8475114850912</v>
      </c>
      <c r="I74" s="635">
        <v>3849.8475114850912</v>
      </c>
      <c r="J74" s="635">
        <v>3849.8475114850912</v>
      </c>
      <c r="K74" s="635">
        <v>3707.071785513117</v>
      </c>
      <c r="L74" s="635">
        <v>3707.071785513117</v>
      </c>
      <c r="M74" s="635">
        <v>0</v>
      </c>
      <c r="N74" s="635">
        <v>0</v>
      </c>
      <c r="O74" s="635">
        <v>0</v>
      </c>
      <c r="P74" s="635">
        <v>0</v>
      </c>
      <c r="Q74" s="635">
        <v>0</v>
      </c>
      <c r="R74" s="635">
        <v>0</v>
      </c>
      <c r="S74" s="635">
        <v>0</v>
      </c>
      <c r="T74" s="635">
        <v>0</v>
      </c>
      <c r="U74" s="583" t="s">
        <v>5</v>
      </c>
      <c r="V74" s="583" t="s">
        <v>24</v>
      </c>
      <c r="W74" s="635"/>
      <c r="X74" s="635"/>
      <c r="Y74" s="636"/>
    </row>
    <row r="75" spans="1:25" s="583" customFormat="1">
      <c r="A75" s="583" t="s">
        <v>23</v>
      </c>
      <c r="B75" s="635" t="s">
        <v>561</v>
      </c>
      <c r="C75" s="635">
        <v>5757.9420113573733</v>
      </c>
      <c r="D75" s="635">
        <v>6761.2327247173725</v>
      </c>
      <c r="E75" s="635">
        <v>6761.2327247173725</v>
      </c>
      <c r="F75" s="635">
        <v>6761.2327247173725</v>
      </c>
      <c r="G75" s="635">
        <v>4091.7015173161735</v>
      </c>
      <c r="H75" s="635">
        <v>4084.8366440600876</v>
      </c>
      <c r="I75" s="635">
        <v>4084.8366440600876</v>
      </c>
      <c r="J75" s="635">
        <v>5617.0971562606846</v>
      </c>
      <c r="K75" s="635">
        <v>7836.1328672590944</v>
      </c>
      <c r="L75" s="635">
        <v>7836.1328672590944</v>
      </c>
      <c r="M75" s="635">
        <v>11416.542000504454</v>
      </c>
      <c r="N75" s="635">
        <v>3285.8960466428071</v>
      </c>
      <c r="O75" s="635">
        <v>3285.8960466428071</v>
      </c>
      <c r="P75" s="635">
        <v>3642.5185187084066</v>
      </c>
      <c r="Q75" s="635">
        <v>8080.4813254924293</v>
      </c>
      <c r="R75" s="635">
        <v>8080.4813254924293</v>
      </c>
      <c r="S75" s="635">
        <v>7716.0574128604312</v>
      </c>
      <c r="T75" s="635">
        <v>5954.2815355503835</v>
      </c>
      <c r="U75" s="583" t="s">
        <v>5</v>
      </c>
      <c r="V75" s="583" t="s">
        <v>24</v>
      </c>
      <c r="W75" s="635"/>
      <c r="X75" s="635"/>
      <c r="Y75" s="636"/>
    </row>
    <row r="76" spans="1:25" s="583" customFormat="1">
      <c r="A76" s="644" t="s">
        <v>445</v>
      </c>
      <c r="B76" s="635" t="s">
        <v>562</v>
      </c>
      <c r="C76" s="635">
        <v>0</v>
      </c>
      <c r="D76" s="635">
        <v>0</v>
      </c>
      <c r="E76" s="635">
        <v>0</v>
      </c>
      <c r="F76" s="635">
        <v>0</v>
      </c>
      <c r="G76" s="635">
        <v>0</v>
      </c>
      <c r="H76" s="635">
        <v>0</v>
      </c>
      <c r="I76" s="635">
        <v>0</v>
      </c>
      <c r="J76" s="635">
        <v>9151.8938528029503</v>
      </c>
      <c r="K76" s="635">
        <v>9150.7938542165066</v>
      </c>
      <c r="L76" s="635">
        <v>9150.7938542165066</v>
      </c>
      <c r="M76" s="635">
        <v>0</v>
      </c>
      <c r="N76" s="635">
        <v>0</v>
      </c>
      <c r="O76" s="635">
        <v>0</v>
      </c>
      <c r="P76" s="635">
        <v>0</v>
      </c>
      <c r="Q76" s="635">
        <v>1911.1177514729998</v>
      </c>
      <c r="R76" s="635">
        <v>1911.1177514729998</v>
      </c>
      <c r="S76" s="635">
        <v>1911.1177514729998</v>
      </c>
      <c r="T76" s="635">
        <v>0</v>
      </c>
      <c r="U76" s="583" t="s">
        <v>5</v>
      </c>
      <c r="V76" s="583" t="s">
        <v>24</v>
      </c>
      <c r="W76" s="635"/>
      <c r="X76" s="635"/>
      <c r="Y76" s="636"/>
    </row>
    <row r="77" spans="1:25" s="583" customFormat="1">
      <c r="A77" s="583" t="s">
        <v>346</v>
      </c>
      <c r="B77" s="635" t="s">
        <v>563</v>
      </c>
      <c r="C77" s="635">
        <v>0</v>
      </c>
      <c r="D77" s="635">
        <v>0</v>
      </c>
      <c r="E77" s="635">
        <v>0</v>
      </c>
      <c r="F77" s="635">
        <v>0</v>
      </c>
      <c r="G77" s="635">
        <v>0</v>
      </c>
      <c r="H77" s="635">
        <v>0</v>
      </c>
      <c r="I77" s="635">
        <v>0</v>
      </c>
      <c r="J77" s="635">
        <v>0</v>
      </c>
      <c r="K77" s="635">
        <v>0</v>
      </c>
      <c r="L77" s="635">
        <v>0</v>
      </c>
      <c r="M77" s="635">
        <v>19553.413197438818</v>
      </c>
      <c r="N77" s="635">
        <v>6630.1442245618264</v>
      </c>
      <c r="O77" s="635">
        <v>6947.6822545118957</v>
      </c>
      <c r="P77" s="635">
        <v>6947.6822545118957</v>
      </c>
      <c r="Q77" s="635">
        <v>6753.3473998666186</v>
      </c>
      <c r="R77" s="635">
        <v>6753.3473998666186</v>
      </c>
      <c r="S77" s="635">
        <v>6753.3473998666186</v>
      </c>
      <c r="T77" s="635">
        <v>6543.1721669204471</v>
      </c>
      <c r="U77" s="583" t="s">
        <v>5</v>
      </c>
      <c r="V77" s="583" t="s">
        <v>24</v>
      </c>
      <c r="W77" s="635"/>
      <c r="X77" s="635"/>
      <c r="Y77" s="636"/>
    </row>
    <row r="78" spans="1:25" s="583" customFormat="1">
      <c r="A78" s="644" t="s">
        <v>232</v>
      </c>
      <c r="B78" s="635" t="s">
        <v>451</v>
      </c>
      <c r="C78" s="635">
        <v>0</v>
      </c>
      <c r="D78" s="635">
        <v>0</v>
      </c>
      <c r="E78" s="635">
        <v>0</v>
      </c>
      <c r="F78" s="635">
        <v>0</v>
      </c>
      <c r="G78" s="635">
        <v>-333.56654586959996</v>
      </c>
      <c r="H78" s="635">
        <v>-333.56654586959996</v>
      </c>
      <c r="I78" s="635">
        <v>-333.56654586959996</v>
      </c>
      <c r="J78" s="635">
        <v>-333.56654586959996</v>
      </c>
      <c r="K78" s="635">
        <v>0</v>
      </c>
      <c r="L78" s="635">
        <v>0</v>
      </c>
      <c r="M78" s="635">
        <v>0</v>
      </c>
      <c r="N78" s="635">
        <v>0</v>
      </c>
      <c r="O78" s="635">
        <v>0</v>
      </c>
      <c r="P78" s="635">
        <v>0</v>
      </c>
      <c r="Q78" s="635">
        <v>0</v>
      </c>
      <c r="R78" s="635">
        <v>0</v>
      </c>
      <c r="S78" s="635">
        <v>0</v>
      </c>
      <c r="T78" s="635">
        <v>0</v>
      </c>
      <c r="U78" s="583" t="s">
        <v>5</v>
      </c>
      <c r="V78" s="583" t="s">
        <v>26</v>
      </c>
      <c r="W78" s="635"/>
      <c r="X78" s="635"/>
      <c r="Y78" s="636"/>
    </row>
    <row r="79" spans="1:25" s="583" customFormat="1">
      <c r="A79" s="644" t="s">
        <v>233</v>
      </c>
      <c r="B79" s="635" t="s">
        <v>548</v>
      </c>
      <c r="C79" s="635">
        <v>0</v>
      </c>
      <c r="D79" s="635">
        <v>0</v>
      </c>
      <c r="E79" s="635">
        <v>0</v>
      </c>
      <c r="F79" s="635">
        <v>0</v>
      </c>
      <c r="G79" s="635">
        <v>62042.099340000001</v>
      </c>
      <c r="H79" s="635">
        <v>62042.099340000001</v>
      </c>
      <c r="I79" s="635">
        <v>62042.099340000001</v>
      </c>
      <c r="J79" s="635">
        <v>62042.099340000001</v>
      </c>
      <c r="K79" s="635">
        <v>97834.232665999996</v>
      </c>
      <c r="L79" s="635">
        <v>97834.232665999996</v>
      </c>
      <c r="M79" s="635">
        <v>96619.676042399995</v>
      </c>
      <c r="N79" s="635">
        <v>85598.38471649999</v>
      </c>
      <c r="O79" s="635">
        <v>85598.38471649999</v>
      </c>
      <c r="P79" s="635">
        <v>85598.38471649999</v>
      </c>
      <c r="Q79" s="635">
        <v>-7088.5662644999993</v>
      </c>
      <c r="R79" s="635">
        <v>-7088.5662644999993</v>
      </c>
      <c r="S79" s="635">
        <v>-7088.5662644999993</v>
      </c>
      <c r="T79" s="635">
        <v>-47214.503049999999</v>
      </c>
      <c r="U79" s="583" t="s">
        <v>5</v>
      </c>
      <c r="V79" s="583" t="s">
        <v>26</v>
      </c>
      <c r="W79" s="635"/>
      <c r="X79" s="635"/>
      <c r="Y79" s="636"/>
    </row>
    <row r="80" spans="1:25" s="583" customFormat="1">
      <c r="A80" s="583" t="s">
        <v>28</v>
      </c>
      <c r="B80" s="635" t="s">
        <v>548</v>
      </c>
      <c r="C80" s="635">
        <v>14304.957620399999</v>
      </c>
      <c r="D80" s="635">
        <v>14304.957620399999</v>
      </c>
      <c r="E80" s="635">
        <v>14304.957620399999</v>
      </c>
      <c r="F80" s="635">
        <v>14304.957620399999</v>
      </c>
      <c r="G80" s="635">
        <v>14618.280596999999</v>
      </c>
      <c r="H80" s="635">
        <v>14618.280596999999</v>
      </c>
      <c r="I80" s="635">
        <v>14618.280596999999</v>
      </c>
      <c r="J80" s="635">
        <v>14618.280596999999</v>
      </c>
      <c r="K80" s="635">
        <v>12263.7715892</v>
      </c>
      <c r="L80" s="635">
        <v>12263.7715892</v>
      </c>
      <c r="M80" s="635">
        <v>11368.8515814</v>
      </c>
      <c r="N80" s="635">
        <v>10448.595024299999</v>
      </c>
      <c r="O80" s="635">
        <v>10448.595024299999</v>
      </c>
      <c r="P80" s="635">
        <v>10448.595024299999</v>
      </c>
      <c r="Q80" s="635">
        <v>7863.1481354999987</v>
      </c>
      <c r="R80" s="635">
        <v>7863.1481354999987</v>
      </c>
      <c r="S80" s="635">
        <v>7863.1481354999987</v>
      </c>
      <c r="T80" s="635">
        <v>2976.7498999999998</v>
      </c>
      <c r="U80" s="583" t="s">
        <v>5</v>
      </c>
      <c r="V80" s="583" t="s">
        <v>26</v>
      </c>
      <c r="W80" s="635"/>
      <c r="X80" s="635"/>
      <c r="Y80" s="636"/>
    </row>
    <row r="81" spans="1:25" s="583" customFormat="1">
      <c r="A81" s="583" t="s">
        <v>29</v>
      </c>
      <c r="B81" s="635" t="s">
        <v>548</v>
      </c>
      <c r="C81" s="635">
        <v>-6227.0347865999993</v>
      </c>
      <c r="D81" s="635">
        <v>-6227.0347865999993</v>
      </c>
      <c r="E81" s="635">
        <v>-6227.0347865999993</v>
      </c>
      <c r="F81" s="635">
        <v>-6227.0347865999993</v>
      </c>
      <c r="G81" s="635">
        <v>2817.8318027999999</v>
      </c>
      <c r="H81" s="635">
        <v>2817.8318027999999</v>
      </c>
      <c r="I81" s="635">
        <v>2817.8318027999999</v>
      </c>
      <c r="J81" s="635">
        <v>2817.8318027999999</v>
      </c>
      <c r="K81" s="635">
        <v>-12060.447343600001</v>
      </c>
      <c r="L81" s="635">
        <v>-12060.447343600001</v>
      </c>
      <c r="M81" s="635">
        <v>-63.2870913</v>
      </c>
      <c r="N81" s="635">
        <v>1908.7884732863999</v>
      </c>
      <c r="O81" s="635">
        <v>1908.7884732863999</v>
      </c>
      <c r="P81" s="635">
        <v>1908.7884732863999</v>
      </c>
      <c r="Q81" s="635">
        <v>681.13365599999997</v>
      </c>
      <c r="R81" s="635">
        <v>681.13365599999997</v>
      </c>
      <c r="S81" s="635">
        <v>681.13365599999997</v>
      </c>
      <c r="T81" s="635">
        <v>-1985.1942999999999</v>
      </c>
      <c r="U81" s="583" t="s">
        <v>5</v>
      </c>
      <c r="V81" s="583" t="s">
        <v>26</v>
      </c>
      <c r="W81" s="635"/>
      <c r="X81" s="635"/>
      <c r="Y81" s="636"/>
    </row>
    <row r="82" spans="1:25" s="583" customFormat="1">
      <c r="A82" s="583" t="s">
        <v>32</v>
      </c>
      <c r="B82" s="635" t="s">
        <v>451</v>
      </c>
      <c r="C82" s="635">
        <v>111.01178309999999</v>
      </c>
      <c r="D82" s="635">
        <v>111.01178309999999</v>
      </c>
      <c r="E82" s="635">
        <v>111.01178309999999</v>
      </c>
      <c r="F82" s="635">
        <v>111.01178309999999</v>
      </c>
      <c r="G82" s="635">
        <v>108.9367965</v>
      </c>
      <c r="H82" s="635">
        <v>108.9367965</v>
      </c>
      <c r="I82" s="635">
        <v>108.9367965</v>
      </c>
      <c r="J82" s="635">
        <v>108.9367965</v>
      </c>
      <c r="K82" s="635">
        <v>0</v>
      </c>
      <c r="L82" s="635">
        <v>0</v>
      </c>
      <c r="M82" s="635">
        <v>0</v>
      </c>
      <c r="N82" s="635">
        <v>0</v>
      </c>
      <c r="O82" s="635">
        <v>0</v>
      </c>
      <c r="P82" s="635">
        <v>0</v>
      </c>
      <c r="Q82" s="635">
        <v>0</v>
      </c>
      <c r="R82" s="635">
        <v>0</v>
      </c>
      <c r="S82" s="635">
        <v>0</v>
      </c>
      <c r="T82" s="635">
        <v>0</v>
      </c>
      <c r="U82" s="583" t="s">
        <v>5</v>
      </c>
      <c r="V82" s="583" t="s">
        <v>26</v>
      </c>
      <c r="W82" s="635"/>
      <c r="X82" s="635"/>
      <c r="Y82" s="636"/>
    </row>
    <row r="83" spans="1:25" s="583" customFormat="1">
      <c r="A83" s="583" t="s">
        <v>33</v>
      </c>
      <c r="B83" s="635" t="s">
        <v>451</v>
      </c>
      <c r="C83" s="635">
        <v>3717.3384938999998</v>
      </c>
      <c r="D83" s="635">
        <v>3717.3384938999998</v>
      </c>
      <c r="E83" s="635">
        <v>3717.3384938999998</v>
      </c>
      <c r="F83" s="635">
        <v>3717.3384938999998</v>
      </c>
      <c r="G83" s="635">
        <v>3739.1258531999997</v>
      </c>
      <c r="H83" s="635">
        <v>3739.1258531999997</v>
      </c>
      <c r="I83" s="635">
        <v>3739.1258531999997</v>
      </c>
      <c r="J83" s="635">
        <v>3739.1258531999997</v>
      </c>
      <c r="K83" s="635">
        <v>3376.6347929999997</v>
      </c>
      <c r="L83" s="635">
        <v>3376.6347929999997</v>
      </c>
      <c r="M83" s="635">
        <v>1615.3770680999999</v>
      </c>
      <c r="N83" s="635">
        <v>-631.83341969999992</v>
      </c>
      <c r="O83" s="635">
        <v>-631.83341969999992</v>
      </c>
      <c r="P83" s="635">
        <v>-631.83341969999992</v>
      </c>
      <c r="Q83" s="635">
        <v>0</v>
      </c>
      <c r="R83" s="635">
        <v>0</v>
      </c>
      <c r="S83" s="635">
        <v>0</v>
      </c>
      <c r="T83" s="635">
        <v>0</v>
      </c>
      <c r="U83" s="583" t="s">
        <v>5</v>
      </c>
      <c r="V83" s="583" t="s">
        <v>26</v>
      </c>
      <c r="W83" s="635"/>
      <c r="X83" s="635"/>
      <c r="Y83" s="636"/>
    </row>
    <row r="84" spans="1:25" s="583" customFormat="1">
      <c r="A84" s="583" t="s">
        <v>312</v>
      </c>
      <c r="B84" s="635" t="s">
        <v>451</v>
      </c>
      <c r="C84" s="635">
        <v>0</v>
      </c>
      <c r="D84" s="635">
        <v>0</v>
      </c>
      <c r="E84" s="635">
        <v>0</v>
      </c>
      <c r="F84" s="635">
        <v>0</v>
      </c>
      <c r="G84" s="635">
        <v>0</v>
      </c>
      <c r="H84" s="635">
        <v>0</v>
      </c>
      <c r="I84" s="635">
        <v>0</v>
      </c>
      <c r="J84" s="635">
        <v>0</v>
      </c>
      <c r="K84" s="635">
        <v>420.13428299999998</v>
      </c>
      <c r="L84" s="635">
        <v>420.13428299999998</v>
      </c>
      <c r="M84" s="635">
        <v>3.1124798999999999</v>
      </c>
      <c r="N84" s="635">
        <v>0</v>
      </c>
      <c r="O84" s="635">
        <v>0</v>
      </c>
      <c r="P84" s="635">
        <v>0</v>
      </c>
      <c r="Q84" s="635">
        <v>0</v>
      </c>
      <c r="R84" s="635">
        <v>0</v>
      </c>
      <c r="S84" s="635">
        <v>0</v>
      </c>
      <c r="T84" s="635">
        <v>0</v>
      </c>
      <c r="U84" s="583" t="s">
        <v>5</v>
      </c>
      <c r="V84" s="583" t="s">
        <v>26</v>
      </c>
      <c r="W84" s="635"/>
      <c r="X84" s="635"/>
      <c r="Y84" s="636"/>
    </row>
    <row r="85" spans="1:25" s="583" customFormat="1">
      <c r="A85" s="583" t="s">
        <v>313</v>
      </c>
      <c r="B85" s="635" t="s">
        <v>548</v>
      </c>
      <c r="C85" s="635">
        <v>0</v>
      </c>
      <c r="D85" s="635">
        <v>0</v>
      </c>
      <c r="E85" s="635">
        <v>0</v>
      </c>
      <c r="F85" s="635">
        <v>0</v>
      </c>
      <c r="G85" s="635">
        <v>0</v>
      </c>
      <c r="H85" s="635">
        <v>0</v>
      </c>
      <c r="I85" s="635">
        <v>0</v>
      </c>
      <c r="J85" s="635">
        <v>0</v>
      </c>
      <c r="K85" s="635">
        <v>17012.84504</v>
      </c>
      <c r="L85" s="635">
        <v>17012.84504</v>
      </c>
      <c r="M85" s="635">
        <v>17014.89012</v>
      </c>
      <c r="N85" s="635">
        <v>60589.608719999997</v>
      </c>
      <c r="O85" s="635">
        <v>60589.608719999997</v>
      </c>
      <c r="P85" s="635">
        <v>60589.608719999997</v>
      </c>
      <c r="Q85" s="635">
        <v>-37379.285999999993</v>
      </c>
      <c r="R85" s="635">
        <v>-37379.285999999993</v>
      </c>
      <c r="S85" s="635">
        <v>-37379.285999999993</v>
      </c>
      <c r="T85" s="635">
        <v>-12498.6</v>
      </c>
      <c r="U85" s="583" t="s">
        <v>5</v>
      </c>
      <c r="V85" s="583" t="s">
        <v>26</v>
      </c>
      <c r="W85" s="635"/>
      <c r="X85" s="635"/>
      <c r="Y85" s="636"/>
    </row>
    <row r="86" spans="1:25" s="583" customFormat="1">
      <c r="A86" s="638" t="s">
        <v>35</v>
      </c>
      <c r="B86" s="635" t="s">
        <v>548</v>
      </c>
      <c r="C86" s="635">
        <v>8196.1970700000002</v>
      </c>
      <c r="D86" s="635">
        <v>8196.1970700000002</v>
      </c>
      <c r="E86" s="635">
        <v>8196.1970700000002</v>
      </c>
      <c r="F86" s="635">
        <v>8196.1970700000002</v>
      </c>
      <c r="G86" s="635">
        <v>7148.328837</v>
      </c>
      <c r="H86" s="635">
        <v>7148.328837</v>
      </c>
      <c r="I86" s="635">
        <v>7148.328837</v>
      </c>
      <c r="J86" s="635">
        <v>7148.328837</v>
      </c>
      <c r="K86" s="635">
        <v>12956.733813999999</v>
      </c>
      <c r="L86" s="635">
        <v>12956.733813999999</v>
      </c>
      <c r="M86" s="635">
        <v>18197.632482000001</v>
      </c>
      <c r="N86" s="635">
        <v>17949.671583299998</v>
      </c>
      <c r="O86" s="635">
        <v>17949.671583299998</v>
      </c>
      <c r="P86" s="635">
        <v>17949.671583299998</v>
      </c>
      <c r="Q86" s="635">
        <v>22809.670967999999</v>
      </c>
      <c r="R86" s="635">
        <v>22809.670967999999</v>
      </c>
      <c r="S86" s="635">
        <v>22809.670967999999</v>
      </c>
      <c r="T86" s="635">
        <v>18076.10025</v>
      </c>
      <c r="U86" s="583" t="s">
        <v>5</v>
      </c>
      <c r="V86" s="583" t="s">
        <v>26</v>
      </c>
      <c r="W86" s="635"/>
      <c r="X86" s="635"/>
      <c r="Y86" s="636"/>
    </row>
    <row r="87" spans="1:25" s="583" customFormat="1">
      <c r="A87" s="638" t="s">
        <v>36</v>
      </c>
      <c r="B87" s="635" t="s">
        <v>548</v>
      </c>
      <c r="C87" s="635">
        <v>2384.1596033999999</v>
      </c>
      <c r="D87" s="635">
        <v>2384.1596033999999</v>
      </c>
      <c r="E87" s="635">
        <v>2384.1596033999999</v>
      </c>
      <c r="F87" s="635">
        <v>2384.1596033999999</v>
      </c>
      <c r="G87" s="635">
        <v>2386.23459</v>
      </c>
      <c r="H87" s="635">
        <v>2386.23459</v>
      </c>
      <c r="I87" s="635">
        <v>2386.23459</v>
      </c>
      <c r="J87" s="635">
        <v>2386.23459</v>
      </c>
      <c r="K87" s="635">
        <v>2480.3483225999998</v>
      </c>
      <c r="L87" s="635">
        <v>2480.3483225999998</v>
      </c>
      <c r="M87" s="635">
        <v>756.33261570000002</v>
      </c>
      <c r="N87" s="635">
        <v>599.67112739999993</v>
      </c>
      <c r="O87" s="635">
        <v>599.67112739999993</v>
      </c>
      <c r="P87" s="635">
        <v>599.67112739999993</v>
      </c>
      <c r="Q87" s="635">
        <v>1971.7573364999998</v>
      </c>
      <c r="R87" s="635">
        <v>1971.7573364999998</v>
      </c>
      <c r="S87" s="635">
        <v>1971.7573364999998</v>
      </c>
      <c r="T87" s="635">
        <v>2620.5398</v>
      </c>
      <c r="U87" s="583" t="s">
        <v>5</v>
      </c>
      <c r="V87" s="583" t="s">
        <v>26</v>
      </c>
      <c r="W87" s="635"/>
      <c r="X87" s="635"/>
      <c r="Y87" s="636"/>
    </row>
    <row r="88" spans="1:25" s="583" customFormat="1">
      <c r="A88" s="638" t="s">
        <v>37</v>
      </c>
      <c r="B88" s="635" t="s">
        <v>451</v>
      </c>
      <c r="C88" s="635">
        <v>0</v>
      </c>
      <c r="D88" s="635">
        <v>0</v>
      </c>
      <c r="E88" s="635">
        <v>0</v>
      </c>
      <c r="F88" s="635">
        <v>0</v>
      </c>
      <c r="G88" s="635">
        <v>0</v>
      </c>
      <c r="H88" s="635">
        <v>0</v>
      </c>
      <c r="I88" s="635">
        <v>0</v>
      </c>
      <c r="J88" s="635">
        <v>0</v>
      </c>
      <c r="K88" s="635">
        <v>0</v>
      </c>
      <c r="L88" s="635">
        <v>0</v>
      </c>
      <c r="M88" s="635">
        <v>0</v>
      </c>
      <c r="N88" s="635">
        <v>0</v>
      </c>
      <c r="O88" s="635">
        <v>0</v>
      </c>
      <c r="P88" s="635">
        <v>0</v>
      </c>
      <c r="Q88" s="635">
        <v>0</v>
      </c>
      <c r="R88" s="635">
        <v>0</v>
      </c>
      <c r="S88" s="635">
        <v>0</v>
      </c>
      <c r="T88" s="635">
        <v>0</v>
      </c>
      <c r="U88" s="583" t="s">
        <v>5</v>
      </c>
      <c r="V88" s="583" t="s">
        <v>26</v>
      </c>
      <c r="W88" s="635"/>
      <c r="X88" s="635"/>
      <c r="Y88" s="636"/>
    </row>
    <row r="89" spans="1:25" s="583" customFormat="1">
      <c r="A89" s="645" t="s">
        <v>242</v>
      </c>
      <c r="B89" s="635" t="s">
        <v>548</v>
      </c>
      <c r="C89" s="635">
        <v>0</v>
      </c>
      <c r="D89" s="635">
        <v>0</v>
      </c>
      <c r="E89" s="635">
        <v>0</v>
      </c>
      <c r="F89" s="635">
        <v>0</v>
      </c>
      <c r="G89" s="635">
        <v>-274.93572449999999</v>
      </c>
      <c r="H89" s="635">
        <v>-274.93572449999999</v>
      </c>
      <c r="I89" s="635">
        <v>-274.93572449999999</v>
      </c>
      <c r="J89" s="635">
        <v>-274.93572449999999</v>
      </c>
      <c r="K89" s="635">
        <v>597.52431360000003</v>
      </c>
      <c r="L89" s="635">
        <v>597.52431360000003</v>
      </c>
      <c r="M89" s="635">
        <v>-18.674879399999998</v>
      </c>
      <c r="N89" s="635">
        <v>179.48634089999999</v>
      </c>
      <c r="O89" s="635">
        <v>179.48634089999999</v>
      </c>
      <c r="P89" s="635">
        <v>179.48634089999999</v>
      </c>
      <c r="Q89" s="635">
        <v>-354.06490349999996</v>
      </c>
      <c r="R89" s="635">
        <v>-354.06490349999996</v>
      </c>
      <c r="S89" s="635">
        <v>-354.06490349999996</v>
      </c>
      <c r="T89" s="635">
        <v>428.07704999999999</v>
      </c>
      <c r="U89" s="583" t="s">
        <v>5</v>
      </c>
      <c r="V89" s="583" t="s">
        <v>26</v>
      </c>
      <c r="W89" s="635"/>
      <c r="X89" s="635"/>
      <c r="Y89" s="636"/>
    </row>
    <row r="90" spans="1:25" s="583" customFormat="1">
      <c r="A90" s="645" t="s">
        <v>243</v>
      </c>
      <c r="B90" s="635" t="s">
        <v>548</v>
      </c>
      <c r="C90" s="635">
        <v>0</v>
      </c>
      <c r="D90" s="635">
        <v>0</v>
      </c>
      <c r="E90" s="635">
        <v>0</v>
      </c>
      <c r="F90" s="635">
        <v>0</v>
      </c>
      <c r="G90" s="635">
        <v>-283.2356709</v>
      </c>
      <c r="H90" s="635">
        <v>-283.2356709</v>
      </c>
      <c r="I90" s="635">
        <v>-283.2356709</v>
      </c>
      <c r="J90" s="635">
        <v>-283.2356709</v>
      </c>
      <c r="K90" s="635">
        <v>-1.675350289</v>
      </c>
      <c r="L90" s="635">
        <v>-1.675350289</v>
      </c>
      <c r="M90" s="635">
        <v>0</v>
      </c>
      <c r="N90" s="635">
        <v>-3.1124798999999999</v>
      </c>
      <c r="O90" s="635">
        <v>-3.1124798999999999</v>
      </c>
      <c r="P90" s="635">
        <v>-3.1124798999999999</v>
      </c>
      <c r="Q90" s="635">
        <v>-2649.7760519999997</v>
      </c>
      <c r="R90" s="635">
        <v>-2649.7760519999997</v>
      </c>
      <c r="S90" s="635">
        <v>-2649.7760519999997</v>
      </c>
      <c r="T90" s="635">
        <v>-31.246499999999997</v>
      </c>
      <c r="U90" s="583" t="s">
        <v>5</v>
      </c>
      <c r="V90" s="583" t="s">
        <v>26</v>
      </c>
      <c r="W90" s="635"/>
      <c r="X90" s="635"/>
      <c r="Y90" s="636"/>
    </row>
    <row r="91" spans="1:25" s="583" customFormat="1">
      <c r="A91" s="638" t="s">
        <v>38</v>
      </c>
      <c r="B91" s="635" t="s">
        <v>451</v>
      </c>
      <c r="C91" s="635">
        <v>0</v>
      </c>
      <c r="D91" s="635">
        <v>0</v>
      </c>
      <c r="E91" s="635">
        <v>0</v>
      </c>
      <c r="F91" s="635">
        <v>0</v>
      </c>
      <c r="G91" s="635">
        <v>0</v>
      </c>
      <c r="H91" s="635">
        <v>0</v>
      </c>
      <c r="I91" s="635">
        <v>0</v>
      </c>
      <c r="J91" s="635">
        <v>0</v>
      </c>
      <c r="K91" s="635">
        <v>0</v>
      </c>
      <c r="L91" s="635">
        <v>0</v>
      </c>
      <c r="M91" s="635">
        <v>0</v>
      </c>
      <c r="N91" s="635">
        <v>0</v>
      </c>
      <c r="O91" s="635">
        <v>0</v>
      </c>
      <c r="P91" s="635">
        <v>0</v>
      </c>
      <c r="Q91" s="635">
        <v>0</v>
      </c>
      <c r="R91" s="635">
        <v>0</v>
      </c>
      <c r="S91" s="635">
        <v>0</v>
      </c>
      <c r="T91" s="635">
        <v>0</v>
      </c>
      <c r="U91" s="583" t="s">
        <v>5</v>
      </c>
      <c r="V91" s="583" t="s">
        <v>26</v>
      </c>
      <c r="W91" s="635"/>
      <c r="X91" s="635"/>
      <c r="Y91" s="636"/>
    </row>
    <row r="92" spans="1:25" s="583" customFormat="1">
      <c r="A92" s="638" t="s">
        <v>205</v>
      </c>
      <c r="B92" s="635" t="s">
        <v>451</v>
      </c>
      <c r="C92" s="635">
        <v>-1769.9635698</v>
      </c>
      <c r="D92" s="635">
        <v>-1769.9635698</v>
      </c>
      <c r="E92" s="635">
        <v>-1769.9635698</v>
      </c>
      <c r="F92" s="635">
        <v>-1769.9635698</v>
      </c>
      <c r="G92" s="635">
        <v>0</v>
      </c>
      <c r="H92" s="635">
        <v>0</v>
      </c>
      <c r="I92" s="635">
        <v>0</v>
      </c>
      <c r="J92" s="635">
        <v>0</v>
      </c>
      <c r="K92" s="635">
        <v>147.47958175619999</v>
      </c>
      <c r="L92" s="635">
        <v>147.47958175619999</v>
      </c>
      <c r="M92" s="635">
        <v>0</v>
      </c>
      <c r="N92" s="635">
        <v>0</v>
      </c>
      <c r="O92" s="635">
        <v>0</v>
      </c>
      <c r="P92" s="635">
        <v>0</v>
      </c>
      <c r="Q92" s="635">
        <v>0</v>
      </c>
      <c r="R92" s="635">
        <v>0</v>
      </c>
      <c r="S92" s="635">
        <v>0</v>
      </c>
      <c r="T92" s="635">
        <v>0</v>
      </c>
      <c r="U92" s="583" t="s">
        <v>5</v>
      </c>
      <c r="V92" s="583" t="s">
        <v>26</v>
      </c>
      <c r="W92" s="635"/>
      <c r="X92" s="635"/>
      <c r="Y92" s="636"/>
    </row>
    <row r="93" spans="1:25" s="583" customFormat="1">
      <c r="A93" s="638" t="s">
        <v>304</v>
      </c>
      <c r="B93" s="635" t="s">
        <v>548</v>
      </c>
      <c r="C93" s="635">
        <v>0</v>
      </c>
      <c r="D93" s="635">
        <v>0</v>
      </c>
      <c r="E93" s="635">
        <v>0</v>
      </c>
      <c r="F93" s="635">
        <v>0</v>
      </c>
      <c r="G93" s="635">
        <v>0</v>
      </c>
      <c r="H93" s="635">
        <v>0</v>
      </c>
      <c r="I93" s="635">
        <v>0</v>
      </c>
      <c r="J93" s="635">
        <v>0</v>
      </c>
      <c r="K93" s="635">
        <v>2258.3514421999998</v>
      </c>
      <c r="L93" s="635">
        <v>2258.3514421999998</v>
      </c>
      <c r="M93" s="635">
        <v>5482.1145971999995</v>
      </c>
      <c r="N93" s="635">
        <v>70662.631169699991</v>
      </c>
      <c r="O93" s="635">
        <v>70662.631169699991</v>
      </c>
      <c r="P93" s="635">
        <v>70662.631169699991</v>
      </c>
      <c r="Q93" s="635">
        <v>753.8156009999999</v>
      </c>
      <c r="R93" s="635">
        <v>753.8156009999999</v>
      </c>
      <c r="S93" s="635">
        <v>753.8156009999999</v>
      </c>
      <c r="T93" s="635">
        <v>-15275.372299999999</v>
      </c>
      <c r="U93" s="583" t="s">
        <v>5</v>
      </c>
      <c r="V93" s="583" t="s">
        <v>26</v>
      </c>
      <c r="W93" s="635"/>
      <c r="X93" s="635"/>
      <c r="Y93" s="636"/>
    </row>
    <row r="94" spans="1:25" s="583" customFormat="1">
      <c r="A94" s="638" t="s">
        <v>318</v>
      </c>
      <c r="B94" s="635" t="s">
        <v>548</v>
      </c>
      <c r="C94" s="635">
        <v>0</v>
      </c>
      <c r="D94" s="635">
        <v>0</v>
      </c>
      <c r="E94" s="635">
        <v>0</v>
      </c>
      <c r="F94" s="635">
        <v>0</v>
      </c>
      <c r="G94" s="635">
        <v>0</v>
      </c>
      <c r="H94" s="635">
        <v>0</v>
      </c>
      <c r="I94" s="635">
        <v>0</v>
      </c>
      <c r="J94" s="635">
        <v>0</v>
      </c>
      <c r="K94" s="635">
        <v>1324.7225299000002</v>
      </c>
      <c r="L94" s="635">
        <v>1324.7225299000002</v>
      </c>
      <c r="M94" s="635">
        <v>3295.5037456</v>
      </c>
      <c r="N94" s="635">
        <v>11326.775926599999</v>
      </c>
      <c r="O94" s="635">
        <v>11326.775926599999</v>
      </c>
      <c r="P94" s="635">
        <v>11326.775926599999</v>
      </c>
      <c r="Q94" s="635">
        <v>120.517607</v>
      </c>
      <c r="R94" s="635">
        <v>120.517607</v>
      </c>
      <c r="S94" s="635">
        <v>120.517607</v>
      </c>
      <c r="T94" s="635">
        <v>-2448.3431</v>
      </c>
      <c r="U94" s="583" t="s">
        <v>3</v>
      </c>
      <c r="V94" s="583" t="s">
        <v>26</v>
      </c>
      <c r="W94" s="635"/>
      <c r="X94" s="635"/>
      <c r="Y94" s="636"/>
    </row>
    <row r="95" spans="1:25" s="583" customFormat="1">
      <c r="A95" s="583" t="s">
        <v>311</v>
      </c>
      <c r="B95" s="635" t="s">
        <v>548</v>
      </c>
      <c r="C95" s="635">
        <v>959.50170479999997</v>
      </c>
      <c r="D95" s="635">
        <v>959.50170479999997</v>
      </c>
      <c r="E95" s="635">
        <v>959.50170479999997</v>
      </c>
      <c r="F95" s="635">
        <v>959.50170479999997</v>
      </c>
      <c r="G95" s="635">
        <v>824.88806899999997</v>
      </c>
      <c r="H95" s="635">
        <v>824.88806899999997</v>
      </c>
      <c r="I95" s="635">
        <v>824.88806899999997</v>
      </c>
      <c r="J95" s="635">
        <v>824.88806899999997</v>
      </c>
      <c r="K95" s="635">
        <v>955.3384784000001</v>
      </c>
      <c r="L95" s="635">
        <v>955.3384784000001</v>
      </c>
      <c r="M95" s="635">
        <v>-173.07467459999998</v>
      </c>
      <c r="N95" s="635">
        <v>282.38499539999998</v>
      </c>
      <c r="O95" s="635">
        <v>282.38499539999998</v>
      </c>
      <c r="P95" s="635">
        <v>282.38499539999998</v>
      </c>
      <c r="Q95" s="635">
        <v>-166.09149200000002</v>
      </c>
      <c r="R95" s="635">
        <v>-166.09149200000002</v>
      </c>
      <c r="S95" s="635">
        <v>-166.09149200000002</v>
      </c>
      <c r="T95" s="635">
        <v>0</v>
      </c>
      <c r="U95" s="583" t="s">
        <v>3</v>
      </c>
      <c r="V95" s="583" t="s">
        <v>26</v>
      </c>
      <c r="W95" s="635"/>
      <c r="X95" s="635"/>
      <c r="Y95" s="636"/>
    </row>
    <row r="96" spans="1:25" s="583" customFormat="1">
      <c r="A96" s="583" t="s">
        <v>22</v>
      </c>
      <c r="B96" s="635" t="s">
        <v>564</v>
      </c>
      <c r="C96" s="635">
        <v>10384.438789999989</v>
      </c>
      <c r="D96" s="635">
        <v>10384.438789999989</v>
      </c>
      <c r="E96" s="635">
        <v>10384.438789999989</v>
      </c>
      <c r="F96" s="635">
        <v>10384.438789999989</v>
      </c>
      <c r="G96" s="635">
        <v>14512.247960000124</v>
      </c>
      <c r="H96" s="635">
        <v>14512.247960000124</v>
      </c>
      <c r="I96" s="635">
        <v>14512.247960000124</v>
      </c>
      <c r="J96" s="635">
        <v>14512.247960000124</v>
      </c>
      <c r="K96" s="635">
        <v>13108.984509999978</v>
      </c>
      <c r="L96" s="635">
        <v>13108.984509999978</v>
      </c>
      <c r="M96" s="635">
        <v>17468.285040000002</v>
      </c>
      <c r="N96" s="635">
        <v>21772.850630000012</v>
      </c>
      <c r="O96" s="635">
        <v>21772.850630000012</v>
      </c>
      <c r="P96" s="635">
        <v>21772.850630000012</v>
      </c>
      <c r="Q96" s="635">
        <v>23803.573559999997</v>
      </c>
      <c r="R96" s="635">
        <v>23803.573559999997</v>
      </c>
      <c r="S96" s="635">
        <v>23803.573559999997</v>
      </c>
      <c r="T96" s="635">
        <v>0</v>
      </c>
      <c r="U96" s="583" t="s">
        <v>5</v>
      </c>
      <c r="V96" s="583" t="s">
        <v>24</v>
      </c>
      <c r="W96" s="635"/>
      <c r="X96" s="635"/>
      <c r="Y96" s="636"/>
    </row>
    <row r="97" spans="1:25" s="583" customFormat="1">
      <c r="A97" s="638" t="s">
        <v>43</v>
      </c>
      <c r="B97" s="635" t="s">
        <v>565</v>
      </c>
      <c r="C97" s="635">
        <v>-1006.6484500001117</v>
      </c>
      <c r="D97" s="635">
        <v>-1006.6484500001117</v>
      </c>
      <c r="E97" s="635">
        <v>-1006.6484500001117</v>
      </c>
      <c r="F97" s="635">
        <v>-1006.6484500001117</v>
      </c>
      <c r="G97" s="635">
        <v>-2412.1108600000562</v>
      </c>
      <c r="H97" s="635">
        <v>-2412.1108600000562</v>
      </c>
      <c r="I97" s="635">
        <v>-2412.1108600000562</v>
      </c>
      <c r="J97" s="635">
        <v>-2412.1108600000562</v>
      </c>
      <c r="K97" s="635">
        <v>-2771.0864299999776</v>
      </c>
      <c r="L97" s="635">
        <v>-2771.0864299999776</v>
      </c>
      <c r="M97" s="635">
        <v>-1178.0985599999967</v>
      </c>
      <c r="N97" s="635">
        <v>-1423.5695200000023</v>
      </c>
      <c r="O97" s="635">
        <v>-1423.5695200000023</v>
      </c>
      <c r="P97" s="635">
        <v>-1423.5695200000023</v>
      </c>
      <c r="Q97" s="635">
        <v>-1046.2193100000015</v>
      </c>
      <c r="R97" s="635">
        <v>-1046.2193100000015</v>
      </c>
      <c r="S97" s="635">
        <v>-1046.2193100000015</v>
      </c>
      <c r="T97" s="635">
        <v>-891.81047999999998</v>
      </c>
      <c r="U97" s="583" t="s">
        <v>3</v>
      </c>
      <c r="V97" s="583" t="s">
        <v>24</v>
      </c>
      <c r="W97" s="635"/>
      <c r="X97" s="635"/>
      <c r="Y97" s="636"/>
    </row>
    <row r="98" spans="1:25" s="583" customFormat="1">
      <c r="A98" s="638" t="s">
        <v>44</v>
      </c>
      <c r="B98" s="635" t="s">
        <v>565</v>
      </c>
      <c r="C98" s="635">
        <v>23000.546209997989</v>
      </c>
      <c r="D98" s="635">
        <v>23000.546209997989</v>
      </c>
      <c r="E98" s="635">
        <v>23000.546209997989</v>
      </c>
      <c r="F98" s="635">
        <v>23000.546209997989</v>
      </c>
      <c r="G98" s="635">
        <v>6461.6487400032402</v>
      </c>
      <c r="H98" s="635">
        <v>6461.6487400032402</v>
      </c>
      <c r="I98" s="635">
        <v>6461.6487400032402</v>
      </c>
      <c r="J98" s="635">
        <v>6461.6487400032402</v>
      </c>
      <c r="K98" s="635">
        <v>-9516.3053999996482</v>
      </c>
      <c r="L98" s="635">
        <v>-9516.3053999996482</v>
      </c>
      <c r="M98" s="635">
        <v>8785.1610399999317</v>
      </c>
      <c r="N98" s="635">
        <v>7929.8560599999728</v>
      </c>
      <c r="O98" s="635">
        <v>7929.8560599999728</v>
      </c>
      <c r="P98" s="635">
        <v>7929.8560599999728</v>
      </c>
      <c r="Q98" s="635">
        <v>2801.1993099999727</v>
      </c>
      <c r="R98" s="635">
        <v>2801.1993099999727</v>
      </c>
      <c r="S98" s="635">
        <v>2801.1993099999727</v>
      </c>
      <c r="T98" s="635">
        <v>3082.6530000000598</v>
      </c>
      <c r="U98" s="583" t="s">
        <v>3</v>
      </c>
      <c r="V98" s="583" t="s">
        <v>24</v>
      </c>
      <c r="W98" s="635"/>
      <c r="X98" s="635"/>
      <c r="Y98" s="636"/>
    </row>
    <row r="99" spans="1:25" s="583" customFormat="1">
      <c r="A99" s="638" t="s">
        <v>45</v>
      </c>
      <c r="B99" s="635" t="s">
        <v>566</v>
      </c>
      <c r="C99" s="635">
        <v>191.3576699999968</v>
      </c>
      <c r="D99" s="635">
        <v>191.3576699999968</v>
      </c>
      <c r="E99" s="635">
        <v>191.3576699999968</v>
      </c>
      <c r="F99" s="635">
        <v>191.3576699999968</v>
      </c>
      <c r="G99" s="635">
        <v>52.435750000001498</v>
      </c>
      <c r="H99" s="635">
        <v>52.435750000001498</v>
      </c>
      <c r="I99" s="635">
        <v>52.435750000001498</v>
      </c>
      <c r="J99" s="635">
        <v>52.435750000001498</v>
      </c>
      <c r="K99" s="635">
        <v>924.59608999999921</v>
      </c>
      <c r="L99" s="635">
        <v>924.59608999999921</v>
      </c>
      <c r="M99" s="635">
        <v>455.58558000001125</v>
      </c>
      <c r="N99" s="635">
        <v>329.55970000000065</v>
      </c>
      <c r="O99" s="635">
        <v>329.55970000000065</v>
      </c>
      <c r="P99" s="635">
        <v>329.55970000000065</v>
      </c>
      <c r="Q99" s="635">
        <v>184.03196999999997</v>
      </c>
      <c r="R99" s="635">
        <v>184.03196999999997</v>
      </c>
      <c r="S99" s="635">
        <v>184.03196999999997</v>
      </c>
      <c r="T99" s="635">
        <v>154.52138000000036</v>
      </c>
      <c r="U99" s="583" t="s">
        <v>3</v>
      </c>
      <c r="V99" s="583" t="s">
        <v>24</v>
      </c>
      <c r="W99" s="635"/>
      <c r="X99" s="635"/>
      <c r="Y99" s="636"/>
    </row>
    <row r="100" spans="1:25" s="583" customFormat="1">
      <c r="A100" s="638" t="s">
        <v>46</v>
      </c>
      <c r="B100" s="635" t="s">
        <v>564</v>
      </c>
      <c r="C100" s="635">
        <v>-106.41925999997184</v>
      </c>
      <c r="D100" s="635">
        <v>-106.41925999997184</v>
      </c>
      <c r="E100" s="635">
        <v>-106.41925999997184</v>
      </c>
      <c r="F100" s="635">
        <v>-106.41925999997184</v>
      </c>
      <c r="G100" s="635">
        <v>317.79030000004639</v>
      </c>
      <c r="H100" s="635">
        <v>317.79030000004639</v>
      </c>
      <c r="I100" s="635">
        <v>317.79030000004639</v>
      </c>
      <c r="J100" s="635">
        <v>317.79030000004639</v>
      </c>
      <c r="K100" s="635">
        <v>-290.2039800000079</v>
      </c>
      <c r="L100" s="635">
        <v>-290.2039800000079</v>
      </c>
      <c r="M100" s="635">
        <v>103.88005999999493</v>
      </c>
      <c r="N100" s="635">
        <v>1346.6115899999961</v>
      </c>
      <c r="O100" s="635">
        <v>1346.6115899999961</v>
      </c>
      <c r="P100" s="635">
        <v>1346.6115899999961</v>
      </c>
      <c r="Q100" s="635">
        <v>1756.5771699999907</v>
      </c>
      <c r="R100" s="635">
        <v>1756.5771699999907</v>
      </c>
      <c r="S100" s="635">
        <v>1756.5771699999907</v>
      </c>
      <c r="T100" s="635">
        <v>0</v>
      </c>
      <c r="U100" s="583" t="s">
        <v>3</v>
      </c>
      <c r="V100" s="583" t="s">
        <v>24</v>
      </c>
      <c r="W100" s="635"/>
      <c r="X100" s="635"/>
      <c r="Y100" s="636"/>
    </row>
    <row r="101" spans="1:25" s="583" customFormat="1">
      <c r="A101" s="646" t="s">
        <v>47</v>
      </c>
      <c r="B101" s="635" t="s">
        <v>567</v>
      </c>
      <c r="C101" s="635">
        <v>-218.36895000001789</v>
      </c>
      <c r="D101" s="635">
        <v>-218.36895000001789</v>
      </c>
      <c r="E101" s="635">
        <v>-218.36895000001789</v>
      </c>
      <c r="F101" s="635">
        <v>-218.36895000001789</v>
      </c>
      <c r="G101" s="635">
        <v>615.40979000003267</v>
      </c>
      <c r="H101" s="635">
        <v>615.40979000003267</v>
      </c>
      <c r="I101" s="635">
        <v>615.40979000003267</v>
      </c>
      <c r="J101" s="635">
        <v>615.40979000003267</v>
      </c>
      <c r="K101" s="635">
        <v>418.28167999988051</v>
      </c>
      <c r="L101" s="635">
        <v>418.28167999988051</v>
      </c>
      <c r="M101" s="635">
        <v>1447.6496099999938</v>
      </c>
      <c r="N101" s="635">
        <v>477.35870999999997</v>
      </c>
      <c r="O101" s="635">
        <v>477.35870999999997</v>
      </c>
      <c r="P101" s="635">
        <v>477.35870999999997</v>
      </c>
      <c r="Q101" s="635">
        <v>293.14443999999946</v>
      </c>
      <c r="R101" s="635">
        <v>293.14443999999946</v>
      </c>
      <c r="S101" s="635">
        <v>293.14443999999946</v>
      </c>
      <c r="T101" s="635">
        <v>258.09344999999928</v>
      </c>
      <c r="U101" s="583" t="s">
        <v>3</v>
      </c>
      <c r="V101" s="583" t="s">
        <v>24</v>
      </c>
      <c r="W101" s="635"/>
      <c r="X101" s="635"/>
      <c r="Y101" s="636"/>
    </row>
    <row r="102" spans="1:25" s="583" customFormat="1">
      <c r="A102" s="646" t="s">
        <v>48</v>
      </c>
      <c r="B102" s="635" t="s">
        <v>567</v>
      </c>
      <c r="C102" s="635">
        <v>14155.425600007415</v>
      </c>
      <c r="D102" s="635">
        <v>14155.425600007415</v>
      </c>
      <c r="E102" s="635">
        <v>14155.425600007415</v>
      </c>
      <c r="F102" s="635">
        <v>14155.425600007415</v>
      </c>
      <c r="G102" s="635">
        <v>7976.6311100022194</v>
      </c>
      <c r="H102" s="635">
        <v>7976.6311100022194</v>
      </c>
      <c r="I102" s="635">
        <v>7976.6311100022194</v>
      </c>
      <c r="J102" s="635">
        <v>7976.6311100022194</v>
      </c>
      <c r="K102" s="635">
        <v>3865.5688600117564</v>
      </c>
      <c r="L102" s="635">
        <v>3865.5688600117564</v>
      </c>
      <c r="M102" s="635">
        <v>5532.6434999999701</v>
      </c>
      <c r="N102" s="635">
        <v>1773.2363299999981</v>
      </c>
      <c r="O102" s="635">
        <v>1773.2363299999981</v>
      </c>
      <c r="P102" s="635">
        <v>1773.2363299999981</v>
      </c>
      <c r="Q102" s="635">
        <v>1877.2533700000047</v>
      </c>
      <c r="R102" s="635">
        <v>1877.2533700000047</v>
      </c>
      <c r="S102" s="635">
        <v>1877.2533700000047</v>
      </c>
      <c r="T102" s="635">
        <v>897.11634000000356</v>
      </c>
      <c r="U102" s="583" t="s">
        <v>3</v>
      </c>
      <c r="V102" s="583" t="s">
        <v>24</v>
      </c>
      <c r="W102" s="635"/>
      <c r="X102" s="635"/>
      <c r="Y102" s="636"/>
    </row>
    <row r="103" spans="1:25" s="583" customFormat="1">
      <c r="A103" s="646" t="s">
        <v>49</v>
      </c>
      <c r="B103" s="635" t="s">
        <v>567</v>
      </c>
      <c r="C103" s="635">
        <v>14.466140000000014</v>
      </c>
      <c r="D103" s="635">
        <v>14.466140000000014</v>
      </c>
      <c r="E103" s="635">
        <v>14.466140000000014</v>
      </c>
      <c r="F103" s="635">
        <v>14.466140000000014</v>
      </c>
      <c r="G103" s="635">
        <v>5.1695499999999885</v>
      </c>
      <c r="H103" s="635">
        <v>5.1695499999999885</v>
      </c>
      <c r="I103" s="635">
        <v>5.1695499999999885</v>
      </c>
      <c r="J103" s="635">
        <v>5.1695499999999885</v>
      </c>
      <c r="K103" s="635">
        <v>5.3989899999999329</v>
      </c>
      <c r="L103" s="635">
        <v>5.3989899999999329</v>
      </c>
      <c r="M103" s="635">
        <v>22.662190000000002</v>
      </c>
      <c r="N103" s="635">
        <v>9.902400000000009</v>
      </c>
      <c r="O103" s="635">
        <v>9.902400000000009</v>
      </c>
      <c r="P103" s="635">
        <v>9.902400000000009</v>
      </c>
      <c r="Q103" s="635">
        <v>6.0792299999999964</v>
      </c>
      <c r="R103" s="635">
        <v>6.0792299999999964</v>
      </c>
      <c r="S103" s="635">
        <v>6.0792299999999964</v>
      </c>
      <c r="T103" s="635">
        <v>4.1390800000000016</v>
      </c>
      <c r="U103" s="583" t="s">
        <v>3</v>
      </c>
      <c r="V103" s="583" t="s">
        <v>24</v>
      </c>
      <c r="W103" s="635"/>
      <c r="X103" s="635"/>
      <c r="Y103" s="636"/>
    </row>
    <row r="104" spans="1:25" s="583" customFormat="1">
      <c r="A104" s="646" t="s">
        <v>54</v>
      </c>
      <c r="B104" s="635" t="s">
        <v>451</v>
      </c>
      <c r="C104" s="635">
        <v>-2901.6067196047434</v>
      </c>
      <c r="D104" s="635">
        <v>-2901.6067196047434</v>
      </c>
      <c r="E104" s="635">
        <v>-2901.6067196047434</v>
      </c>
      <c r="F104" s="635">
        <v>-2901.6067196047434</v>
      </c>
      <c r="G104" s="635">
        <v>-2901.6067196047434</v>
      </c>
      <c r="H104" s="635">
        <v>-1656.5705868665918</v>
      </c>
      <c r="I104" s="635">
        <v>-1656.5705868665918</v>
      </c>
      <c r="J104" s="635">
        <v>-1656.5705868665918</v>
      </c>
      <c r="K104" s="635">
        <v>0</v>
      </c>
      <c r="L104" s="635">
        <v>0</v>
      </c>
      <c r="M104" s="635">
        <v>0</v>
      </c>
      <c r="N104" s="635">
        <v>0</v>
      </c>
      <c r="O104" s="635">
        <v>0</v>
      </c>
      <c r="P104" s="635">
        <v>0</v>
      </c>
      <c r="Q104" s="635">
        <v>0</v>
      </c>
      <c r="R104" s="635">
        <v>0</v>
      </c>
      <c r="S104" s="635">
        <v>0</v>
      </c>
      <c r="T104" s="635">
        <v>0</v>
      </c>
      <c r="U104" s="583" t="s">
        <v>98</v>
      </c>
      <c r="V104" s="583" t="s">
        <v>24</v>
      </c>
      <c r="W104" s="635"/>
      <c r="X104" s="635"/>
      <c r="Y104" s="636"/>
    </row>
    <row r="105" spans="1:25" s="583" customFormat="1">
      <c r="A105" s="646" t="s">
        <v>55</v>
      </c>
      <c r="B105" s="635" t="s">
        <v>542</v>
      </c>
      <c r="C105" s="635">
        <v>-87310.418381812095</v>
      </c>
      <c r="D105" s="635">
        <v>-87310.418381812095</v>
      </c>
      <c r="E105" s="635">
        <v>-87310.418381812095</v>
      </c>
      <c r="F105" s="635">
        <v>-87310.418381812095</v>
      </c>
      <c r="G105" s="635">
        <v>-87310.418381812095</v>
      </c>
      <c r="H105" s="635">
        <v>-93536.339217096684</v>
      </c>
      <c r="I105" s="635">
        <v>-93536.339217096684</v>
      </c>
      <c r="J105" s="635">
        <v>-93536.339217096684</v>
      </c>
      <c r="K105" s="635">
        <v>-190908.3696552389</v>
      </c>
      <c r="L105" s="635">
        <v>-190908.3696552389</v>
      </c>
      <c r="M105" s="635">
        <v>-182489.27020956861</v>
      </c>
      <c r="N105" s="635">
        <v>-232593.89170328664</v>
      </c>
      <c r="O105" s="635">
        <v>-232593.89170328664</v>
      </c>
      <c r="P105" s="635">
        <v>-232593.89170328664</v>
      </c>
      <c r="Q105" s="635">
        <v>-246532.22998150348</v>
      </c>
      <c r="R105" s="635">
        <v>-246532.22998150348</v>
      </c>
      <c r="S105" s="635">
        <v>-246532.22998150348</v>
      </c>
      <c r="T105" s="635">
        <v>-149108.549279297</v>
      </c>
      <c r="U105" s="583" t="s">
        <v>98</v>
      </c>
      <c r="V105" s="583" t="s">
        <v>24</v>
      </c>
      <c r="W105" s="635"/>
      <c r="X105" s="635"/>
      <c r="Y105" s="636"/>
    </row>
    <row r="106" spans="1:25" s="583" customFormat="1">
      <c r="A106" s="583" t="s">
        <v>265</v>
      </c>
      <c r="B106" s="635" t="s">
        <v>561</v>
      </c>
      <c r="C106" s="635">
        <v>115112.231</v>
      </c>
      <c r="D106" s="635">
        <v>115112.231</v>
      </c>
      <c r="E106" s="635">
        <v>115112.231</v>
      </c>
      <c r="F106" s="635">
        <v>115112.231</v>
      </c>
      <c r="G106" s="635">
        <v>128081.288</v>
      </c>
      <c r="H106" s="635">
        <v>128081.288</v>
      </c>
      <c r="I106" s="635">
        <v>128081.288</v>
      </c>
      <c r="J106" s="635">
        <v>128081.288</v>
      </c>
      <c r="K106" s="635">
        <v>144870.24400000001</v>
      </c>
      <c r="L106" s="635">
        <v>144870.24400000001</v>
      </c>
      <c r="M106" s="635">
        <v>186051.41</v>
      </c>
      <c r="N106" s="635">
        <v>220326.85200000001</v>
      </c>
      <c r="O106" s="635">
        <v>220326.85200000001</v>
      </c>
      <c r="P106" s="635">
        <v>220326.85200000001</v>
      </c>
      <c r="Q106" s="635">
        <v>210348.519</v>
      </c>
      <c r="R106" s="635">
        <v>210348.519</v>
      </c>
      <c r="S106" s="635">
        <v>210348.519</v>
      </c>
      <c r="T106" s="635">
        <v>193071.75790999999</v>
      </c>
      <c r="U106" s="583" t="s">
        <v>99</v>
      </c>
      <c r="V106" s="583" t="s">
        <v>24</v>
      </c>
      <c r="W106" s="635"/>
      <c r="X106" s="635"/>
      <c r="Y106" s="636"/>
    </row>
    <row r="107" spans="1:25" s="583" customFormat="1">
      <c r="A107" s="583" t="s">
        <v>61</v>
      </c>
      <c r="B107" s="635" t="s">
        <v>568</v>
      </c>
      <c r="C107" s="635">
        <v>15145.043</v>
      </c>
      <c r="D107" s="635">
        <v>15145.043</v>
      </c>
      <c r="E107" s="635">
        <v>15145.043</v>
      </c>
      <c r="F107" s="635">
        <v>15145.043</v>
      </c>
      <c r="G107" s="635">
        <v>0</v>
      </c>
      <c r="H107" s="635">
        <v>0</v>
      </c>
      <c r="I107" s="635">
        <v>0</v>
      </c>
      <c r="J107" s="635">
        <v>0</v>
      </c>
      <c r="K107" s="635">
        <v>4191.1350000000002</v>
      </c>
      <c r="L107" s="635">
        <v>4191.1350000000002</v>
      </c>
      <c r="M107" s="635">
        <v>14728.338</v>
      </c>
      <c r="N107" s="635">
        <v>16389.363000000001</v>
      </c>
      <c r="O107" s="635">
        <v>16389.363000000001</v>
      </c>
      <c r="P107" s="635">
        <v>16389.363000000001</v>
      </c>
      <c r="Q107" s="635">
        <v>17427.594000000001</v>
      </c>
      <c r="R107" s="635">
        <v>17427.594000000001</v>
      </c>
      <c r="S107" s="635">
        <v>17427.594000000001</v>
      </c>
      <c r="T107" s="635">
        <v>18190.332999999999</v>
      </c>
      <c r="U107" s="583" t="s">
        <v>99</v>
      </c>
      <c r="V107" s="583" t="s">
        <v>24</v>
      </c>
      <c r="W107" s="635"/>
      <c r="X107" s="635"/>
      <c r="Y107" s="636"/>
    </row>
    <row r="108" spans="1:25" s="583" customFormat="1">
      <c r="A108" s="583" t="s">
        <v>412</v>
      </c>
      <c r="B108" s="635" t="s">
        <v>568</v>
      </c>
      <c r="C108" s="635">
        <v>84166.665600000008</v>
      </c>
      <c r="D108" s="635">
        <v>84166.665600000008</v>
      </c>
      <c r="E108" s="635">
        <v>84166.665600000008</v>
      </c>
      <c r="F108" s="635">
        <v>84166.665600000008</v>
      </c>
      <c r="G108" s="635">
        <v>77750.887799999997</v>
      </c>
      <c r="H108" s="635">
        <v>77750.887799999997</v>
      </c>
      <c r="I108" s="635">
        <v>77750.887799999997</v>
      </c>
      <c r="J108" s="635">
        <v>77750.887799999997</v>
      </c>
      <c r="K108" s="635">
        <v>80275.317999999999</v>
      </c>
      <c r="L108" s="635">
        <v>80275.317999999999</v>
      </c>
      <c r="M108" s="635">
        <v>117574.094</v>
      </c>
      <c r="N108" s="635">
        <v>56297.355000000003</v>
      </c>
      <c r="O108" s="635">
        <v>56297.355000000003</v>
      </c>
      <c r="P108" s="635">
        <v>56297.355000000003</v>
      </c>
      <c r="Q108" s="635">
        <v>48660.707999999999</v>
      </c>
      <c r="R108" s="635">
        <v>48660.707999999999</v>
      </c>
      <c r="S108" s="635">
        <v>48660.707999999999</v>
      </c>
      <c r="T108" s="635">
        <v>47815.004000000001</v>
      </c>
      <c r="U108" s="583" t="s">
        <v>99</v>
      </c>
      <c r="V108" s="583" t="s">
        <v>24</v>
      </c>
      <c r="W108" s="635"/>
      <c r="X108" s="635"/>
      <c r="Y108" s="636"/>
    </row>
    <row r="109" spans="1:25" s="583" customFormat="1">
      <c r="A109" s="583" t="s">
        <v>62</v>
      </c>
      <c r="B109" s="635" t="s">
        <v>568</v>
      </c>
      <c r="C109" s="635">
        <v>16280</v>
      </c>
      <c r="D109" s="635">
        <v>16280</v>
      </c>
      <c r="E109" s="635">
        <v>16280</v>
      </c>
      <c r="F109" s="635">
        <v>16280</v>
      </c>
      <c r="G109" s="635">
        <v>13024</v>
      </c>
      <c r="H109" s="635">
        <v>13024</v>
      </c>
      <c r="I109" s="635">
        <v>13024</v>
      </c>
      <c r="J109" s="635">
        <v>13024</v>
      </c>
      <c r="K109" s="635">
        <v>19157.599999999995</v>
      </c>
      <c r="L109" s="635">
        <v>19157.599999999995</v>
      </c>
      <c r="M109" s="635">
        <v>16279.999999999998</v>
      </c>
      <c r="N109" s="635">
        <v>16279.999999999998</v>
      </c>
      <c r="O109" s="635">
        <v>16279.999999999998</v>
      </c>
      <c r="P109" s="635">
        <v>16279.999999999998</v>
      </c>
      <c r="Q109" s="635">
        <v>16279.999999999998</v>
      </c>
      <c r="R109" s="635">
        <v>16279.999999999998</v>
      </c>
      <c r="S109" s="635">
        <v>16279.999999999998</v>
      </c>
      <c r="T109" s="635">
        <v>13024</v>
      </c>
      <c r="U109" s="583" t="s">
        <v>99</v>
      </c>
      <c r="V109" s="583" t="s">
        <v>24</v>
      </c>
      <c r="W109" s="635"/>
      <c r="X109" s="635"/>
      <c r="Y109" s="636"/>
    </row>
    <row r="110" spans="1:25" s="583" customFormat="1">
      <c r="A110" s="583" t="s">
        <v>63</v>
      </c>
      <c r="B110" s="635" t="s">
        <v>561</v>
      </c>
      <c r="C110" s="635">
        <v>2601.8919999999998</v>
      </c>
      <c r="D110" s="635">
        <v>2601.8919999999998</v>
      </c>
      <c r="E110" s="635">
        <v>2601.8919999999998</v>
      </c>
      <c r="F110" s="635">
        <v>2601.8919999999998</v>
      </c>
      <c r="G110" s="635">
        <v>3458</v>
      </c>
      <c r="H110" s="635">
        <v>3458</v>
      </c>
      <c r="I110" s="635">
        <v>3458</v>
      </c>
      <c r="J110" s="635">
        <v>3458</v>
      </c>
      <c r="K110" s="635">
        <v>4414.4930000000004</v>
      </c>
      <c r="L110" s="635">
        <v>4414.4930000000004</v>
      </c>
      <c r="M110" s="635">
        <v>4783.058</v>
      </c>
      <c r="N110" s="635">
        <v>5102.9219999999996</v>
      </c>
      <c r="O110" s="635">
        <v>5102.9219999999996</v>
      </c>
      <c r="P110" s="635">
        <v>5102.9219999999996</v>
      </c>
      <c r="Q110" s="635">
        <v>4267.1790000000001</v>
      </c>
      <c r="R110" s="635">
        <v>4267.1790000000001</v>
      </c>
      <c r="S110" s="635">
        <v>4267.1790000000001</v>
      </c>
      <c r="T110" s="635">
        <v>5723.9434700000002</v>
      </c>
      <c r="U110" s="583" t="s">
        <v>99</v>
      </c>
      <c r="V110" s="583" t="s">
        <v>24</v>
      </c>
      <c r="W110" s="635"/>
      <c r="X110" s="635"/>
      <c r="Y110" s="636"/>
    </row>
    <row r="111" spans="1:25" s="583" customFormat="1">
      <c r="A111" s="583" t="s">
        <v>64</v>
      </c>
      <c r="B111" s="635" t="s">
        <v>451</v>
      </c>
      <c r="C111" s="635">
        <v>0</v>
      </c>
      <c r="D111" s="635">
        <v>26759.200000000001</v>
      </c>
      <c r="E111" s="635">
        <v>26759.200000000001</v>
      </c>
      <c r="F111" s="635">
        <v>26759.200000000001</v>
      </c>
      <c r="G111" s="635">
        <v>20069.400000000001</v>
      </c>
      <c r="H111" s="635">
        <v>20069.400000000001</v>
      </c>
      <c r="I111" s="635">
        <v>20069.400000000001</v>
      </c>
      <c r="J111" s="635">
        <v>20069.400000000001</v>
      </c>
      <c r="K111" s="635">
        <v>20069.400000000001</v>
      </c>
      <c r="L111" s="635">
        <v>20069.400000000001</v>
      </c>
      <c r="M111" s="635">
        <v>20069.400000000001</v>
      </c>
      <c r="N111" s="635">
        <v>22022.400000000001</v>
      </c>
      <c r="O111" s="635">
        <v>22022.400000000001</v>
      </c>
      <c r="P111" s="635">
        <v>22022.400000000001</v>
      </c>
      <c r="Q111" s="635">
        <v>0</v>
      </c>
      <c r="R111" s="635">
        <v>0</v>
      </c>
      <c r="S111" s="635">
        <v>0</v>
      </c>
      <c r="T111" s="635">
        <v>0</v>
      </c>
      <c r="U111" s="583" t="s">
        <v>99</v>
      </c>
      <c r="V111" s="583" t="s">
        <v>24</v>
      </c>
      <c r="W111" s="635"/>
      <c r="X111" s="635"/>
      <c r="Y111" s="636"/>
    </row>
    <row r="112" spans="1:25" s="583" customFormat="1">
      <c r="A112" s="583" t="s">
        <v>65</v>
      </c>
      <c r="B112" s="635" t="s">
        <v>568</v>
      </c>
      <c r="C112" s="635">
        <v>0</v>
      </c>
      <c r="D112" s="635">
        <v>0</v>
      </c>
      <c r="E112" s="635">
        <v>0</v>
      </c>
      <c r="F112" s="635">
        <v>0</v>
      </c>
      <c r="G112" s="635">
        <v>0</v>
      </c>
      <c r="H112" s="635">
        <v>0</v>
      </c>
      <c r="I112" s="635">
        <v>0</v>
      </c>
      <c r="J112" s="635">
        <v>0</v>
      </c>
      <c r="K112" s="635">
        <v>0</v>
      </c>
      <c r="L112" s="635">
        <v>0</v>
      </c>
      <c r="M112" s="635">
        <v>0</v>
      </c>
      <c r="N112" s="635">
        <v>0</v>
      </c>
      <c r="O112" s="635">
        <v>0</v>
      </c>
      <c r="P112" s="635">
        <v>0</v>
      </c>
      <c r="Q112" s="635">
        <v>0</v>
      </c>
      <c r="R112" s="635">
        <v>0</v>
      </c>
      <c r="S112" s="635">
        <v>0</v>
      </c>
      <c r="T112" s="635">
        <v>0</v>
      </c>
      <c r="U112" s="583" t="s">
        <v>99</v>
      </c>
      <c r="V112" s="583" t="s">
        <v>24</v>
      </c>
      <c r="W112" s="635"/>
      <c r="X112" s="635"/>
      <c r="Y112" s="636"/>
    </row>
    <row r="113" spans="1:25" s="583" customFormat="1">
      <c r="A113" s="583" t="s">
        <v>66</v>
      </c>
      <c r="B113" s="635" t="s">
        <v>568</v>
      </c>
      <c r="C113" s="635">
        <v>32.645000000000003</v>
      </c>
      <c r="D113" s="635">
        <v>32.645000000000003</v>
      </c>
      <c r="E113" s="635">
        <v>32.645000000000003</v>
      </c>
      <c r="F113" s="635">
        <v>32.645000000000003</v>
      </c>
      <c r="G113" s="635">
        <v>31</v>
      </c>
      <c r="H113" s="635">
        <v>31</v>
      </c>
      <c r="I113" s="635">
        <v>31</v>
      </c>
      <c r="J113" s="635">
        <v>31</v>
      </c>
      <c r="K113" s="635">
        <v>41.46</v>
      </c>
      <c r="L113" s="635">
        <v>41.46</v>
      </c>
      <c r="M113" s="635">
        <v>35.700000000000003</v>
      </c>
      <c r="N113" s="635">
        <v>32</v>
      </c>
      <c r="O113" s="635">
        <v>32</v>
      </c>
      <c r="P113" s="635">
        <v>32</v>
      </c>
      <c r="Q113" s="635">
        <v>32</v>
      </c>
      <c r="R113" s="635">
        <v>32</v>
      </c>
      <c r="S113" s="635">
        <v>32</v>
      </c>
      <c r="T113" s="635">
        <v>32</v>
      </c>
      <c r="U113" s="583" t="s">
        <v>99</v>
      </c>
      <c r="V113" s="583" t="s">
        <v>24</v>
      </c>
      <c r="W113" s="635"/>
      <c r="X113" s="635"/>
      <c r="Y113" s="636"/>
    </row>
    <row r="114" spans="1:25" s="583" customFormat="1">
      <c r="A114" s="583" t="s">
        <v>236</v>
      </c>
      <c r="B114" s="635" t="s">
        <v>568</v>
      </c>
      <c r="C114" s="635">
        <v>0</v>
      </c>
      <c r="D114" s="635">
        <v>0</v>
      </c>
      <c r="E114" s="635">
        <v>0</v>
      </c>
      <c r="F114" s="635">
        <v>0</v>
      </c>
      <c r="G114" s="635">
        <v>2079</v>
      </c>
      <c r="H114" s="635">
        <v>2079</v>
      </c>
      <c r="I114" s="635">
        <v>2079</v>
      </c>
      <c r="J114" s="635">
        <v>2079</v>
      </c>
      <c r="K114" s="635">
        <v>0</v>
      </c>
      <c r="L114" s="635">
        <v>0</v>
      </c>
      <c r="M114" s="635">
        <v>0</v>
      </c>
      <c r="N114" s="635">
        <v>0</v>
      </c>
      <c r="O114" s="635">
        <v>0</v>
      </c>
      <c r="P114" s="635">
        <v>0</v>
      </c>
      <c r="Q114" s="635">
        <v>0</v>
      </c>
      <c r="R114" s="635">
        <v>0</v>
      </c>
      <c r="S114" s="635">
        <v>0</v>
      </c>
      <c r="T114" s="635">
        <v>0</v>
      </c>
      <c r="U114" s="583" t="s">
        <v>99</v>
      </c>
      <c r="V114" s="583" t="s">
        <v>24</v>
      </c>
      <c r="W114" s="635"/>
      <c r="X114" s="635"/>
      <c r="Y114" s="636"/>
    </row>
    <row r="115" spans="1:25" s="583" customFormat="1">
      <c r="A115" s="583" t="s">
        <v>237</v>
      </c>
      <c r="B115" s="635" t="s">
        <v>568</v>
      </c>
      <c r="C115" s="635">
        <v>0</v>
      </c>
      <c r="D115" s="635">
        <v>0</v>
      </c>
      <c r="E115" s="635">
        <v>0</v>
      </c>
      <c r="F115" s="635">
        <v>0</v>
      </c>
      <c r="G115" s="635">
        <v>1464</v>
      </c>
      <c r="H115" s="635">
        <v>1464</v>
      </c>
      <c r="I115" s="635">
        <v>1464</v>
      </c>
      <c r="J115" s="635">
        <v>1464</v>
      </c>
      <c r="K115" s="635">
        <v>1100</v>
      </c>
      <c r="L115" s="635">
        <v>1100</v>
      </c>
      <c r="M115" s="635">
        <v>0</v>
      </c>
      <c r="N115" s="635">
        <v>0</v>
      </c>
      <c r="O115" s="635">
        <v>0</v>
      </c>
      <c r="P115" s="635">
        <v>0</v>
      </c>
      <c r="Q115" s="635">
        <v>0</v>
      </c>
      <c r="R115" s="635">
        <v>0</v>
      </c>
      <c r="S115" s="635">
        <v>0</v>
      </c>
      <c r="T115" s="635">
        <v>0</v>
      </c>
      <c r="U115" s="583" t="s">
        <v>99</v>
      </c>
      <c r="V115" s="583" t="s">
        <v>24</v>
      </c>
      <c r="W115" s="635"/>
      <c r="X115" s="635"/>
      <c r="Y115" s="636"/>
    </row>
    <row r="116" spans="1:25" s="583" customFormat="1">
      <c r="A116" s="583" t="s">
        <v>302</v>
      </c>
      <c r="B116" s="635" t="s">
        <v>568</v>
      </c>
      <c r="C116" s="635">
        <v>0</v>
      </c>
      <c r="D116" s="635">
        <v>0</v>
      </c>
      <c r="E116" s="635">
        <v>0</v>
      </c>
      <c r="F116" s="635">
        <v>0</v>
      </c>
      <c r="G116" s="635">
        <v>0</v>
      </c>
      <c r="H116" s="635">
        <v>0</v>
      </c>
      <c r="I116" s="635">
        <v>0</v>
      </c>
      <c r="J116" s="635">
        <v>40867.582000000002</v>
      </c>
      <c r="K116" s="635">
        <v>62899.071711428565</v>
      </c>
      <c r="L116" s="635">
        <v>62899.071711428565</v>
      </c>
      <c r="M116" s="635">
        <v>18884.133900000001</v>
      </c>
      <c r="N116" s="635">
        <v>0</v>
      </c>
      <c r="O116" s="635">
        <v>0</v>
      </c>
      <c r="P116" s="635">
        <v>0</v>
      </c>
      <c r="Q116" s="635">
        <v>0</v>
      </c>
      <c r="R116" s="635">
        <v>0</v>
      </c>
      <c r="S116" s="635">
        <v>0</v>
      </c>
      <c r="T116" s="635">
        <v>0</v>
      </c>
      <c r="U116" s="583" t="s">
        <v>99</v>
      </c>
      <c r="V116" s="583" t="s">
        <v>24</v>
      </c>
      <c r="W116" s="635"/>
      <c r="X116" s="635"/>
      <c r="Y116" s="636"/>
    </row>
    <row r="117" spans="1:25">
      <c r="A117" t="s">
        <v>308</v>
      </c>
      <c r="B117" s="11" t="s">
        <v>568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  <c r="U117" t="s">
        <v>99</v>
      </c>
      <c r="V117" t="s">
        <v>24</v>
      </c>
      <c r="W117" s="11"/>
      <c r="X117" s="11"/>
      <c r="Y117" s="282"/>
    </row>
    <row r="118" spans="1:25">
      <c r="A118" t="s">
        <v>309</v>
      </c>
      <c r="B118" s="11" t="s">
        <v>568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2400</v>
      </c>
      <c r="L118" s="11">
        <v>2400</v>
      </c>
      <c r="M118" s="11">
        <v>3200</v>
      </c>
      <c r="N118" s="11">
        <v>0</v>
      </c>
      <c r="O118" s="11">
        <v>0</v>
      </c>
      <c r="P118" s="11">
        <v>0</v>
      </c>
      <c r="Q118" s="11">
        <v>4400</v>
      </c>
      <c r="R118" s="11">
        <v>4400</v>
      </c>
      <c r="S118" s="11">
        <v>4400</v>
      </c>
      <c r="T118" s="11">
        <v>0</v>
      </c>
      <c r="U118" t="s">
        <v>99</v>
      </c>
      <c r="V118" t="s">
        <v>24</v>
      </c>
      <c r="W118" s="11"/>
      <c r="X118" s="11"/>
      <c r="Y118" s="282"/>
    </row>
    <row r="119" spans="1:25">
      <c r="A119" t="s">
        <v>310</v>
      </c>
      <c r="B119" s="11" t="s">
        <v>568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237.21700000000001</v>
      </c>
      <c r="L119" s="11">
        <v>237.21700000000001</v>
      </c>
      <c r="M119" s="11">
        <v>192</v>
      </c>
      <c r="N119" s="11">
        <v>503</v>
      </c>
      <c r="O119" s="11">
        <v>503</v>
      </c>
      <c r="P119" s="11">
        <v>503</v>
      </c>
      <c r="Q119" s="11">
        <v>553.29999999999995</v>
      </c>
      <c r="R119" s="11">
        <v>553.29999999999995</v>
      </c>
      <c r="S119" s="11">
        <v>553.29999999999995</v>
      </c>
      <c r="T119" s="11">
        <v>610</v>
      </c>
      <c r="U119" t="s">
        <v>99</v>
      </c>
      <c r="V119" t="s">
        <v>24</v>
      </c>
      <c r="W119" s="11"/>
      <c r="X119" s="11"/>
      <c r="Y119" s="282"/>
    </row>
    <row r="120" spans="1:25">
      <c r="A120" t="s">
        <v>303</v>
      </c>
      <c r="B120" s="11" t="s">
        <v>568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5987.7629999999999</v>
      </c>
      <c r="L120" s="11">
        <v>5987.7629999999999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t="s">
        <v>99</v>
      </c>
      <c r="V120" t="s">
        <v>24</v>
      </c>
      <c r="W120" s="11"/>
      <c r="X120" s="11"/>
      <c r="Y120" s="282"/>
    </row>
    <row r="121" spans="1:25">
      <c r="A121" t="s">
        <v>345</v>
      </c>
      <c r="B121" s="11" t="s">
        <v>490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300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t="s">
        <v>99</v>
      </c>
      <c r="V121" t="s">
        <v>26</v>
      </c>
      <c r="W121" s="11"/>
      <c r="X121" s="11"/>
      <c r="Y121" s="282"/>
    </row>
    <row r="122" spans="1:25">
      <c r="A122" t="s">
        <v>238</v>
      </c>
      <c r="B122" s="11" t="s">
        <v>568</v>
      </c>
      <c r="C122" s="11">
        <v>0</v>
      </c>
      <c r="D122" s="11">
        <v>0</v>
      </c>
      <c r="E122" s="11">
        <v>0</v>
      </c>
      <c r="F122" s="11">
        <v>0</v>
      </c>
      <c r="G122" s="11">
        <v>286.30700000000002</v>
      </c>
      <c r="H122" s="11">
        <v>286.30700000000002</v>
      </c>
      <c r="I122" s="11">
        <v>286.30700000000002</v>
      </c>
      <c r="J122" s="11">
        <v>286.30700000000002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t="s">
        <v>99</v>
      </c>
      <c r="V122" t="s">
        <v>24</v>
      </c>
      <c r="W122" s="11"/>
      <c r="X122" s="11"/>
      <c r="Y122" s="282"/>
    </row>
    <row r="123" spans="1:25">
      <c r="A123" t="s">
        <v>201</v>
      </c>
      <c r="B123" s="11" t="s">
        <v>569</v>
      </c>
      <c r="C123" s="251">
        <v>14835</v>
      </c>
      <c r="D123" s="251">
        <v>14835</v>
      </c>
      <c r="E123" s="251">
        <v>14835</v>
      </c>
      <c r="F123" s="251">
        <v>14835</v>
      </c>
      <c r="G123" s="251">
        <v>14835</v>
      </c>
      <c r="H123" s="251">
        <v>14651.904000019034</v>
      </c>
      <c r="I123" s="251">
        <v>14651.904000019034</v>
      </c>
      <c r="J123" s="251">
        <v>14651.904000019034</v>
      </c>
      <c r="K123" s="251">
        <v>14163.280499999997</v>
      </c>
      <c r="L123" s="251">
        <v>14163.280499999997</v>
      </c>
      <c r="M123" s="251">
        <v>671.75099999999998</v>
      </c>
      <c r="N123" s="251">
        <v>5022.0556740307347</v>
      </c>
      <c r="O123" s="251">
        <v>5022.0556740307347</v>
      </c>
      <c r="P123" s="798"/>
      <c r="Q123" s="798"/>
      <c r="R123" s="798"/>
      <c r="S123" s="798"/>
      <c r="T123" s="798"/>
      <c r="U123" t="s">
        <v>99</v>
      </c>
      <c r="V123" t="s">
        <v>24</v>
      </c>
      <c r="W123" s="11"/>
      <c r="X123" s="11"/>
      <c r="Y123" s="282"/>
    </row>
    <row r="124" spans="1:25">
      <c r="A124" t="s">
        <v>67</v>
      </c>
      <c r="B124" s="11" t="s">
        <v>490</v>
      </c>
      <c r="C124" s="11">
        <v>9000</v>
      </c>
      <c r="D124" s="11">
        <v>9000</v>
      </c>
      <c r="E124" s="11">
        <v>9000</v>
      </c>
      <c r="F124" s="11">
        <v>9000</v>
      </c>
      <c r="G124" s="11">
        <v>2000</v>
      </c>
      <c r="H124" s="11">
        <v>2000</v>
      </c>
      <c r="I124" s="11">
        <v>2000</v>
      </c>
      <c r="J124" s="11">
        <v>2000</v>
      </c>
      <c r="K124" s="11">
        <v>34000</v>
      </c>
      <c r="L124" s="11">
        <v>34000</v>
      </c>
      <c r="M124" s="11">
        <v>79000</v>
      </c>
      <c r="N124" s="11">
        <v>39000</v>
      </c>
      <c r="O124" s="11">
        <v>39000</v>
      </c>
      <c r="P124" s="11">
        <v>39000</v>
      </c>
      <c r="Q124" s="11">
        <v>-14000</v>
      </c>
      <c r="R124" s="11">
        <v>-14000</v>
      </c>
      <c r="S124" s="11">
        <v>-14000</v>
      </c>
      <c r="T124" s="11">
        <v>-38186.000090000001</v>
      </c>
      <c r="U124" t="s">
        <v>99</v>
      </c>
      <c r="V124" t="s">
        <v>26</v>
      </c>
      <c r="W124" s="11"/>
      <c r="X124" s="11"/>
      <c r="Y124" s="282"/>
    </row>
    <row r="125" spans="1:25">
      <c r="A125" t="s">
        <v>68</v>
      </c>
      <c r="B125" s="11" t="s">
        <v>490</v>
      </c>
      <c r="C125" s="11">
        <v>-2000</v>
      </c>
      <c r="D125" s="11">
        <v>-2000</v>
      </c>
      <c r="E125" s="11">
        <v>-2000</v>
      </c>
      <c r="F125" s="11">
        <v>-2000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-8500</v>
      </c>
      <c r="O125" s="11">
        <v>-8500</v>
      </c>
      <c r="P125" s="11">
        <v>-8500</v>
      </c>
      <c r="Q125" s="11">
        <v>-1000</v>
      </c>
      <c r="R125" s="11">
        <v>-1000</v>
      </c>
      <c r="S125" s="11">
        <v>-1000</v>
      </c>
      <c r="T125" s="11">
        <v>-3200</v>
      </c>
      <c r="U125" t="s">
        <v>99</v>
      </c>
      <c r="V125" t="s">
        <v>26</v>
      </c>
      <c r="W125" s="11"/>
      <c r="X125" s="11"/>
      <c r="Y125" s="282"/>
    </row>
    <row r="126" spans="1:25">
      <c r="A126" t="s">
        <v>69</v>
      </c>
      <c r="B126" s="11" t="s">
        <v>490</v>
      </c>
      <c r="C126" s="11">
        <v>-13000</v>
      </c>
      <c r="D126" s="11">
        <v>-13000</v>
      </c>
      <c r="E126" s="11">
        <v>-13000</v>
      </c>
      <c r="F126" s="11">
        <v>-13000</v>
      </c>
      <c r="G126" s="11">
        <v>-33500</v>
      </c>
      <c r="H126" s="11">
        <v>-33500</v>
      </c>
      <c r="I126" s="11">
        <v>-33500</v>
      </c>
      <c r="J126" s="11">
        <v>-33500</v>
      </c>
      <c r="K126" s="11">
        <v>-45440</v>
      </c>
      <c r="L126" s="11">
        <v>-45440</v>
      </c>
      <c r="M126" s="11">
        <v>0</v>
      </c>
      <c r="N126" s="11">
        <v>-31000</v>
      </c>
      <c r="O126" s="11">
        <v>-31000</v>
      </c>
      <c r="P126" s="11">
        <v>-31000</v>
      </c>
      <c r="Q126" s="11">
        <v>0</v>
      </c>
      <c r="R126" s="11">
        <v>0</v>
      </c>
      <c r="S126" s="11">
        <v>0</v>
      </c>
      <c r="T126" s="11">
        <v>0</v>
      </c>
      <c r="U126" t="s">
        <v>99</v>
      </c>
      <c r="V126" t="s">
        <v>26</v>
      </c>
      <c r="W126" s="11"/>
      <c r="X126" s="11"/>
      <c r="Y126" s="282"/>
    </row>
    <row r="127" spans="1:25">
      <c r="A127" t="s">
        <v>70</v>
      </c>
      <c r="B127" s="11" t="s">
        <v>490</v>
      </c>
      <c r="C127" s="11">
        <v>0</v>
      </c>
      <c r="D127" s="11">
        <v>0</v>
      </c>
      <c r="E127" s="11">
        <v>0</v>
      </c>
      <c r="F127" s="11">
        <v>0</v>
      </c>
      <c r="G127" s="11">
        <v>-928.26216999999997</v>
      </c>
      <c r="H127" s="11">
        <v>-928.26216999999997</v>
      </c>
      <c r="I127" s="11">
        <v>-928.26216999999997</v>
      </c>
      <c r="J127" s="11">
        <v>-928.26216999999997</v>
      </c>
      <c r="K127" s="11">
        <v>-10396.87976</v>
      </c>
      <c r="L127" s="11">
        <v>-10396.87976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t="s">
        <v>99</v>
      </c>
      <c r="V127" t="s">
        <v>26</v>
      </c>
      <c r="W127" s="11"/>
      <c r="X127" s="11"/>
      <c r="Y127" s="282"/>
    </row>
    <row r="128" spans="1:25">
      <c r="A128" t="s">
        <v>71</v>
      </c>
      <c r="B128" s="11" t="s">
        <v>490</v>
      </c>
      <c r="C128" s="11">
        <v>221</v>
      </c>
      <c r="D128" s="11">
        <v>221</v>
      </c>
      <c r="E128" s="11">
        <v>221</v>
      </c>
      <c r="F128" s="11">
        <v>221</v>
      </c>
      <c r="G128" s="11">
        <v>1203</v>
      </c>
      <c r="H128" s="11">
        <v>1203</v>
      </c>
      <c r="I128" s="11">
        <v>1203</v>
      </c>
      <c r="J128" s="11">
        <v>1203</v>
      </c>
      <c r="K128" s="11">
        <v>514.08761000000038</v>
      </c>
      <c r="L128" s="11">
        <v>514.08761000000038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0</v>
      </c>
      <c r="U128" t="s">
        <v>99</v>
      </c>
      <c r="V128" t="s">
        <v>26</v>
      </c>
      <c r="W128" s="11"/>
      <c r="X128" s="11"/>
      <c r="Y128" s="282"/>
    </row>
    <row r="129" spans="1:25">
      <c r="A129" t="s">
        <v>72</v>
      </c>
      <c r="B129" s="11" t="s">
        <v>490</v>
      </c>
      <c r="C129" s="11">
        <v>223</v>
      </c>
      <c r="D129" s="11">
        <v>223</v>
      </c>
      <c r="E129" s="11">
        <v>223</v>
      </c>
      <c r="F129" s="11">
        <v>223</v>
      </c>
      <c r="G129" s="11">
        <v>671</v>
      </c>
      <c r="H129" s="11">
        <v>671</v>
      </c>
      <c r="I129" s="11">
        <v>671</v>
      </c>
      <c r="J129" s="11">
        <v>671</v>
      </c>
      <c r="K129" s="11">
        <v>1300</v>
      </c>
      <c r="L129" s="11">
        <v>1300</v>
      </c>
      <c r="M129" s="11">
        <v>1000</v>
      </c>
      <c r="N129" s="11">
        <v>0</v>
      </c>
      <c r="O129" s="11">
        <v>0</v>
      </c>
      <c r="P129" s="11">
        <v>0</v>
      </c>
      <c r="Q129" s="11">
        <v>-800</v>
      </c>
      <c r="R129" s="11">
        <v>-800</v>
      </c>
      <c r="S129" s="11">
        <v>-800</v>
      </c>
      <c r="T129" s="11">
        <v>1383.57547</v>
      </c>
      <c r="U129" t="s">
        <v>99</v>
      </c>
      <c r="V129" t="s">
        <v>26</v>
      </c>
      <c r="W129" s="11"/>
      <c r="X129" s="11"/>
      <c r="Y129" s="282"/>
    </row>
    <row r="130" spans="1:25">
      <c r="A130" t="s">
        <v>73</v>
      </c>
      <c r="B130" s="11" t="s">
        <v>490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30.905999999999999</v>
      </c>
      <c r="L130" s="11">
        <v>30.905999999999999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t="s">
        <v>99</v>
      </c>
      <c r="V130" t="s">
        <v>26</v>
      </c>
      <c r="W130" s="11"/>
      <c r="X130" s="11"/>
      <c r="Y130" s="282"/>
    </row>
    <row r="131" spans="1:25">
      <c r="A131" t="s">
        <v>74</v>
      </c>
      <c r="B131" s="11" t="s">
        <v>451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t="s">
        <v>99</v>
      </c>
      <c r="V131" t="s">
        <v>26</v>
      </c>
      <c r="W131" s="11"/>
      <c r="X131" s="11"/>
      <c r="Y131" s="282"/>
    </row>
    <row r="132" spans="1:25">
      <c r="A132" t="s">
        <v>75</v>
      </c>
      <c r="B132" s="11" t="s">
        <v>490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-9942.5857699999997</v>
      </c>
      <c r="O132" s="11">
        <v>-9942.5857699999997</v>
      </c>
      <c r="P132" s="11">
        <v>-9942.5857699999997</v>
      </c>
      <c r="Q132" s="11">
        <v>0</v>
      </c>
      <c r="R132" s="11">
        <v>0</v>
      </c>
      <c r="S132" s="11">
        <v>0</v>
      </c>
      <c r="T132" s="11">
        <v>0</v>
      </c>
      <c r="U132" t="s">
        <v>99</v>
      </c>
      <c r="V132" t="s">
        <v>26</v>
      </c>
      <c r="W132" s="11"/>
      <c r="X132" s="11"/>
      <c r="Y132" s="282"/>
    </row>
    <row r="133" spans="1:25">
      <c r="A133" t="s">
        <v>76</v>
      </c>
      <c r="B133" s="11" t="s">
        <v>490</v>
      </c>
      <c r="C133" s="11">
        <v>14</v>
      </c>
      <c r="D133" s="11">
        <v>14</v>
      </c>
      <c r="E133" s="11">
        <v>14</v>
      </c>
      <c r="F133" s="11">
        <v>14</v>
      </c>
      <c r="G133" s="11">
        <v>22</v>
      </c>
      <c r="H133" s="11">
        <v>22</v>
      </c>
      <c r="I133" s="11">
        <v>22</v>
      </c>
      <c r="J133" s="11">
        <v>22</v>
      </c>
      <c r="K133" s="11">
        <v>12</v>
      </c>
      <c r="L133" s="11">
        <v>12</v>
      </c>
      <c r="M133" s="11">
        <v>11</v>
      </c>
      <c r="N133" s="11">
        <v>31</v>
      </c>
      <c r="O133" s="11">
        <v>31</v>
      </c>
      <c r="P133" s="11">
        <v>31</v>
      </c>
      <c r="Q133" s="11">
        <v>10</v>
      </c>
      <c r="R133" s="11">
        <v>10</v>
      </c>
      <c r="S133" s="11">
        <v>10</v>
      </c>
      <c r="T133" s="11">
        <v>0</v>
      </c>
      <c r="U133" t="s">
        <v>99</v>
      </c>
      <c r="V133" t="s">
        <v>26</v>
      </c>
      <c r="W133" s="11"/>
      <c r="X133" s="11"/>
      <c r="Y133" s="282"/>
    </row>
    <row r="134" spans="1:25">
      <c r="A134" s="418" t="s">
        <v>239</v>
      </c>
      <c r="B134" s="11" t="s">
        <v>490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-411.07335</v>
      </c>
      <c r="O134" s="11">
        <v>-411.07335</v>
      </c>
      <c r="P134" s="11">
        <v>-411.07335</v>
      </c>
      <c r="Q134" s="11">
        <v>1.0186340659856796E-13</v>
      </c>
      <c r="R134" s="11">
        <v>1.0186340659856796E-13</v>
      </c>
      <c r="S134" s="11">
        <v>1.0186340659856796E-13</v>
      </c>
      <c r="T134" s="11">
        <v>0</v>
      </c>
      <c r="U134" t="s">
        <v>99</v>
      </c>
      <c r="V134" t="s">
        <v>26</v>
      </c>
      <c r="W134" s="11"/>
      <c r="X134" s="11"/>
      <c r="Y134" s="282"/>
    </row>
    <row r="135" spans="1:25">
      <c r="A135" s="418" t="s">
        <v>240</v>
      </c>
      <c r="B135" s="11" t="s">
        <v>490</v>
      </c>
      <c r="C135" s="11">
        <v>0</v>
      </c>
      <c r="D135" s="11">
        <v>0</v>
      </c>
      <c r="E135" s="11">
        <v>0</v>
      </c>
      <c r="F135" s="11">
        <v>0</v>
      </c>
      <c r="G135" s="11">
        <v>1430</v>
      </c>
      <c r="H135" s="11">
        <v>1430</v>
      </c>
      <c r="I135" s="11">
        <v>1430</v>
      </c>
      <c r="J135" s="11">
        <v>1430</v>
      </c>
      <c r="K135" s="11">
        <v>320</v>
      </c>
      <c r="L135" s="11">
        <v>320</v>
      </c>
      <c r="M135" s="11">
        <v>-985.40700000000004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t="s">
        <v>99</v>
      </c>
      <c r="V135" t="s">
        <v>26</v>
      </c>
      <c r="W135" s="11"/>
      <c r="X135" s="11"/>
      <c r="Y135" s="282"/>
    </row>
    <row r="136" spans="1:25">
      <c r="A136" s="418" t="s">
        <v>241</v>
      </c>
      <c r="B136" s="11" t="s">
        <v>490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400</v>
      </c>
      <c r="R136" s="11">
        <v>400</v>
      </c>
      <c r="S136" s="11">
        <v>400</v>
      </c>
      <c r="T136" s="11">
        <v>-100</v>
      </c>
      <c r="U136" t="s">
        <v>99</v>
      </c>
      <c r="V136" t="s">
        <v>26</v>
      </c>
      <c r="W136" s="11"/>
      <c r="X136" s="11"/>
      <c r="Y136" s="282"/>
    </row>
    <row r="137" spans="1:25">
      <c r="A137" s="418" t="s">
        <v>314</v>
      </c>
      <c r="B137" s="11" t="s">
        <v>490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3200</v>
      </c>
      <c r="L137" s="11">
        <v>3200</v>
      </c>
      <c r="M137" s="11">
        <v>6700</v>
      </c>
      <c r="N137" s="11">
        <v>8100</v>
      </c>
      <c r="O137" s="11">
        <v>8100</v>
      </c>
      <c r="P137" s="11">
        <v>8100</v>
      </c>
      <c r="Q137" s="11">
        <v>27000</v>
      </c>
      <c r="R137" s="11">
        <v>27000</v>
      </c>
      <c r="S137" s="11">
        <v>27000</v>
      </c>
      <c r="T137" s="11">
        <v>28700</v>
      </c>
      <c r="U137" t="s">
        <v>99</v>
      </c>
      <c r="V137" t="s">
        <v>26</v>
      </c>
      <c r="W137" s="11"/>
      <c r="X137" s="11"/>
      <c r="Y137" s="282"/>
    </row>
    <row r="138" spans="1:25">
      <c r="A138" s="418" t="s">
        <v>315</v>
      </c>
      <c r="B138" s="11" t="s">
        <v>490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600</v>
      </c>
      <c r="N138" s="11">
        <v>-300</v>
      </c>
      <c r="O138" s="11">
        <v>-300</v>
      </c>
      <c r="P138" s="11">
        <v>-300</v>
      </c>
      <c r="Q138" s="11">
        <v>0</v>
      </c>
      <c r="R138" s="11">
        <v>0</v>
      </c>
      <c r="S138" s="11">
        <v>0</v>
      </c>
      <c r="T138" s="11">
        <v>0</v>
      </c>
      <c r="U138" t="s">
        <v>99</v>
      </c>
      <c r="V138" t="s">
        <v>26</v>
      </c>
      <c r="W138" s="11"/>
      <c r="X138" s="11"/>
      <c r="Y138" s="282"/>
    </row>
    <row r="139" spans="1:25">
      <c r="A139" s="418" t="s">
        <v>316</v>
      </c>
      <c r="B139" s="11" t="s">
        <v>490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2900</v>
      </c>
      <c r="O139" s="11">
        <v>2900</v>
      </c>
      <c r="P139" s="11">
        <v>2900</v>
      </c>
      <c r="Q139" s="11">
        <v>0</v>
      </c>
      <c r="R139" s="11">
        <v>0</v>
      </c>
      <c r="S139" s="11">
        <v>0</v>
      </c>
      <c r="T139" s="11">
        <v>0</v>
      </c>
      <c r="U139" t="s">
        <v>99</v>
      </c>
      <c r="V139" t="s">
        <v>26</v>
      </c>
      <c r="W139" s="11"/>
      <c r="X139" s="11"/>
      <c r="Y139" s="282"/>
    </row>
    <row r="140" spans="1:25">
      <c r="A140" s="418" t="s">
        <v>317</v>
      </c>
      <c r="B140" s="11" t="s">
        <v>490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340</v>
      </c>
      <c r="L140" s="11">
        <v>340</v>
      </c>
      <c r="M140" s="11">
        <v>140</v>
      </c>
      <c r="N140" s="11">
        <v>430</v>
      </c>
      <c r="O140" s="11">
        <v>430</v>
      </c>
      <c r="P140" s="11">
        <v>430</v>
      </c>
      <c r="Q140" s="11">
        <v>700</v>
      </c>
      <c r="R140" s="11">
        <v>700</v>
      </c>
      <c r="S140" s="11">
        <v>700</v>
      </c>
      <c r="T140" s="11">
        <v>480</v>
      </c>
      <c r="U140" t="s">
        <v>99</v>
      </c>
      <c r="V140" t="s">
        <v>26</v>
      </c>
      <c r="W140" s="11"/>
      <c r="X140" s="11"/>
      <c r="Y140" s="282"/>
    </row>
    <row r="141" spans="1:25">
      <c r="A141" t="s">
        <v>202</v>
      </c>
      <c r="B141" s="11" t="s">
        <v>490</v>
      </c>
      <c r="C141" s="11">
        <v>21354.984</v>
      </c>
      <c r="D141" s="11">
        <v>21354.984</v>
      </c>
      <c r="E141" s="11">
        <v>21354.984</v>
      </c>
      <c r="F141" s="11">
        <v>21354.984</v>
      </c>
      <c r="G141" s="11">
        <v>2170.9180000000001</v>
      </c>
      <c r="H141" s="11">
        <v>2170.9180000000001</v>
      </c>
      <c r="I141" s="11">
        <v>2170.9180000000001</v>
      </c>
      <c r="J141" s="11">
        <v>2170.9180000000001</v>
      </c>
      <c r="K141" s="11">
        <v>9362.7150000000001</v>
      </c>
      <c r="L141" s="11">
        <v>9362.7150000000001</v>
      </c>
      <c r="M141" s="11">
        <v>18725.337</v>
      </c>
      <c r="N141" s="11">
        <v>-37450.673999999999</v>
      </c>
      <c r="O141" s="11">
        <v>-37450.673999999999</v>
      </c>
      <c r="P141" s="11">
        <v>-37450.673999999999</v>
      </c>
      <c r="Q141" s="11">
        <v>0</v>
      </c>
      <c r="R141" s="11">
        <v>0</v>
      </c>
      <c r="S141" s="11">
        <v>0</v>
      </c>
      <c r="T141" s="11">
        <v>0</v>
      </c>
      <c r="U141" t="s">
        <v>99</v>
      </c>
      <c r="V141" t="s">
        <v>26</v>
      </c>
      <c r="W141" s="11"/>
      <c r="X141" s="11"/>
      <c r="Y141" s="282"/>
    </row>
    <row r="142" spans="1:25">
      <c r="A142" t="s">
        <v>77</v>
      </c>
      <c r="B142" s="11" t="s">
        <v>570</v>
      </c>
      <c r="C142" s="11">
        <v>60000</v>
      </c>
      <c r="D142" s="11">
        <v>60000</v>
      </c>
      <c r="E142" s="11">
        <v>60000</v>
      </c>
      <c r="F142" s="11">
        <v>60000</v>
      </c>
      <c r="G142" s="11">
        <v>80000</v>
      </c>
      <c r="H142" s="11">
        <v>80000</v>
      </c>
      <c r="I142" s="11">
        <v>80000</v>
      </c>
      <c r="J142" s="11">
        <v>80000</v>
      </c>
      <c r="K142" s="11">
        <v>80000</v>
      </c>
      <c r="L142" s="11">
        <v>80000</v>
      </c>
      <c r="M142" s="11">
        <v>1000</v>
      </c>
      <c r="N142" s="11">
        <v>9000</v>
      </c>
      <c r="O142" s="11">
        <v>9000</v>
      </c>
      <c r="P142" s="11">
        <v>9000</v>
      </c>
      <c r="Q142" s="11">
        <v>0</v>
      </c>
      <c r="R142" s="11">
        <v>0</v>
      </c>
      <c r="S142" s="11">
        <v>0</v>
      </c>
      <c r="T142" s="11">
        <v>0</v>
      </c>
      <c r="U142" t="s">
        <v>78</v>
      </c>
      <c r="V142" t="s">
        <v>26</v>
      </c>
      <c r="W142" s="11"/>
      <c r="X142" s="11"/>
      <c r="Y142" s="282"/>
    </row>
    <row r="143" spans="1:25">
      <c r="A143" t="s">
        <v>344</v>
      </c>
      <c r="B143" s="11" t="s">
        <v>548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67.437064499999991</v>
      </c>
      <c r="N143" s="11">
        <v>376.61006789999999</v>
      </c>
      <c r="O143" s="11">
        <v>376.61006789999999</v>
      </c>
      <c r="P143" s="11">
        <v>376.61006789999999</v>
      </c>
      <c r="Q143" s="11">
        <v>115.25279849999998</v>
      </c>
      <c r="R143" s="11">
        <v>115.25279849999998</v>
      </c>
      <c r="S143" s="11">
        <v>115.25279849999998</v>
      </c>
      <c r="T143" s="11">
        <v>0</v>
      </c>
      <c r="U143" t="s">
        <v>5</v>
      </c>
      <c r="V143" t="s">
        <v>26</v>
      </c>
      <c r="W143" s="11"/>
      <c r="X143" s="11"/>
      <c r="Y143" s="282"/>
    </row>
    <row r="144" spans="1:25">
      <c r="A144" t="s">
        <v>342</v>
      </c>
      <c r="B144" s="11" t="s">
        <v>569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336</v>
      </c>
      <c r="N144" s="11">
        <v>379.5</v>
      </c>
      <c r="O144" s="11">
        <v>379.5</v>
      </c>
      <c r="P144" s="11">
        <v>379.5</v>
      </c>
      <c r="Q144" s="11">
        <v>0</v>
      </c>
      <c r="R144" s="11">
        <v>0</v>
      </c>
      <c r="S144" s="11">
        <v>0</v>
      </c>
      <c r="T144" s="11">
        <v>0</v>
      </c>
      <c r="U144" t="s">
        <v>99</v>
      </c>
      <c r="V144" t="s">
        <v>24</v>
      </c>
      <c r="W144" s="11"/>
      <c r="X144" s="11"/>
      <c r="Y144" s="282"/>
    </row>
    <row r="145" spans="1:25">
      <c r="A145" t="s">
        <v>343</v>
      </c>
      <c r="B145" s="11" t="s">
        <v>569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295.5</v>
      </c>
      <c r="N145" s="11">
        <v>325.5</v>
      </c>
      <c r="O145" s="11">
        <v>325.5</v>
      </c>
      <c r="P145" s="11">
        <v>325.5</v>
      </c>
      <c r="Q145" s="11">
        <v>0</v>
      </c>
      <c r="R145" s="11">
        <v>0</v>
      </c>
      <c r="S145" s="11">
        <v>0</v>
      </c>
      <c r="T145" s="11">
        <v>0</v>
      </c>
      <c r="U145" t="s">
        <v>99</v>
      </c>
      <c r="V145" t="s">
        <v>24</v>
      </c>
      <c r="W145" s="11"/>
      <c r="X145" s="11"/>
      <c r="Y145" s="282"/>
    </row>
    <row r="146" spans="1:25">
      <c r="A146" t="s">
        <v>369</v>
      </c>
      <c r="B146" s="11" t="s">
        <v>490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400</v>
      </c>
      <c r="O146" s="11">
        <v>400</v>
      </c>
      <c r="P146" s="11">
        <v>400</v>
      </c>
      <c r="Q146" s="11">
        <v>700</v>
      </c>
      <c r="R146" s="11">
        <v>700</v>
      </c>
      <c r="S146" s="11">
        <v>700</v>
      </c>
      <c r="T146" s="11">
        <v>3500</v>
      </c>
      <c r="U146" t="s">
        <v>99</v>
      </c>
      <c r="V146" t="s">
        <v>26</v>
      </c>
      <c r="W146" s="11"/>
      <c r="X146" s="11"/>
      <c r="Y146" s="282"/>
    </row>
    <row r="147" spans="1:25">
      <c r="A147" t="s">
        <v>370</v>
      </c>
      <c r="B147" s="11" t="s">
        <v>490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300</v>
      </c>
      <c r="O147" s="11">
        <v>300</v>
      </c>
      <c r="P147" s="11">
        <v>300</v>
      </c>
      <c r="Q147" s="11">
        <v>500</v>
      </c>
      <c r="R147" s="11">
        <v>500</v>
      </c>
      <c r="S147" s="11">
        <v>500</v>
      </c>
      <c r="T147" s="11">
        <v>400</v>
      </c>
      <c r="U147" t="s">
        <v>99</v>
      </c>
      <c r="V147" t="s">
        <v>26</v>
      </c>
      <c r="W147" s="11"/>
      <c r="X147" s="11"/>
      <c r="Y147" s="282"/>
    </row>
    <row r="148" spans="1:25">
      <c r="A148" t="s">
        <v>371</v>
      </c>
      <c r="B148" s="11" t="s">
        <v>490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0</v>
      </c>
      <c r="Q148" s="11">
        <v>0</v>
      </c>
      <c r="R148" s="11">
        <v>0</v>
      </c>
      <c r="S148" s="11">
        <v>0</v>
      </c>
      <c r="T148" s="11">
        <v>0</v>
      </c>
      <c r="U148" t="s">
        <v>99</v>
      </c>
      <c r="V148" t="s">
        <v>26</v>
      </c>
      <c r="W148" s="11"/>
      <c r="X148" s="11"/>
      <c r="Y148" s="282"/>
    </row>
    <row r="149" spans="1:25">
      <c r="A149" t="s">
        <v>374</v>
      </c>
      <c r="B149" s="11" t="s">
        <v>548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248.998392</v>
      </c>
      <c r="O149" s="11">
        <v>248.998392</v>
      </c>
      <c r="P149" s="11">
        <v>248.998392</v>
      </c>
      <c r="Q149" s="11">
        <v>285.53621249999998</v>
      </c>
      <c r="R149" s="11">
        <v>285.53621249999998</v>
      </c>
      <c r="S149" s="11">
        <v>285.53621249999998</v>
      </c>
      <c r="T149" s="11">
        <v>346.83614999999998</v>
      </c>
      <c r="U149" t="s">
        <v>5</v>
      </c>
      <c r="V149" t="s">
        <v>26</v>
      </c>
      <c r="W149" s="11"/>
      <c r="X149" s="11"/>
      <c r="Y149" s="282"/>
    </row>
    <row r="150" spans="1:25">
      <c r="A150" t="s">
        <v>375</v>
      </c>
      <c r="B150" s="11" t="s">
        <v>548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7.2624531000000001</v>
      </c>
      <c r="O150" s="11">
        <v>7.2624531000000001</v>
      </c>
      <c r="P150" s="11">
        <v>7.2624531000000001</v>
      </c>
      <c r="Q150" s="11">
        <v>20.766269999999999</v>
      </c>
      <c r="R150" s="11">
        <v>20.766269999999999</v>
      </c>
      <c r="S150" s="11">
        <v>20.766269999999999</v>
      </c>
      <c r="T150" s="11">
        <v>30.20495</v>
      </c>
      <c r="U150" t="s">
        <v>5</v>
      </c>
      <c r="V150" t="s">
        <v>26</v>
      </c>
      <c r="W150" s="11"/>
      <c r="X150" s="11"/>
      <c r="Y150" s="282"/>
    </row>
    <row r="151" spans="1:25" ht="13.9" customHeight="1">
      <c r="A151" t="s">
        <v>376</v>
      </c>
      <c r="B151" s="11" t="s">
        <v>548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43.574718599999997</v>
      </c>
      <c r="O151" s="11">
        <v>43.574718599999997</v>
      </c>
      <c r="P151" s="11">
        <v>43.574718599999997</v>
      </c>
      <c r="Q151" s="11">
        <v>61.260496499999995</v>
      </c>
      <c r="R151" s="11">
        <v>61.260496499999995</v>
      </c>
      <c r="S151" s="11">
        <v>61.260496499999995</v>
      </c>
      <c r="T151" s="11">
        <v>61.451450000000001</v>
      </c>
      <c r="U151" t="s">
        <v>5</v>
      </c>
      <c r="V151" t="s">
        <v>26</v>
      </c>
      <c r="W151" s="11"/>
      <c r="X151" s="11"/>
      <c r="Y151" s="282"/>
    </row>
    <row r="152" spans="1:25">
      <c r="A152" t="s">
        <v>429</v>
      </c>
      <c r="B152" s="11" t="s">
        <v>568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v>9511.6319999999996</v>
      </c>
      <c r="Q152" s="11">
        <v>29165.073599999996</v>
      </c>
      <c r="R152" s="11">
        <v>29165.073599999996</v>
      </c>
      <c r="S152" s="11">
        <v>19653.441599999998</v>
      </c>
      <c r="T152" s="11">
        <v>21618.786</v>
      </c>
      <c r="U152" t="s">
        <v>99</v>
      </c>
      <c r="V152" t="s">
        <v>24</v>
      </c>
      <c r="W152" s="11"/>
      <c r="X152" s="11"/>
      <c r="Y152" s="282"/>
    </row>
    <row r="153" spans="1:25">
      <c r="A153" t="s">
        <v>444</v>
      </c>
      <c r="B153" s="11" t="s">
        <v>571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v>60523</v>
      </c>
      <c r="R153" s="11">
        <v>60523</v>
      </c>
      <c r="S153" s="11">
        <v>60523</v>
      </c>
      <c r="T153" s="11">
        <v>34080.357556321556</v>
      </c>
      <c r="U153" t="s">
        <v>99</v>
      </c>
      <c r="V153" t="s">
        <v>24</v>
      </c>
      <c r="W153" s="14"/>
      <c r="X153" s="11"/>
      <c r="Y153" s="282"/>
    </row>
    <row r="154" spans="1:25">
      <c r="A154" t="s">
        <v>478</v>
      </c>
      <c r="B154" s="11" t="s">
        <v>568</v>
      </c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>
        <v>2966.7624920999997</v>
      </c>
      <c r="U154" t="s">
        <v>99</v>
      </c>
      <c r="V154" t="s">
        <v>24</v>
      </c>
      <c r="W154" s="14"/>
      <c r="X154" s="11"/>
      <c r="Y154" s="282"/>
    </row>
    <row r="155" spans="1:25">
      <c r="A155" t="s">
        <v>479</v>
      </c>
      <c r="B155" s="635" t="s">
        <v>568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453">
        <v>2520</v>
      </c>
      <c r="R155" s="453">
        <v>2520</v>
      </c>
      <c r="S155" s="453">
        <v>2520</v>
      </c>
      <c r="T155" s="11">
        <v>6300</v>
      </c>
      <c r="U155" t="s">
        <v>99</v>
      </c>
      <c r="V155" t="s">
        <v>24</v>
      </c>
      <c r="W155" s="14"/>
      <c r="X155" s="11"/>
      <c r="Y155" s="282"/>
    </row>
    <row r="156" spans="1:25">
      <c r="A156" t="s">
        <v>446</v>
      </c>
      <c r="B156" s="635" t="s">
        <v>490</v>
      </c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453"/>
      <c r="R156" s="453"/>
      <c r="S156" s="453"/>
      <c r="T156" s="635">
        <v>-1400</v>
      </c>
      <c r="U156" t="s">
        <v>99</v>
      </c>
      <c r="V156" t="s">
        <v>26</v>
      </c>
      <c r="W156" s="14"/>
      <c r="X156" s="11"/>
      <c r="Y156" s="282"/>
    </row>
    <row r="157" spans="1:25">
      <c r="A157" t="s">
        <v>74</v>
      </c>
      <c r="B157" s="635" t="s">
        <v>490</v>
      </c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453"/>
      <c r="R157" s="453"/>
      <c r="S157" s="453"/>
      <c r="T157" s="635">
        <v>1131.6690000000001</v>
      </c>
      <c r="U157" t="s">
        <v>99</v>
      </c>
      <c r="V157" t="s">
        <v>26</v>
      </c>
      <c r="W157" s="14"/>
      <c r="X157" s="11"/>
      <c r="Y157" s="282"/>
    </row>
    <row r="158" spans="1:25">
      <c r="A158" t="s">
        <v>447</v>
      </c>
      <c r="B158" s="11" t="s">
        <v>572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453">
        <v>1959.0642899999996</v>
      </c>
      <c r="R158" s="453">
        <v>1959.0642899999996</v>
      </c>
      <c r="S158" s="453">
        <v>1959.0642899999996</v>
      </c>
      <c r="T158" s="11">
        <v>0</v>
      </c>
      <c r="U158" t="s">
        <v>5</v>
      </c>
      <c r="V158" t="s">
        <v>24</v>
      </c>
      <c r="W158" s="14"/>
      <c r="X158" s="11"/>
      <c r="Y158" s="282"/>
    </row>
    <row r="159" spans="1:25">
      <c r="A159" s="12" t="s">
        <v>448</v>
      </c>
      <c r="B159" s="11" t="s">
        <v>572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453">
        <v>824.16204999999979</v>
      </c>
      <c r="R159" s="453">
        <v>824.16204999999979</v>
      </c>
      <c r="S159" s="453">
        <v>824.16204999999979</v>
      </c>
      <c r="T159" s="11">
        <v>0</v>
      </c>
      <c r="U159" t="s">
        <v>3</v>
      </c>
      <c r="V159" t="s">
        <v>24</v>
      </c>
      <c r="W159" s="14"/>
      <c r="X159" s="11"/>
      <c r="Y159" s="282"/>
    </row>
    <row r="160" spans="1:25">
      <c r="A160" s="12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W160" s="14"/>
      <c r="X160" s="11"/>
      <c r="Y160" s="282"/>
    </row>
    <row r="161" spans="1:25">
      <c r="A161" s="12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W161" s="14"/>
      <c r="X161" s="11"/>
      <c r="Y161" s="282"/>
    </row>
    <row r="162" spans="1:25">
      <c r="A162" s="17" t="s">
        <v>8</v>
      </c>
      <c r="B162" s="20"/>
      <c r="C162" s="20">
        <f t="shared" ref="C162:S162" si="1">SUM(C68:C161)</f>
        <v>329702.0308045494</v>
      </c>
      <c r="D162" s="20">
        <f t="shared" si="1"/>
        <v>357464.52151790942</v>
      </c>
      <c r="E162" s="20">
        <f t="shared" si="1"/>
        <v>357464.52151790942</v>
      </c>
      <c r="F162" s="20">
        <f t="shared" si="1"/>
        <v>357464.52151790942</v>
      </c>
      <c r="G162" s="20">
        <f t="shared" si="1"/>
        <v>356590.14510374423</v>
      </c>
      <c r="H162" s="20">
        <f t="shared" si="1"/>
        <v>351419.29952796071</v>
      </c>
      <c r="I162" s="20">
        <f t="shared" si="1"/>
        <v>351419.29952796071</v>
      </c>
      <c r="J162" s="20">
        <f t="shared" si="1"/>
        <v>402971.03589296434</v>
      </c>
      <c r="K162" s="20">
        <f t="shared" si="1"/>
        <v>420122.43310720375</v>
      </c>
      <c r="L162" s="20">
        <f t="shared" si="1"/>
        <v>420122.43310720375</v>
      </c>
      <c r="M162" s="20">
        <f t="shared" si="1"/>
        <v>540056.82609551121</v>
      </c>
      <c r="N162" s="20">
        <f t="shared" si="1"/>
        <v>399340.03922969347</v>
      </c>
      <c r="O162" s="20">
        <f t="shared" si="1"/>
        <v>399722.93402128434</v>
      </c>
      <c r="P162" s="20">
        <f t="shared" si="1"/>
        <v>404569.13281931909</v>
      </c>
      <c r="Q162" s="20">
        <f t="shared" si="1"/>
        <v>207599.01782842237</v>
      </c>
      <c r="R162" s="20">
        <f t="shared" si="1"/>
        <v>207599.01782842237</v>
      </c>
      <c r="S162" s="20">
        <f t="shared" si="1"/>
        <v>197722.96191579037</v>
      </c>
      <c r="T162" s="20">
        <f t="shared" ref="T162" si="2">SUM(T68:T161)</f>
        <v>157812.98196262447</v>
      </c>
      <c r="W162" s="20"/>
      <c r="X162" s="11"/>
      <c r="Y162" s="282"/>
    </row>
    <row r="163" spans="1:25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W163" s="14"/>
      <c r="X163" s="11"/>
      <c r="Y163" s="282"/>
    </row>
    <row r="164" spans="1:25">
      <c r="A164" s="17" t="s">
        <v>9</v>
      </c>
      <c r="X164" s="11"/>
      <c r="Y164" s="282"/>
    </row>
    <row r="165" spans="1:25">
      <c r="A165" t="s">
        <v>83</v>
      </c>
      <c r="B165" s="11" t="s">
        <v>573</v>
      </c>
      <c r="C165" s="14">
        <v>868299.98992230475</v>
      </c>
      <c r="D165" s="14">
        <v>868299.98992230475</v>
      </c>
      <c r="E165" s="14">
        <v>868299.98992230475</v>
      </c>
      <c r="F165" s="14">
        <v>868299.98992230475</v>
      </c>
      <c r="G165" s="14">
        <v>1035770.6823141619</v>
      </c>
      <c r="H165" s="14">
        <v>1035770.6823141619</v>
      </c>
      <c r="I165" s="14">
        <v>1035770.6823141619</v>
      </c>
      <c r="J165" s="14">
        <v>1035770.6823141619</v>
      </c>
      <c r="K165" s="14">
        <v>1074297.3462269725</v>
      </c>
      <c r="L165" s="14">
        <v>1074297.3462269725</v>
      </c>
      <c r="M165" s="14">
        <v>1193257.0559192772</v>
      </c>
      <c r="N165" s="14">
        <v>1015801.8622927812</v>
      </c>
      <c r="O165" s="14">
        <v>1015801.8622927812</v>
      </c>
      <c r="P165" s="11">
        <v>1015801.8622927812</v>
      </c>
      <c r="Q165" s="11">
        <v>1015801.8622927812</v>
      </c>
      <c r="R165" s="11">
        <v>1241611.5256814267</v>
      </c>
      <c r="S165" s="11">
        <v>1241611.5256814267</v>
      </c>
      <c r="T165" s="11">
        <v>1313239.1758825849</v>
      </c>
      <c r="U165" t="s">
        <v>10</v>
      </c>
      <c r="V165" t="s">
        <v>24</v>
      </c>
      <c r="W165" s="14"/>
      <c r="X165" s="11"/>
      <c r="Y165" s="282"/>
    </row>
    <row r="166" spans="1:25">
      <c r="A166" t="s">
        <v>84</v>
      </c>
      <c r="B166" s="11" t="s">
        <v>574</v>
      </c>
      <c r="C166" s="11">
        <v>-290446.64441818016</v>
      </c>
      <c r="D166" s="11">
        <v>-290446.64441818016</v>
      </c>
      <c r="E166" s="11">
        <v>-290446.64441818016</v>
      </c>
      <c r="F166" s="11">
        <v>-290446.64441818016</v>
      </c>
      <c r="G166" s="11">
        <v>-277683.71417458501</v>
      </c>
      <c r="H166" s="11">
        <v>-277683.71417458501</v>
      </c>
      <c r="I166" s="11">
        <v>-277683.71417458501</v>
      </c>
      <c r="J166" s="11">
        <v>-277683.71417458501</v>
      </c>
      <c r="K166" s="11">
        <v>-278898.97072907857</v>
      </c>
      <c r="L166" s="11">
        <v>-278898.97072907857</v>
      </c>
      <c r="M166" s="11">
        <v>-290681.11501687701</v>
      </c>
      <c r="N166" s="11">
        <v>-281192.87689030415</v>
      </c>
      <c r="O166" s="11">
        <v>-281192.87689030415</v>
      </c>
      <c r="P166" s="11">
        <v>-281192.87689030415</v>
      </c>
      <c r="Q166" s="11">
        <v>-338074.81254709855</v>
      </c>
      <c r="R166" s="11">
        <v>-338074.81254709855</v>
      </c>
      <c r="S166" s="11">
        <v>-338074.81254709855</v>
      </c>
      <c r="T166" s="11">
        <v>-165836.09206060256</v>
      </c>
      <c r="U166" t="s">
        <v>10</v>
      </c>
      <c r="V166" t="s">
        <v>26</v>
      </c>
      <c r="W166" s="11"/>
      <c r="X166" s="11"/>
      <c r="Y166" s="282"/>
    </row>
    <row r="167" spans="1:25">
      <c r="A167" t="s">
        <v>85</v>
      </c>
      <c r="B167" s="11" t="s">
        <v>575</v>
      </c>
      <c r="C167" s="11">
        <v>-19395.786457506467</v>
      </c>
      <c r="D167" s="11">
        <v>-19395.786457506467</v>
      </c>
      <c r="E167" s="11">
        <v>-19395.786457506467</v>
      </c>
      <c r="F167" s="11">
        <v>-19395.786457506467</v>
      </c>
      <c r="G167" s="11">
        <v>-21666.547322748575</v>
      </c>
      <c r="H167" s="11">
        <v>-21666.547322748575</v>
      </c>
      <c r="I167" s="11">
        <v>-21666.547322748575</v>
      </c>
      <c r="J167" s="11">
        <v>-21666.547322748575</v>
      </c>
      <c r="K167" s="11">
        <v>-22726.988940683394</v>
      </c>
      <c r="L167" s="11">
        <v>-22726.988940683394</v>
      </c>
      <c r="M167" s="11">
        <v>-42946.287503795225</v>
      </c>
      <c r="N167" s="11">
        <v>-49504.512347211225</v>
      </c>
      <c r="O167" s="11">
        <v>-49504.512347211225</v>
      </c>
      <c r="P167" s="11">
        <v>-49504.512347211225</v>
      </c>
      <c r="Q167" s="11">
        <v>-40831.286867283969</v>
      </c>
      <c r="R167" s="11">
        <v>-40831.286867283969</v>
      </c>
      <c r="S167" s="11">
        <v>-40831.286867283969</v>
      </c>
      <c r="T167" s="11">
        <v>-50636.770671978818</v>
      </c>
      <c r="U167" t="s">
        <v>10</v>
      </c>
      <c r="V167" t="s">
        <v>26</v>
      </c>
      <c r="W167" s="11"/>
      <c r="X167" s="11"/>
      <c r="Y167" s="282"/>
    </row>
    <row r="168" spans="1:25">
      <c r="A168" t="s">
        <v>86</v>
      </c>
      <c r="B168" s="11" t="s">
        <v>576</v>
      </c>
      <c r="C168" s="11">
        <v>631.66948234935251</v>
      </c>
      <c r="D168" s="11">
        <v>631.66948234935251</v>
      </c>
      <c r="E168" s="11">
        <v>631.66948234935251</v>
      </c>
      <c r="F168" s="11">
        <v>631.66948234935251</v>
      </c>
      <c r="G168" s="11">
        <v>-245.06877306482485</v>
      </c>
      <c r="H168" s="11">
        <v>-245.06877306482485</v>
      </c>
      <c r="I168" s="11">
        <v>-245.06877306482485</v>
      </c>
      <c r="J168" s="11">
        <v>-245.06877306482485</v>
      </c>
      <c r="K168" s="11">
        <v>151.21123428324981</v>
      </c>
      <c r="L168" s="11">
        <v>151.21123428324981</v>
      </c>
      <c r="M168" s="11">
        <v>557.06449752135018</v>
      </c>
      <c r="N168" s="11">
        <v>141.01499621368913</v>
      </c>
      <c r="O168" s="11">
        <v>141.01499621368913</v>
      </c>
      <c r="P168" s="11">
        <v>141.01499621368913</v>
      </c>
      <c r="Q168" s="11">
        <v>178.76388774267036</v>
      </c>
      <c r="R168" s="11">
        <v>178.76388774267036</v>
      </c>
      <c r="S168" s="11">
        <v>178.76388774267036</v>
      </c>
      <c r="T168" s="11">
        <v>847.9793819286399</v>
      </c>
      <c r="U168" t="s">
        <v>87</v>
      </c>
      <c r="V168" t="s">
        <v>26</v>
      </c>
      <c r="W168" s="11"/>
      <c r="X168" s="11"/>
      <c r="Y168" s="282"/>
    </row>
    <row r="169" spans="1:25"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W169" s="11"/>
    </row>
    <row r="170" spans="1:25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W170" s="14"/>
    </row>
    <row r="171" spans="1:25">
      <c r="A171" s="17" t="s">
        <v>11</v>
      </c>
      <c r="C171" s="20">
        <f t="shared" ref="C171:K171" si="3">SUM(C165:C170)</f>
        <v>559089.22852896748</v>
      </c>
      <c r="D171" s="20">
        <f t="shared" si="3"/>
        <v>559089.22852896748</v>
      </c>
      <c r="E171" s="20">
        <f t="shared" si="3"/>
        <v>559089.22852896748</v>
      </c>
      <c r="F171" s="20">
        <f t="shared" si="3"/>
        <v>559089.22852896748</v>
      </c>
      <c r="G171" s="20">
        <f t="shared" si="3"/>
        <v>736175.3520437635</v>
      </c>
      <c r="H171" s="20">
        <f t="shared" si="3"/>
        <v>736175.3520437635</v>
      </c>
      <c r="I171" s="20">
        <f t="shared" si="3"/>
        <v>736175.3520437635</v>
      </c>
      <c r="J171" s="20">
        <f t="shared" si="3"/>
        <v>736175.3520437635</v>
      </c>
      <c r="K171" s="20">
        <f t="shared" si="3"/>
        <v>772822.59779149375</v>
      </c>
      <c r="L171" s="20">
        <f t="shared" ref="L171:S171" si="4">SUM(L165:L170)</f>
        <v>772822.59779149375</v>
      </c>
      <c r="M171" s="20">
        <f t="shared" si="4"/>
        <v>860186.71789612644</v>
      </c>
      <c r="N171" s="20">
        <f t="shared" si="4"/>
        <v>685245.48805147957</v>
      </c>
      <c r="O171" s="20">
        <f t="shared" si="4"/>
        <v>685245.48805147957</v>
      </c>
      <c r="P171" s="20">
        <f t="shared" si="4"/>
        <v>685245.48805147957</v>
      </c>
      <c r="Q171" s="20">
        <f t="shared" si="4"/>
        <v>637074.52676614129</v>
      </c>
      <c r="R171" s="20">
        <f t="shared" si="4"/>
        <v>862884.1901547868</v>
      </c>
      <c r="S171" s="20">
        <f t="shared" si="4"/>
        <v>862884.1901547868</v>
      </c>
      <c r="T171" s="20">
        <f t="shared" ref="T171" si="5">SUM(T165:T170)</f>
        <v>1097614.2925319322</v>
      </c>
      <c r="W171" s="20"/>
    </row>
    <row r="173" spans="1:25" ht="15" thickBot="1">
      <c r="A173" s="17" t="s">
        <v>12</v>
      </c>
      <c r="C173" s="181">
        <f t="shared" ref="C173:S173" si="6">C65+C162+C171</f>
        <v>4300472.5173024256</v>
      </c>
      <c r="D173" s="181">
        <f t="shared" si="6"/>
        <v>4142002.3094766168</v>
      </c>
      <c r="E173" s="181">
        <f t="shared" si="6"/>
        <v>4142002.3094766168</v>
      </c>
      <c r="F173" s="181">
        <f t="shared" si="6"/>
        <v>4142002.3094766163</v>
      </c>
      <c r="G173" s="181">
        <f t="shared" si="6"/>
        <v>4561316.7688900335</v>
      </c>
      <c r="H173" s="181">
        <f t="shared" si="6"/>
        <v>4297906.8342820145</v>
      </c>
      <c r="I173" s="181">
        <f t="shared" si="6"/>
        <v>4297906.8342820145</v>
      </c>
      <c r="J173" s="181">
        <f t="shared" si="6"/>
        <v>4349458.570647018</v>
      </c>
      <c r="K173" s="181">
        <f t="shared" si="6"/>
        <v>4340207.4306903612</v>
      </c>
      <c r="L173" s="181">
        <f t="shared" si="6"/>
        <v>4285810.1742463037</v>
      </c>
      <c r="M173" s="181">
        <f t="shared" si="6"/>
        <v>4377145.6952439081</v>
      </c>
      <c r="N173" s="181">
        <f t="shared" si="6"/>
        <v>3904787.155313971</v>
      </c>
      <c r="O173" s="181">
        <f t="shared" si="6"/>
        <v>4197816.7078658491</v>
      </c>
      <c r="P173" s="181">
        <f t="shared" si="6"/>
        <v>4233071.8352868836</v>
      </c>
      <c r="Q173" s="181">
        <f t="shared" si="6"/>
        <v>4123232.3110290947</v>
      </c>
      <c r="R173" s="181">
        <f t="shared" si="6"/>
        <v>4349041.9744177405</v>
      </c>
      <c r="S173" s="181">
        <f t="shared" si="6"/>
        <v>4308732.9498201087</v>
      </c>
      <c r="T173" s="181">
        <f t="shared" ref="T173" si="7">T65+T162+T171</f>
        <v>4934958.8471066877</v>
      </c>
      <c r="U173" s="20"/>
      <c r="W173" s="20"/>
    </row>
    <row r="174" spans="1:25" ht="15" thickTop="1">
      <c r="C174" s="284"/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/>
      <c r="P174" s="284"/>
      <c r="Q174" s="284"/>
      <c r="R174" s="284"/>
      <c r="S174" s="284"/>
      <c r="T174" s="284"/>
      <c r="U174" s="23"/>
      <c r="W174" s="14"/>
    </row>
    <row r="175" spans="1:25">
      <c r="L175" s="23"/>
      <c r="M175" s="23"/>
      <c r="N175" s="14"/>
      <c r="O175" s="14"/>
      <c r="P175" s="14"/>
      <c r="Q175" s="14"/>
      <c r="R175" s="14"/>
      <c r="S175" s="14"/>
      <c r="T175" s="14"/>
      <c r="W175" s="23"/>
    </row>
    <row r="176" spans="1:25"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419"/>
      <c r="R176" s="419"/>
      <c r="S176" s="419"/>
      <c r="T176" s="419"/>
      <c r="W176" s="14"/>
    </row>
    <row r="177" spans="1:23">
      <c r="A177" t="s">
        <v>13</v>
      </c>
      <c r="G177" s="217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W177" s="14"/>
    </row>
    <row r="178" spans="1:23">
      <c r="A178" t="s">
        <v>476</v>
      </c>
      <c r="G178" s="12"/>
      <c r="H178" s="12"/>
      <c r="I178" s="12"/>
      <c r="J178" s="12"/>
      <c r="K178" s="12"/>
      <c r="L178" s="12"/>
      <c r="M178" s="12"/>
      <c r="N178" s="12"/>
      <c r="O178" s="12"/>
      <c r="T178" s="624"/>
      <c r="U178" s="625"/>
      <c r="V178" s="626"/>
      <c r="W178" s="12"/>
    </row>
    <row r="179" spans="1:23">
      <c r="T179" s="583"/>
      <c r="U179" s="454"/>
      <c r="V179" s="454"/>
      <c r="W179" s="21"/>
    </row>
    <row r="180" spans="1:23">
      <c r="T180" s="583"/>
      <c r="U180" s="454"/>
      <c r="V180" s="454"/>
      <c r="W180" s="21"/>
    </row>
    <row r="181" spans="1:23">
      <c r="T181" s="583"/>
      <c r="U181" s="454"/>
      <c r="V181" s="454"/>
    </row>
    <row r="182" spans="1:23">
      <c r="T182" s="583"/>
      <c r="U182" s="454"/>
      <c r="V182" s="454"/>
    </row>
    <row r="183" spans="1:23">
      <c r="T183" s="583"/>
      <c r="U183" s="454"/>
      <c r="V183" s="454"/>
    </row>
    <row r="184" spans="1:23">
      <c r="T184" s="583"/>
      <c r="U184" s="454"/>
      <c r="V184" s="454"/>
    </row>
    <row r="185" spans="1:23">
      <c r="T185" s="583"/>
      <c r="U185" s="454"/>
      <c r="V185" s="454"/>
    </row>
    <row r="186" spans="1:23">
      <c r="T186" s="583"/>
      <c r="U186" s="454"/>
      <c r="V186" s="454"/>
    </row>
    <row r="187" spans="1:23">
      <c r="T187" s="583"/>
      <c r="U187" s="454"/>
      <c r="V187" s="454"/>
    </row>
    <row r="188" spans="1:23">
      <c r="T188" s="583"/>
      <c r="U188" s="454"/>
      <c r="V188" s="454"/>
    </row>
    <row r="189" spans="1:23">
      <c r="T189" s="583"/>
      <c r="U189" s="454"/>
      <c r="V189" s="454"/>
      <c r="W189" s="21"/>
    </row>
    <row r="190" spans="1:23">
      <c r="T190" s="583"/>
      <c r="U190" s="454"/>
      <c r="V190" s="454"/>
    </row>
    <row r="191" spans="1:23">
      <c r="T191" s="583"/>
      <c r="U191" s="454"/>
      <c r="V191" s="454"/>
    </row>
    <row r="192" spans="1:23">
      <c r="T192" s="583"/>
      <c r="U192" s="454"/>
      <c r="V192" s="454"/>
    </row>
    <row r="193" spans="20:22">
      <c r="T193" s="583"/>
      <c r="U193" s="454"/>
      <c r="V193" s="454"/>
    </row>
    <row r="194" spans="20:22">
      <c r="T194" s="583"/>
      <c r="U194" s="627"/>
      <c r="V194" s="628"/>
    </row>
    <row r="195" spans="20:22">
      <c r="T195" s="583"/>
      <c r="U195" s="583"/>
      <c r="V195" s="583"/>
    </row>
  </sheetData>
  <autoFilter ref="A7:V174" xr:uid="{58C69D28-87E3-445F-89CF-C3F304F54B9A}"/>
  <sortState xmlns:xlrd2="http://schemas.microsoft.com/office/spreadsheetml/2017/richdata2" ref="A69:U162">
    <sortCondition ref="U68"/>
  </sortState>
  <conditionalFormatting sqref="B1:B1048576">
    <cfRule type="containsText" dxfId="13" priority="13" operator="containsText" text="check">
      <formula>NOT(ISERROR(SEARCH("check",B1)))</formula>
    </cfRule>
  </conditionalFormatting>
  <conditionalFormatting sqref="B9:T159 B165:B168">
    <cfRule type="cellIs" dxfId="12" priority="4" operator="equal">
      <formula>"CHECK"</formula>
    </cfRule>
  </conditionalFormatting>
  <conditionalFormatting sqref="T165:T168">
    <cfRule type="cellIs" dxfId="11" priority="1" operator="equal">
      <formula>"CHECK"</formula>
    </cfRule>
  </conditionalFormatting>
  <dataValidations count="2">
    <dataValidation type="list" allowBlank="1" showInputMessage="1" showErrorMessage="1" sqref="A3" xr:uid="{5855CA72-8AEA-49CC-BFE9-FE77219E0DC5}">
      <formula1>"Reporting Date: Quarter Ended March 31,Reporting Date: Quarter Ended June 30,Reporting Date: Quarter Ended September 30,Reporting Date: Quarter Ended December 31"</formula1>
    </dataValidation>
    <dataValidation type="list" allowBlank="1" showInputMessage="1" showErrorMessage="1" sqref="A2" xr:uid="{2DE5C3F1-EBAC-4F4D-B13A-87EF58A35E7B}">
      <formula1>"Annual Period 2020,Annual Period 2021,Annual Period 2022,Annual Period 2023,Annual Period 2024, Annual Period 2025, Annual Period 2026"</formula1>
    </dataValidation>
  </dataValidations>
  <pageMargins left="0.7" right="0.7" top="0.75" bottom="0.75" header="0.3" footer="0.3"/>
  <pageSetup paperSize="5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86F18-8C03-46B1-A3A4-34B73037874F}">
  <sheetPr codeName="Sheet7">
    <pageSetUpPr autoPageBreaks="0"/>
  </sheetPr>
  <dimension ref="A1:AA178"/>
  <sheetViews>
    <sheetView zoomScale="70" zoomScaleNormal="70" workbookViewId="0"/>
  </sheetViews>
  <sheetFormatPr defaultColWidth="8.81640625" defaultRowHeight="14.5"/>
  <cols>
    <col min="1" max="1" width="95.453125" bestFit="1" customWidth="1"/>
    <col min="2" max="2" width="39.453125" bestFit="1" customWidth="1"/>
    <col min="3" max="3" width="38.453125" customWidth="1"/>
    <col min="4" max="4" width="14.81640625" bestFit="1" customWidth="1"/>
    <col min="5" max="5" width="23" bestFit="1" customWidth="1"/>
    <col min="6" max="6" width="15.81640625" bestFit="1" customWidth="1"/>
    <col min="7" max="7" width="15.453125" bestFit="1" customWidth="1"/>
    <col min="8" max="8" width="14.453125" bestFit="1" customWidth="1"/>
    <col min="9" max="10" width="14.453125" customWidth="1"/>
    <col min="11" max="11" width="23.453125" style="11" customWidth="1"/>
    <col min="12" max="12" width="26.453125" style="319" customWidth="1"/>
    <col min="13" max="13" width="10.453125" customWidth="1"/>
    <col min="14" max="14" width="15" bestFit="1" customWidth="1"/>
    <col min="15" max="15" width="26.1796875" bestFit="1" customWidth="1"/>
    <col min="16" max="16" width="14.1796875" bestFit="1" customWidth="1"/>
    <col min="17" max="17" width="13.7265625" bestFit="1" customWidth="1"/>
    <col min="18" max="18" width="12.1796875" bestFit="1" customWidth="1"/>
    <col min="19" max="19" width="14" customWidth="1"/>
    <col min="20" max="20" width="8.54296875" customWidth="1"/>
    <col min="21" max="21" width="7.7265625" bestFit="1" customWidth="1"/>
    <col min="22" max="22" width="1.453125" customWidth="1"/>
    <col min="23" max="23" width="11.7265625" bestFit="1" customWidth="1"/>
    <col min="24" max="24" width="5.81640625" bestFit="1" customWidth="1"/>
    <col min="25" max="25" width="1.26953125" customWidth="1"/>
    <col min="26" max="26" width="11.7265625" bestFit="1" customWidth="1"/>
    <col min="27" max="27" width="5.81640625" bestFit="1" customWidth="1"/>
    <col min="28" max="29" width="9.1796875" customWidth="1"/>
  </cols>
  <sheetData>
    <row r="1" spans="1:26" ht="18.5">
      <c r="A1" s="796" t="s">
        <v>577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</row>
    <row r="2" spans="1:26" ht="18.5">
      <c r="A2" s="796" t="s">
        <v>485</v>
      </c>
      <c r="B2" s="16"/>
    </row>
    <row r="3" spans="1:26" ht="18.5">
      <c r="A3" s="796" t="s">
        <v>486</v>
      </c>
      <c r="B3" s="16"/>
    </row>
    <row r="4" spans="1:26" ht="18.5">
      <c r="A4" s="796" t="s">
        <v>487</v>
      </c>
      <c r="B4" s="16"/>
    </row>
    <row r="5" spans="1:26">
      <c r="A5" s="17" t="s">
        <v>88</v>
      </c>
      <c r="B5" s="20">
        <f>'Authorized Rev Req'!T173</f>
        <v>4934958.8471066877</v>
      </c>
    </row>
    <row r="6" spans="1:26">
      <c r="A6" s="17" t="s">
        <v>89</v>
      </c>
      <c r="B6" s="397" t="str">
        <f>Summary!I2</f>
        <v>1/1/26</v>
      </c>
    </row>
    <row r="7" spans="1:26" ht="32.25" customHeight="1">
      <c r="A7" s="542" t="s">
        <v>90</v>
      </c>
      <c r="B7" s="543"/>
      <c r="C7" s="543"/>
      <c r="D7" s="543"/>
      <c r="E7" s="543"/>
      <c r="F7" s="543"/>
      <c r="G7" s="543"/>
      <c r="H7" s="543"/>
      <c r="I7" s="543"/>
      <c r="J7" s="543"/>
      <c r="K7" s="543"/>
      <c r="L7" s="544"/>
      <c r="N7" s="540" t="s">
        <v>154</v>
      </c>
      <c r="O7" s="540"/>
      <c r="P7" s="540"/>
      <c r="Q7" s="540"/>
      <c r="R7" s="540"/>
      <c r="S7" s="540"/>
    </row>
    <row r="8" spans="1:26" ht="72" customHeight="1">
      <c r="A8" s="380" t="s">
        <v>0</v>
      </c>
      <c r="B8" s="148" t="s">
        <v>91</v>
      </c>
      <c r="C8" s="149" t="s">
        <v>4</v>
      </c>
      <c r="D8" s="149" t="s">
        <v>119</v>
      </c>
      <c r="E8" s="149" t="s">
        <v>1</v>
      </c>
      <c r="F8" s="541" t="s">
        <v>492</v>
      </c>
      <c r="G8" s="541"/>
      <c r="H8" s="541"/>
      <c r="I8" s="541"/>
      <c r="J8" s="483"/>
      <c r="K8" s="149" t="s">
        <v>92</v>
      </c>
      <c r="L8" s="498"/>
      <c r="N8" s="18"/>
      <c r="O8" s="28">
        <v>2026</v>
      </c>
      <c r="P8" s="28">
        <v>2027</v>
      </c>
      <c r="Q8" s="28">
        <v>2028</v>
      </c>
      <c r="R8" s="28">
        <v>2029</v>
      </c>
      <c r="S8" s="28">
        <v>2030</v>
      </c>
    </row>
    <row r="9" spans="1:26">
      <c r="A9" s="380" t="s">
        <v>2</v>
      </c>
      <c r="B9" s="18"/>
      <c r="C9" s="18"/>
      <c r="D9" s="455" t="str">
        <f>B6</f>
        <v>1/1/26</v>
      </c>
      <c r="E9" s="148"/>
      <c r="F9" s="148">
        <v>2026</v>
      </c>
      <c r="G9" s="148">
        <v>2027</v>
      </c>
      <c r="H9" s="148">
        <v>2028</v>
      </c>
      <c r="I9" s="148">
        <v>2029</v>
      </c>
      <c r="J9" s="148">
        <v>2030</v>
      </c>
      <c r="K9" s="456"/>
      <c r="L9" s="499"/>
      <c r="M9" s="72"/>
      <c r="N9" s="72" t="s">
        <v>3</v>
      </c>
      <c r="O9" s="71">
        <f>SUMIF($E$10:$E$84,$N9,F$10:F$84)</f>
        <v>585510.28990280011</v>
      </c>
      <c r="P9" s="71">
        <f>SUMIF($E$10:$E$84,$N9,G$10:G$84)</f>
        <v>593891.5941346602</v>
      </c>
      <c r="Q9" s="71">
        <f>SUMIF($E$10:$E$84,$N9,H$10:H$84)</f>
        <v>593844.19380588015</v>
      </c>
      <c r="R9" s="71">
        <f>SUMIF($E$10:$E$84,$N9,I$10:I$84)</f>
        <v>593786.90867280017</v>
      </c>
      <c r="S9" s="71">
        <f>SUMIF($E$10:$E$84,$N9,J$10:J$84)</f>
        <v>593786.90867280017</v>
      </c>
    </row>
    <row r="10" spans="1:26" s="655" customFormat="1">
      <c r="A10" s="655" t="s">
        <v>93</v>
      </c>
      <c r="C10" s="650" t="str">
        <f>'Authorized Rev Req'!B9</f>
        <v>D.25-12-043, D.24-12-074, AL 4743-E</v>
      </c>
      <c r="D10" s="650">
        <f>F10</f>
        <v>2110024.0674999999</v>
      </c>
      <c r="E10" s="655" t="str">
        <f>'Authorized Rev Req'!U9</f>
        <v>Distribution</v>
      </c>
      <c r="F10" s="650">
        <f>'Authorized Rev Req'!T9</f>
        <v>2110024.0674999999</v>
      </c>
      <c r="G10" s="650">
        <v>2206400.7721000002</v>
      </c>
      <c r="H10" s="650">
        <f>G10</f>
        <v>2206400.7721000002</v>
      </c>
      <c r="I10" s="650">
        <f>H10</f>
        <v>2206400.7721000002</v>
      </c>
      <c r="J10" s="650">
        <f>I10</f>
        <v>2206400.7721000002</v>
      </c>
      <c r="K10" s="656" t="s">
        <v>94</v>
      </c>
      <c r="L10" s="650"/>
      <c r="M10" s="650"/>
      <c r="N10" s="655" t="s">
        <v>373</v>
      </c>
      <c r="O10" s="656">
        <f>SUMIF($E$10:$E$84,$N10,F$10:F$84)</f>
        <v>313.03090980522069</v>
      </c>
      <c r="P10" s="656">
        <f>SUMIF($E$10:$E$84,$N10,G$10:G$84)</f>
        <v>313.03090980522069</v>
      </c>
      <c r="Q10" s="656">
        <f>SUMIF($E$10:$E$84,$N10,H$10:H$84)</f>
        <v>313.03090980522069</v>
      </c>
      <c r="R10" s="656">
        <f>SUMIF($E$10:$E$84,$N10,I$10:I$84)</f>
        <v>313.03090980522069</v>
      </c>
      <c r="S10" s="656">
        <f>SUMIF($E$10:$E$84,$N10,J$10:J$84)</f>
        <v>313.03090980522069</v>
      </c>
      <c r="T10" s="657"/>
      <c r="Z10" s="657"/>
    </row>
    <row r="11" spans="1:26" s="655" customFormat="1" ht="16.5" customHeight="1">
      <c r="A11" s="655" t="s">
        <v>93</v>
      </c>
      <c r="C11" s="650" t="str">
        <f>'Authorized Rev Req'!B10</f>
        <v>D.25-12-043, D.24-12-074, AL 4743-E</v>
      </c>
      <c r="D11" s="650">
        <f t="shared" ref="D11:D25" si="0">F11</f>
        <v>224821.89891000002</v>
      </c>
      <c r="E11" s="655" t="str">
        <f>'Authorized Rev Req'!U10</f>
        <v>Generation</v>
      </c>
      <c r="F11" s="650">
        <f>'Authorized Rev Req'!T10</f>
        <v>224821.89891000002</v>
      </c>
      <c r="G11" s="650">
        <v>233098.51768000002</v>
      </c>
      <c r="H11" s="650">
        <f t="shared" ref="G11:H22" si="1">G11</f>
        <v>233098.51768000002</v>
      </c>
      <c r="I11" s="650">
        <f t="shared" ref="I11:J81" si="2">H11</f>
        <v>233098.51768000002</v>
      </c>
      <c r="J11" s="650">
        <f t="shared" si="2"/>
        <v>233098.51768000002</v>
      </c>
      <c r="K11" s="656" t="s">
        <v>94</v>
      </c>
      <c r="L11" s="650"/>
      <c r="M11" s="650"/>
      <c r="N11" s="655" t="s">
        <v>59</v>
      </c>
      <c r="O11" s="656">
        <f>SUMIF($E$10:$E$84,$N11,F$10:F$84)</f>
        <v>171405.04534484091</v>
      </c>
      <c r="P11" s="656">
        <f>SUMIF($E$10:$E$84,$N11,G$10:G$84)</f>
        <v>171405.04534484091</v>
      </c>
      <c r="Q11" s="656">
        <f>SUMIF($E$10:$E$84,$N11,H$10:H$84)</f>
        <v>171405.04534484091</v>
      </c>
      <c r="R11" s="656">
        <f>SUMIF($E$10:$E$84,$N11,I$10:I$84)</f>
        <v>171405.04534484091</v>
      </c>
      <c r="S11" s="656">
        <f>SUMIF($E$10:$E$84,$N11,J$10:J$84)</f>
        <v>171405.04534484091</v>
      </c>
      <c r="T11" s="657"/>
    </row>
    <row r="12" spans="1:26" s="655" customFormat="1">
      <c r="A12" s="655" t="s">
        <v>491</v>
      </c>
      <c r="C12" s="650" t="s">
        <v>532</v>
      </c>
      <c r="D12" s="650"/>
      <c r="E12" s="655" t="str">
        <f>'Authorized Rev Req'!U55</f>
        <v>Distribution</v>
      </c>
      <c r="F12" s="656">
        <v>50347.991718270438</v>
      </c>
      <c r="G12" s="657">
        <f>F12</f>
        <v>50347.991718270438</v>
      </c>
      <c r="H12" s="657">
        <f t="shared" si="1"/>
        <v>50347.991718270438</v>
      </c>
      <c r="I12" s="657">
        <f t="shared" si="2"/>
        <v>50347.991718270438</v>
      </c>
      <c r="J12" s="657"/>
      <c r="K12" s="656" t="s">
        <v>94</v>
      </c>
      <c r="L12" s="656"/>
      <c r="M12" s="650"/>
      <c r="N12" s="655" t="s">
        <v>5</v>
      </c>
      <c r="O12" s="656">
        <f>SUMIF($E$10:$E$84,$N12,F$10:F$84)</f>
        <v>2337229.5757747488</v>
      </c>
      <c r="P12" s="656">
        <f>SUMIF($E$10:$E$84,$N12,G$10:G$84)</f>
        <v>2399014.3044267506</v>
      </c>
      <c r="Q12" s="656">
        <f>SUMIF($E$10:$E$84,$N12,H$10:H$84)</f>
        <v>2397359.1882681861</v>
      </c>
      <c r="R12" s="656">
        <f>SUMIF($E$10:$E$84,$N12,I$10:I$84)</f>
        <v>2384696.4439832889</v>
      </c>
      <c r="S12" s="656">
        <f>SUMIF($E$10:$E$84,$N12,J$10:J$84)</f>
        <v>2334325.4627643549</v>
      </c>
      <c r="T12" s="657"/>
    </row>
    <row r="13" spans="1:26" s="655" customFormat="1">
      <c r="A13" s="655" t="s">
        <v>366</v>
      </c>
      <c r="C13" s="650" t="str">
        <f>'Authorized Rev Req'!B18</f>
        <v>D.25-12-008</v>
      </c>
      <c r="D13" s="650">
        <f t="shared" si="0"/>
        <v>398611.61778033664</v>
      </c>
      <c r="E13" s="655" t="str">
        <f>'Authorized Rev Req'!U18</f>
        <v>Generation</v>
      </c>
      <c r="F13" s="650">
        <f>'Authorized Rev Req'!T18</f>
        <v>398611.61778033664</v>
      </c>
      <c r="G13" s="650">
        <f t="shared" si="1"/>
        <v>398611.61778033664</v>
      </c>
      <c r="H13" s="650">
        <f t="shared" si="1"/>
        <v>398611.61778033664</v>
      </c>
      <c r="I13" s="650">
        <f t="shared" si="2"/>
        <v>398611.61778033664</v>
      </c>
      <c r="J13" s="650">
        <f t="shared" si="2"/>
        <v>398611.61778033664</v>
      </c>
      <c r="K13" s="656" t="s">
        <v>94</v>
      </c>
      <c r="L13" s="650"/>
      <c r="M13" s="650"/>
      <c r="N13" s="655" t="s">
        <v>98</v>
      </c>
      <c r="O13" s="656">
        <f>SUMIF($E$10:$E$84,$N13,F$10:F$84)</f>
        <v>-149108.549279297</v>
      </c>
      <c r="P13" s="656">
        <f>SUMIF($E$10:$E$84,$N13,G$10:G$84)</f>
        <v>-149108.549279297</v>
      </c>
      <c r="Q13" s="656">
        <f>SUMIF($E$10:$E$84,$N13,H$10:H$84)</f>
        <v>-149108.549279297</v>
      </c>
      <c r="R13" s="656">
        <f>SUMIF($E$10:$E$84,$N13,I$10:I$84)</f>
        <v>-149108.549279297</v>
      </c>
      <c r="S13" s="656">
        <f>SUMIF($E$10:$E$84,$N13,J$10:J$84)</f>
        <v>-149108.549279297</v>
      </c>
      <c r="T13" s="657"/>
    </row>
    <row r="14" spans="1:26" s="655" customFormat="1">
      <c r="A14" s="655" t="s">
        <v>14</v>
      </c>
      <c r="C14" s="650" t="str">
        <f>'Authorized Rev Req'!B41</f>
        <v>D.25-12-008</v>
      </c>
      <c r="D14" s="650">
        <f t="shared" si="0"/>
        <v>556.89772626709453</v>
      </c>
      <c r="E14" s="655" t="str">
        <f>'Authorized Rev Req'!U41</f>
        <v>CTC</v>
      </c>
      <c r="F14" s="650">
        <f>'Authorized Rev Req'!T41</f>
        <v>556.89772626709453</v>
      </c>
      <c r="G14" s="650">
        <f t="shared" si="1"/>
        <v>556.89772626709453</v>
      </c>
      <c r="H14" s="650">
        <f t="shared" si="1"/>
        <v>556.89772626709453</v>
      </c>
      <c r="I14" s="650">
        <f t="shared" si="2"/>
        <v>556.89772626709453</v>
      </c>
      <c r="J14" s="650">
        <f t="shared" si="2"/>
        <v>556.89772626709453</v>
      </c>
      <c r="K14" s="656" t="s">
        <v>94</v>
      </c>
      <c r="L14" s="650"/>
      <c r="M14" s="650"/>
      <c r="N14" s="655" t="s">
        <v>14</v>
      </c>
      <c r="O14" s="656">
        <f>SUMIF($E$10:$E$84,$N14,F$10:F$84)</f>
        <v>-1314.4084937329058</v>
      </c>
      <c r="P14" s="656">
        <f>SUMIF($E$10:$E$84,$N14,G$10:G$84)</f>
        <v>-1314.4084937329058</v>
      </c>
      <c r="Q14" s="656">
        <f>SUMIF($E$10:$E$84,$N14,H$10:H$84)</f>
        <v>-1314.4084937329058</v>
      </c>
      <c r="R14" s="656">
        <f>SUMIF($E$10:$E$84,$N14,I$10:I$84)</f>
        <v>-1314.4084937329058</v>
      </c>
      <c r="S14" s="656">
        <f>SUMIF($E$10:$E$84,$N14,J$10:J$84)</f>
        <v>-1314.4084937329058</v>
      </c>
      <c r="T14" s="657"/>
    </row>
    <row r="15" spans="1:26" s="655" customFormat="1">
      <c r="A15" s="655" t="s">
        <v>59</v>
      </c>
      <c r="C15" s="650" t="str">
        <f>'Authorized Rev Req'!B43</f>
        <v>D.25-12-008</v>
      </c>
      <c r="D15" s="650">
        <f t="shared" si="0"/>
        <v>251070.6757248409</v>
      </c>
      <c r="E15" s="655" t="str">
        <f>'Authorized Rev Req'!U43</f>
        <v>LGC</v>
      </c>
      <c r="F15" s="650">
        <f>'Authorized Rev Req'!T43</f>
        <v>251070.6757248409</v>
      </c>
      <c r="G15" s="650">
        <f t="shared" si="1"/>
        <v>251070.6757248409</v>
      </c>
      <c r="H15" s="650">
        <f t="shared" si="1"/>
        <v>251070.6757248409</v>
      </c>
      <c r="I15" s="650">
        <f t="shared" si="2"/>
        <v>251070.6757248409</v>
      </c>
      <c r="J15" s="650">
        <f t="shared" si="2"/>
        <v>251070.6757248409</v>
      </c>
      <c r="K15" s="656" t="s">
        <v>94</v>
      </c>
      <c r="L15" s="650"/>
      <c r="M15" s="650"/>
      <c r="N15" s="655" t="s">
        <v>80</v>
      </c>
      <c r="O15" s="656">
        <f>SUMIF($E$10:$E$84,$N15,F$10:F$84)</f>
        <v>-64.002330000000001</v>
      </c>
      <c r="P15" s="656">
        <f>SUMIF($E$10:$E$84,$N15,G$10:G$84)</f>
        <v>-64.002330000000001</v>
      </c>
      <c r="Q15" s="656">
        <f>SUMIF($E$10:$E$84,$N15,H$10:H$84)</f>
        <v>-64.002330000000001</v>
      </c>
      <c r="R15" s="656">
        <f>SUMIF($E$10:$E$84,$N15,I$10:I$84)</f>
        <v>-64.002330000000001</v>
      </c>
      <c r="S15" s="656">
        <f>SUMIF($E$10:$E$84,$N15,J$10:J$84)</f>
        <v>-64.002330000000001</v>
      </c>
      <c r="T15" s="657"/>
    </row>
    <row r="16" spans="1:26" s="655" customFormat="1">
      <c r="A16" s="655" t="s">
        <v>95</v>
      </c>
      <c r="C16" s="657" t="str">
        <f>'Authorized Rev Req'!B45</f>
        <v>N/A</v>
      </c>
      <c r="D16" s="650">
        <f t="shared" si="0"/>
        <v>0</v>
      </c>
      <c r="E16" s="655" t="str">
        <f>'Authorized Rev Req'!U45</f>
        <v>ND</v>
      </c>
      <c r="F16" s="657">
        <f>'Authorized Rev Req'!T45</f>
        <v>0</v>
      </c>
      <c r="G16" s="650">
        <f t="shared" si="1"/>
        <v>0</v>
      </c>
      <c r="H16" s="650">
        <f t="shared" si="1"/>
        <v>0</v>
      </c>
      <c r="I16" s="650">
        <f t="shared" si="2"/>
        <v>0</v>
      </c>
      <c r="J16" s="650">
        <f t="shared" si="2"/>
        <v>0</v>
      </c>
      <c r="K16" s="656" t="s">
        <v>94</v>
      </c>
      <c r="L16" s="658"/>
      <c r="M16" s="650"/>
      <c r="N16" s="646" t="s">
        <v>99</v>
      </c>
      <c r="O16" s="656">
        <f>SUMIF($E$10:$E$84,$N16,F$10:F$84)</f>
        <v>336142.18880842155</v>
      </c>
      <c r="P16" s="656">
        <f>SUMIF($E$10:$E$84,$N16,G$10:G$84)</f>
        <v>334640.22520391247</v>
      </c>
      <c r="Q16" s="656">
        <f>SUMIF($E$10:$E$84,$N16,H$10:H$84)</f>
        <v>310183.59083141247</v>
      </c>
      <c r="R16" s="656">
        <f>SUMIF($E$10:$E$84,$N16,I$10:I$84)</f>
        <v>310183.59083141247</v>
      </c>
      <c r="S16" s="656">
        <f>SUMIF($E$10:$E$84,$N16,J$10:J$84)</f>
        <v>310183.59083141247</v>
      </c>
      <c r="T16" s="657"/>
    </row>
    <row r="17" spans="1:25" s="655" customFormat="1">
      <c r="A17" s="655" t="s">
        <v>96</v>
      </c>
      <c r="C17" s="657" t="str">
        <f>'Authorized Rev Req'!B38</f>
        <v>D.25-09-030, AL 4737-E, 4758-E</v>
      </c>
      <c r="D17" s="650">
        <f t="shared" si="0"/>
        <v>1420.24218</v>
      </c>
      <c r="E17" s="655" t="str">
        <f>'Authorized Rev Req'!U38</f>
        <v>Generation</v>
      </c>
      <c r="F17" s="650">
        <f>'Authorized Rev Req'!T38</f>
        <v>1420.24218</v>
      </c>
      <c r="G17" s="650">
        <f t="shared" si="1"/>
        <v>1420.24218</v>
      </c>
      <c r="H17" s="650">
        <f t="shared" si="1"/>
        <v>1420.24218</v>
      </c>
      <c r="I17" s="650">
        <f t="shared" si="2"/>
        <v>1420.24218</v>
      </c>
      <c r="J17" s="650">
        <f t="shared" si="2"/>
        <v>1420.24218</v>
      </c>
      <c r="K17" s="656" t="s">
        <v>94</v>
      </c>
      <c r="L17" s="650"/>
      <c r="M17" s="650"/>
      <c r="N17" s="655" t="s">
        <v>97</v>
      </c>
      <c r="O17" s="656">
        <f>SUMIF($E$10:$E$84,$N17,F$10:F$84)</f>
        <v>0</v>
      </c>
      <c r="P17" s="656">
        <f>SUMIF($E$10:$E$84,$N17,G$10:G$84)</f>
        <v>0</v>
      </c>
      <c r="Q17" s="656">
        <f>SUMIF($E$10:$E$84,$N17,H$10:H$84)</f>
        <v>0</v>
      </c>
      <c r="R17" s="656">
        <f>SUMIF($E$10:$E$84,$N17,I$10:I$84)</f>
        <v>0</v>
      </c>
      <c r="S17" s="656">
        <f>SUMIF($E$10:$E$84,$N17,J$10:J$84)</f>
        <v>0</v>
      </c>
      <c r="T17" s="657"/>
    </row>
    <row r="18" spans="1:25" s="655" customFormat="1">
      <c r="A18" s="655" t="s">
        <v>221</v>
      </c>
      <c r="C18" s="657" t="str">
        <f>'Authorized Rev Req'!B48</f>
        <v>D.25-12-006</v>
      </c>
      <c r="D18" s="650">
        <f t="shared" si="0"/>
        <v>88541.557594423386</v>
      </c>
      <c r="E18" s="655" t="str">
        <f>'Authorized Rev Req'!U48</f>
        <v>Wildfire Fund NBC</v>
      </c>
      <c r="F18" s="657">
        <f>'Authorized Rev Req'!T48</f>
        <v>88541.557594423386</v>
      </c>
      <c r="G18" s="657">
        <f t="shared" si="1"/>
        <v>88541.557594423386</v>
      </c>
      <c r="H18" s="650">
        <f t="shared" si="1"/>
        <v>88541.557594423386</v>
      </c>
      <c r="I18" s="650">
        <f t="shared" si="2"/>
        <v>88541.557594423386</v>
      </c>
      <c r="J18" s="650">
        <f t="shared" si="2"/>
        <v>88541.557594423386</v>
      </c>
      <c r="K18" s="656" t="s">
        <v>94</v>
      </c>
      <c r="L18" s="658"/>
      <c r="M18" s="650"/>
      <c r="N18" s="655" t="s">
        <v>251</v>
      </c>
      <c r="O18" s="656">
        <f>SUMIF($E$10:$E$84,$N18,F$10:F$84)</f>
        <v>331292.37006101565</v>
      </c>
      <c r="P18" s="656">
        <f>SUMIF($E$10:$E$84,$N18,G$10:G$84)</f>
        <v>331292.37006101565</v>
      </c>
      <c r="Q18" s="656">
        <f>SUMIF($E$10:$E$84,$N18,H$10:H$84)</f>
        <v>331292.37006101565</v>
      </c>
      <c r="R18" s="656">
        <f>SUMIF($E$10:$E$84,$N18,I$10:I$84)</f>
        <v>331292.37006101565</v>
      </c>
      <c r="S18" s="656">
        <f>SUMIF($E$10:$E$84,$N18,J$10:J$84)</f>
        <v>331292.37006101565</v>
      </c>
      <c r="T18" s="657"/>
    </row>
    <row r="19" spans="1:25" s="655" customFormat="1">
      <c r="A19" s="655" t="s">
        <v>319</v>
      </c>
      <c r="C19" s="657" t="str">
        <f>'Authorized Rev Req'!B21</f>
        <v>D.25-09-030, D.25-12-043, D.25-12-008, AL 4757-E</v>
      </c>
      <c r="D19" s="650">
        <f t="shared" si="0"/>
        <v>-107381.29504366641</v>
      </c>
      <c r="E19" s="655" t="str">
        <f>'Authorized Rev Req'!U21</f>
        <v>Generation</v>
      </c>
      <c r="F19" s="657">
        <f>'Authorized Rev Req'!T21</f>
        <v>-107381.29504366641</v>
      </c>
      <c r="G19" s="650">
        <f t="shared" si="1"/>
        <v>-107381.29504366641</v>
      </c>
      <c r="H19" s="650">
        <f t="shared" si="1"/>
        <v>-107381.29504366641</v>
      </c>
      <c r="I19" s="650">
        <f t="shared" si="2"/>
        <v>-107381.29504366641</v>
      </c>
      <c r="J19" s="650">
        <f t="shared" si="2"/>
        <v>-107381.29504366641</v>
      </c>
      <c r="K19" s="656" t="s">
        <v>94</v>
      </c>
      <c r="L19" s="658"/>
      <c r="M19" s="650"/>
      <c r="N19" s="655" t="s">
        <v>10</v>
      </c>
      <c r="O19" s="656">
        <f>SUMIF($E$10:$E$84,$N19,F$10:F$84)</f>
        <v>1096766.3131500036</v>
      </c>
      <c r="P19" s="656">
        <f>SUMIF($E$10:$E$84,$N19,G$10:G$84)</f>
        <v>1096766.3131500036</v>
      </c>
      <c r="Q19" s="656">
        <f>SUMIF($E$10:$E$84,$N19,H$10:H$84)</f>
        <v>1096766.3131500036</v>
      </c>
      <c r="R19" s="656">
        <f>SUMIF($E$10:$E$84,$N19,I$10:I$84)</f>
        <v>1096766.3131500036</v>
      </c>
      <c r="S19" s="656">
        <f>SUMIF($E$10:$E$84,$N19,J$10:J$84)</f>
        <v>1096766.3131500036</v>
      </c>
      <c r="T19" s="657"/>
    </row>
    <row r="20" spans="1:25" s="655" customFormat="1">
      <c r="A20" s="655" t="s">
        <v>322</v>
      </c>
      <c r="C20" s="657" t="str">
        <f>'Authorized Rev Req'!B26</f>
        <v>A.25-05-012, A.25-03-013, D.25-09-030, AL 4758-E</v>
      </c>
      <c r="D20" s="650">
        <f t="shared" si="0"/>
        <v>126355.97773807139</v>
      </c>
      <c r="E20" s="655" t="str">
        <f>'Authorized Rev Req'!U26</f>
        <v>PCIA</v>
      </c>
      <c r="F20" s="657">
        <f>'Authorized Rev Req'!T26</f>
        <v>126355.97773807139</v>
      </c>
      <c r="G20" s="650">
        <f t="shared" si="1"/>
        <v>126355.97773807139</v>
      </c>
      <c r="H20" s="650">
        <f t="shared" si="1"/>
        <v>126355.97773807139</v>
      </c>
      <c r="I20" s="650">
        <f t="shared" si="2"/>
        <v>126355.97773807139</v>
      </c>
      <c r="J20" s="650">
        <f t="shared" si="2"/>
        <v>126355.97773807139</v>
      </c>
      <c r="K20" s="656" t="s">
        <v>94</v>
      </c>
      <c r="L20" s="658"/>
      <c r="M20" s="650"/>
      <c r="N20" s="655" t="s">
        <v>87</v>
      </c>
      <c r="O20" s="656">
        <f>SUMIF($E$10:$E$84,$N20,F$10:F$84)</f>
        <v>847.9793819286399</v>
      </c>
      <c r="P20" s="656">
        <f>SUMIF($E$10:$E$84,$N20,G$10:G$84)</f>
        <v>847.9793819286399</v>
      </c>
      <c r="Q20" s="656">
        <f>SUMIF($E$10:$E$84,$N20,H$10:H$84)</f>
        <v>847.9793819286399</v>
      </c>
      <c r="R20" s="656">
        <f>SUMIF($E$10:$E$84,$N20,I$10:I$84)</f>
        <v>847.9793819286399</v>
      </c>
      <c r="S20" s="656">
        <f>SUMIF($E$10:$E$84,$N20,J$10:J$84)</f>
        <v>847.9793819286399</v>
      </c>
      <c r="T20" s="657"/>
    </row>
    <row r="21" spans="1:25" s="655" customFormat="1">
      <c r="A21" s="655" t="s">
        <v>373</v>
      </c>
      <c r="C21" s="657" t="str">
        <f>'Authorized Rev Req'!B54</f>
        <v>D.25-12-008</v>
      </c>
      <c r="D21" s="650">
        <f t="shared" si="0"/>
        <v>313.03090980522069</v>
      </c>
      <c r="E21" s="655" t="str">
        <f>'Authorized Rev Req'!U54</f>
        <v>MCAM</v>
      </c>
      <c r="F21" s="657">
        <f>'Authorized Rev Req'!T54</f>
        <v>313.03090980522069</v>
      </c>
      <c r="G21" s="650">
        <f t="shared" si="1"/>
        <v>313.03090980522069</v>
      </c>
      <c r="H21" s="650">
        <f t="shared" si="1"/>
        <v>313.03090980522069</v>
      </c>
      <c r="I21" s="650">
        <f t="shared" si="2"/>
        <v>313.03090980522069</v>
      </c>
      <c r="J21" s="650">
        <f t="shared" si="2"/>
        <v>313.03090980522069</v>
      </c>
      <c r="K21" s="656" t="s">
        <v>94</v>
      </c>
      <c r="L21" s="658"/>
      <c r="M21" s="650"/>
      <c r="N21" s="655" t="s">
        <v>78</v>
      </c>
      <c r="O21" s="656">
        <f>SUMIF($E$10:$E$84,$N21,F$10:F$84)</f>
        <v>0</v>
      </c>
      <c r="P21" s="656">
        <f>SUMIF($E$10:$E$84,$N21,G$10:G$84)</f>
        <v>0</v>
      </c>
      <c r="Q21" s="656">
        <f>SUMIF($E$10:$E$84,$N21,H$10:H$84)</f>
        <v>0</v>
      </c>
      <c r="R21" s="656">
        <f>SUMIF($E$10:$E$84,$N21,I$10:I$84)</f>
        <v>0</v>
      </c>
      <c r="S21" s="656">
        <f>SUMIF($E$10:$E$84,$N21,J$10:J$84)</f>
        <v>0</v>
      </c>
      <c r="T21" s="657"/>
    </row>
    <row r="22" spans="1:25" s="655" customFormat="1">
      <c r="A22" s="655" t="s">
        <v>411</v>
      </c>
      <c r="C22" s="657" t="str">
        <f>'Authorized Rev Req'!B30</f>
        <v>A.25-05-015, AL 4758-E, Resolution E-5217</v>
      </c>
      <c r="D22" s="650">
        <f t="shared" si="0"/>
        <v>0</v>
      </c>
      <c r="E22" s="655" t="str">
        <f>'Authorized Rev Req'!U30</f>
        <v>PCIA</v>
      </c>
      <c r="F22" s="657">
        <f>'Authorized Rev Req'!T30</f>
        <v>0</v>
      </c>
      <c r="G22" s="650">
        <f t="shared" si="1"/>
        <v>0</v>
      </c>
      <c r="H22" s="650">
        <f t="shared" si="1"/>
        <v>0</v>
      </c>
      <c r="I22" s="650">
        <f t="shared" si="2"/>
        <v>0</v>
      </c>
      <c r="J22" s="650">
        <f t="shared" si="2"/>
        <v>0</v>
      </c>
      <c r="K22" s="656" t="s">
        <v>94</v>
      </c>
      <c r="M22" s="650"/>
      <c r="N22" s="655" t="s">
        <v>221</v>
      </c>
      <c r="O22" s="656">
        <f>SUMIF($E$10:$E$84,$N22,F$10:F$84)</f>
        <v>88541.557594423386</v>
      </c>
      <c r="P22" s="656">
        <f>SUMIF($E$10:$E$84,$N22,G$10:G$84)</f>
        <v>88541.557594423386</v>
      </c>
      <c r="Q22" s="656">
        <f>SUMIF($E$10:$E$84,$N22,H$10:H$84)</f>
        <v>88541.557594423386</v>
      </c>
      <c r="R22" s="656">
        <f>SUMIF($E$10:$E$84,$N22,I$10:I$84)</f>
        <v>88541.557594423386</v>
      </c>
      <c r="S22" s="656">
        <f>SUMIF($E$10:$E$84,$N22,J$10:J$84)</f>
        <v>88541.557594423386</v>
      </c>
      <c r="T22" s="657"/>
    </row>
    <row r="23" spans="1:25" s="655" customFormat="1">
      <c r="A23" s="655" t="s">
        <v>27</v>
      </c>
      <c r="C23" s="657" t="str">
        <f>'Authorized Rev Req'!B32</f>
        <v>D.24-06-003</v>
      </c>
      <c r="D23" s="650">
        <f t="shared" si="0"/>
        <v>36596.138794175</v>
      </c>
      <c r="E23" s="659" t="str">
        <f>'Authorized Rev Req'!U32</f>
        <v>Distribution</v>
      </c>
      <c r="F23" s="657">
        <f>'Authorized Rev Req'!T32</f>
        <v>36596.138794175</v>
      </c>
      <c r="G23" s="650"/>
      <c r="H23" s="650"/>
      <c r="I23" s="650"/>
      <c r="J23" s="650"/>
      <c r="K23" s="656" t="s">
        <v>94</v>
      </c>
      <c r="L23" s="660"/>
      <c r="M23" s="650"/>
      <c r="N23" s="655" t="s">
        <v>112</v>
      </c>
      <c r="O23" s="656">
        <f>SUM(O9:O22)</f>
        <v>4797561.3908249578</v>
      </c>
      <c r="P23" s="656">
        <f>SUM(P9:P22)</f>
        <v>4866225.46010431</v>
      </c>
      <c r="Q23" s="656">
        <f>SUM(Q9:Q22)</f>
        <v>4840066.3092444651</v>
      </c>
      <c r="R23" s="656">
        <f>SUM(R9:R22)</f>
        <v>4827346.2798264883</v>
      </c>
      <c r="S23" s="656">
        <f>SUM(S9:S22)</f>
        <v>4776975.2986075543</v>
      </c>
      <c r="T23" s="657"/>
      <c r="U23" s="656"/>
      <c r="V23" s="656"/>
      <c r="W23" s="656"/>
      <c r="X23" s="656"/>
      <c r="Y23" s="656"/>
    </row>
    <row r="24" spans="1:25" s="655" customFormat="1">
      <c r="A24" s="655" t="s">
        <v>332</v>
      </c>
      <c r="C24" s="657" t="str">
        <f>'Authorized Rev Req'!B56</f>
        <v>D.24-07-013</v>
      </c>
      <c r="D24" s="650">
        <f t="shared" si="0"/>
        <v>619.72225000000003</v>
      </c>
      <c r="E24" s="655" t="str">
        <f>'Authorized Rev Req'!U56</f>
        <v>Distribution</v>
      </c>
      <c r="F24" s="657">
        <f>'Authorized Rev Req'!T56</f>
        <v>619.72225000000003</v>
      </c>
      <c r="G24" s="657">
        <v>605.14054999999996</v>
      </c>
      <c r="I24" s="650"/>
      <c r="J24" s="650"/>
      <c r="K24" s="656" t="s">
        <v>94</v>
      </c>
      <c r="L24" s="661"/>
      <c r="M24" s="650"/>
      <c r="N24" s="655" t="s">
        <v>245</v>
      </c>
      <c r="O24" s="662">
        <f>'Sales Allocations &amp; CCC'!S3</f>
        <v>1E-3</v>
      </c>
      <c r="T24" s="657"/>
      <c r="U24" s="656"/>
      <c r="V24" s="656"/>
      <c r="W24" s="656"/>
      <c r="X24" s="656"/>
      <c r="Y24" s="656"/>
    </row>
    <row r="25" spans="1:25" s="655" customFormat="1">
      <c r="A25" s="655" t="s">
        <v>470</v>
      </c>
      <c r="C25" s="657" t="str">
        <f>'Authorized Rev Req'!B57</f>
        <v>AL 4483-E/3325-G, AL 4757-E</v>
      </c>
      <c r="D25" s="650">
        <f t="shared" si="0"/>
        <v>-202.88650119643737</v>
      </c>
      <c r="E25" s="655" t="s">
        <v>5</v>
      </c>
      <c r="F25" s="657">
        <f>'Authorized Rev Req'!T57</f>
        <v>-202.88650119643737</v>
      </c>
      <c r="G25" s="657">
        <f>F25</f>
        <v>-202.88650119643737</v>
      </c>
      <c r="H25" s="657">
        <f>G25</f>
        <v>-202.88650119643737</v>
      </c>
      <c r="I25" s="657"/>
      <c r="J25" s="657"/>
      <c r="K25" s="656" t="s">
        <v>94</v>
      </c>
      <c r="L25" s="661"/>
      <c r="M25" s="650"/>
      <c r="O25" s="663"/>
      <c r="P25" s="663"/>
      <c r="Q25" s="663"/>
      <c r="R25" s="663"/>
      <c r="S25" s="663"/>
      <c r="U25" s="664"/>
      <c r="V25" s="664"/>
      <c r="W25" s="664"/>
      <c r="X25" s="664"/>
      <c r="Y25" s="664"/>
    </row>
    <row r="26" spans="1:25" s="655" customFormat="1">
      <c r="A26" s="655" t="s">
        <v>480</v>
      </c>
      <c r="C26" s="657" t="str">
        <f>'Authorized Rev Req'!B58</f>
        <v>D.25-09-006, AL 4757-E</v>
      </c>
      <c r="D26" s="650">
        <f t="shared" ref="D26" si="3">F26</f>
        <v>6151.3942999999999</v>
      </c>
      <c r="E26" s="655" t="s">
        <v>5</v>
      </c>
      <c r="F26" s="657">
        <f>'Authorized Rev Req'!T58</f>
        <v>6151.3942999999999</v>
      </c>
      <c r="G26" s="657"/>
      <c r="H26" s="657"/>
      <c r="I26" s="657"/>
      <c r="J26" s="657"/>
      <c r="K26" s="656" t="s">
        <v>94</v>
      </c>
      <c r="L26" s="660"/>
      <c r="M26" s="650"/>
      <c r="U26" s="650"/>
      <c r="V26" s="650"/>
      <c r="W26" s="650"/>
      <c r="X26" s="650"/>
      <c r="Y26" s="650"/>
    </row>
    <row r="27" spans="1:25" s="655" customFormat="1">
      <c r="A27" s="655" t="s">
        <v>509</v>
      </c>
      <c r="C27" s="655" t="s">
        <v>465</v>
      </c>
      <c r="D27" s="650">
        <v>0</v>
      </c>
      <c r="E27" s="655" t="s">
        <v>5</v>
      </c>
      <c r="F27" s="657"/>
      <c r="G27" s="650">
        <v>744.70825000000002</v>
      </c>
      <c r="H27" s="657"/>
      <c r="I27" s="657"/>
      <c r="J27" s="657"/>
      <c r="K27" s="656" t="s">
        <v>94</v>
      </c>
      <c r="L27" s="660"/>
      <c r="M27" s="650"/>
      <c r="U27" s="650"/>
      <c r="V27" s="650"/>
      <c r="W27" s="650"/>
      <c r="X27" s="650"/>
      <c r="Y27" s="650"/>
    </row>
    <row r="28" spans="1:25" s="655" customFormat="1">
      <c r="A28" s="655" t="s">
        <v>509</v>
      </c>
      <c r="C28" s="655" t="s">
        <v>465</v>
      </c>
      <c r="D28" s="650">
        <v>0</v>
      </c>
      <c r="E28" s="655" t="s">
        <v>3</v>
      </c>
      <c r="F28" s="657"/>
      <c r="G28" s="650">
        <v>50.795500000000004</v>
      </c>
      <c r="H28" s="657"/>
      <c r="I28" s="657"/>
      <c r="J28" s="657"/>
      <c r="K28" s="656" t="s">
        <v>94</v>
      </c>
      <c r="L28" s="660"/>
      <c r="M28" s="650"/>
      <c r="U28" s="650"/>
      <c r="V28" s="650"/>
      <c r="W28" s="650"/>
      <c r="X28" s="650"/>
      <c r="Y28" s="650"/>
    </row>
    <row r="29" spans="1:25" s="655" customFormat="1">
      <c r="K29" s="656"/>
      <c r="L29" s="656"/>
      <c r="M29" s="650"/>
      <c r="U29" s="650"/>
      <c r="V29" s="650"/>
      <c r="W29" s="650"/>
      <c r="X29" s="650"/>
      <c r="Y29" s="650"/>
    </row>
    <row r="30" spans="1:25" s="655" customFormat="1">
      <c r="D30" s="650"/>
      <c r="F30" s="665"/>
      <c r="G30" s="650"/>
      <c r="H30" s="650"/>
      <c r="I30" s="650"/>
      <c r="J30" s="650"/>
      <c r="K30" s="656"/>
      <c r="L30" s="660"/>
      <c r="M30" s="650"/>
      <c r="U30" s="650"/>
      <c r="V30" s="650"/>
      <c r="W30" s="650"/>
      <c r="X30" s="650"/>
      <c r="Y30" s="650"/>
    </row>
    <row r="31" spans="1:25" s="655" customFormat="1">
      <c r="C31" s="657"/>
      <c r="D31" s="650"/>
      <c r="E31" s="663"/>
      <c r="F31" s="657"/>
      <c r="G31" s="650"/>
      <c r="H31" s="650"/>
      <c r="I31" s="650"/>
      <c r="J31" s="650"/>
      <c r="K31" s="656"/>
      <c r="L31" s="658"/>
      <c r="M31" s="650"/>
      <c r="U31" s="650"/>
      <c r="V31" s="650"/>
      <c r="W31" s="650"/>
      <c r="X31" s="650"/>
      <c r="Y31" s="650"/>
    </row>
    <row r="32" spans="1:25" s="655" customFormat="1">
      <c r="A32" s="600" t="s">
        <v>7</v>
      </c>
      <c r="B32" s="600"/>
      <c r="C32" s="665"/>
      <c r="D32" s="650"/>
      <c r="F32" s="665"/>
      <c r="G32" s="650"/>
      <c r="H32" s="650"/>
      <c r="I32" s="650"/>
      <c r="J32" s="650"/>
      <c r="K32" s="656"/>
      <c r="L32" s="666"/>
      <c r="M32" s="650"/>
      <c r="U32" s="650"/>
      <c r="V32" s="650"/>
      <c r="W32" s="650"/>
      <c r="X32" s="650"/>
      <c r="Y32" s="650"/>
    </row>
    <row r="33" spans="1:25" s="655" customFormat="1">
      <c r="A33" s="655" t="s">
        <v>98</v>
      </c>
      <c r="B33" s="600"/>
      <c r="C33" s="650" t="str">
        <f>'Authorized Rev Req'!B105</f>
        <v>D.25-12-008</v>
      </c>
      <c r="D33" s="650">
        <f t="shared" ref="D33:D56" si="4">F33</f>
        <v>-149108.549279297</v>
      </c>
      <c r="E33" s="655" t="str">
        <f>'Authorized Rev Req'!U104</f>
        <v>GHG Revenue</v>
      </c>
      <c r="F33" s="650">
        <f>'Authorized Rev Req'!T104+'Authorized Rev Req'!T105</f>
        <v>-149108.549279297</v>
      </c>
      <c r="G33" s="650">
        <f>F33</f>
        <v>-149108.549279297</v>
      </c>
      <c r="H33" s="650">
        <f>G33</f>
        <v>-149108.549279297</v>
      </c>
      <c r="I33" s="650">
        <f t="shared" si="2"/>
        <v>-149108.549279297</v>
      </c>
      <c r="J33" s="650">
        <f t="shared" si="2"/>
        <v>-149108.549279297</v>
      </c>
      <c r="K33" s="656" t="s">
        <v>94</v>
      </c>
      <c r="L33" s="650"/>
      <c r="M33" s="650"/>
      <c r="O33" s="667"/>
      <c r="U33" s="650"/>
      <c r="V33" s="650"/>
      <c r="W33" s="650"/>
      <c r="X33" s="650"/>
      <c r="Y33" s="650"/>
    </row>
    <row r="34" spans="1:25" s="655" customFormat="1">
      <c r="A34" s="655" t="s">
        <v>100</v>
      </c>
      <c r="B34" s="600"/>
      <c r="C34" s="650" t="str">
        <f>'Authorized Rev Req'!B108</f>
        <v>AL 4717-E</v>
      </c>
      <c r="D34" s="650">
        <f t="shared" si="4"/>
        <v>47815.004000000001</v>
      </c>
      <c r="E34" s="655" t="str">
        <f>'Authorized Rev Req'!U108</f>
        <v>Public Purpose Program</v>
      </c>
      <c r="F34" s="650">
        <f>'Authorized Rev Req'!T108</f>
        <v>47815.004000000001</v>
      </c>
      <c r="G34" s="650">
        <v>46441.954515090962</v>
      </c>
      <c r="H34" s="650">
        <f>G34</f>
        <v>46441.954515090962</v>
      </c>
      <c r="I34" s="650">
        <f>H34</f>
        <v>46441.954515090962</v>
      </c>
      <c r="J34" s="650">
        <f>I34</f>
        <v>46441.954515090962</v>
      </c>
      <c r="K34" s="656" t="s">
        <v>94</v>
      </c>
      <c r="L34" s="668"/>
      <c r="M34" s="650"/>
      <c r="U34" s="650"/>
      <c r="V34" s="650"/>
      <c r="W34" s="650"/>
      <c r="X34" s="650"/>
      <c r="Y34" s="650"/>
    </row>
    <row r="35" spans="1:25" s="655" customFormat="1">
      <c r="A35" s="655" t="s">
        <v>265</v>
      </c>
      <c r="C35" s="657" t="str">
        <f>'Authorized Rev Req'!B106</f>
        <v>AL 4717-E, AL 4757-E</v>
      </c>
      <c r="D35" s="650">
        <f t="shared" si="4"/>
        <v>193071.75790999999</v>
      </c>
      <c r="E35" s="655" t="str">
        <f>'Authorized Rev Req'!U106</f>
        <v>Public Purpose Program</v>
      </c>
      <c r="F35" s="657">
        <f>'Authorized Rev Req'!T106</f>
        <v>193071.75790999999</v>
      </c>
      <c r="G35" s="650">
        <f t="shared" ref="G35:H41" si="5">F35</f>
        <v>193071.75790999999</v>
      </c>
      <c r="H35" s="650">
        <f t="shared" si="5"/>
        <v>193071.75790999999</v>
      </c>
      <c r="I35" s="650">
        <f t="shared" si="2"/>
        <v>193071.75790999999</v>
      </c>
      <c r="J35" s="650">
        <f t="shared" si="2"/>
        <v>193071.75790999999</v>
      </c>
      <c r="K35" s="656" t="s">
        <v>94</v>
      </c>
      <c r="L35" s="650"/>
      <c r="M35" s="650"/>
      <c r="U35" s="650"/>
      <c r="V35" s="650"/>
      <c r="W35" s="650"/>
      <c r="X35" s="650"/>
      <c r="Y35" s="650"/>
    </row>
    <row r="36" spans="1:25" s="655" customFormat="1">
      <c r="A36" s="655" t="s">
        <v>61</v>
      </c>
      <c r="B36" s="600"/>
      <c r="C36" s="650" t="str">
        <f>'Authorized Rev Req'!B107</f>
        <v>AL 4717-E</v>
      </c>
      <c r="D36" s="650">
        <f t="shared" si="4"/>
        <v>18190.332999999999</v>
      </c>
      <c r="E36" s="655" t="str">
        <f>'Authorized Rev Req'!U107</f>
        <v>Public Purpose Program</v>
      </c>
      <c r="F36" s="650">
        <f>'Authorized Rev Req'!T107</f>
        <v>18190.332999999999</v>
      </c>
      <c r="G36" s="650">
        <f t="shared" ref="G36" si="6">F36</f>
        <v>18190.332999999999</v>
      </c>
      <c r="H36" s="650">
        <f t="shared" ref="H36" si="7">G36</f>
        <v>18190.332999999999</v>
      </c>
      <c r="I36" s="650">
        <f t="shared" ref="I36" si="8">H36</f>
        <v>18190.332999999999</v>
      </c>
      <c r="J36" s="650">
        <f t="shared" ref="J36" si="9">I36</f>
        <v>18190.332999999999</v>
      </c>
      <c r="K36" s="656" t="s">
        <v>94</v>
      </c>
      <c r="L36" s="650"/>
      <c r="M36" s="650"/>
    </row>
    <row r="37" spans="1:25" s="655" customFormat="1">
      <c r="A37" s="655" t="s">
        <v>102</v>
      </c>
      <c r="C37" s="657" t="str">
        <f>'Authorized Rev Req'!B109</f>
        <v>AL 4717-E</v>
      </c>
      <c r="D37" s="650">
        <f t="shared" si="4"/>
        <v>13024</v>
      </c>
      <c r="E37" s="655" t="str">
        <f>'Authorized Rev Req'!U109</f>
        <v>Public Purpose Program</v>
      </c>
      <c r="F37" s="657">
        <f>'Authorized Rev Req'!T109</f>
        <v>13024</v>
      </c>
      <c r="G37" s="650">
        <f t="shared" si="5"/>
        <v>13024</v>
      </c>
      <c r="H37" s="650">
        <f t="shared" si="5"/>
        <v>13024</v>
      </c>
      <c r="I37" s="650">
        <f t="shared" si="2"/>
        <v>13024</v>
      </c>
      <c r="J37" s="650">
        <f t="shared" si="2"/>
        <v>13024</v>
      </c>
      <c r="K37" s="656" t="s">
        <v>94</v>
      </c>
      <c r="L37" s="650"/>
      <c r="M37" s="650"/>
      <c r="N37" s="657"/>
      <c r="O37" s="657"/>
    </row>
    <row r="38" spans="1:25" s="655" customFormat="1">
      <c r="A38" s="655" t="s">
        <v>63</v>
      </c>
      <c r="C38" s="657" t="str">
        <f>'Authorized Rev Req'!B110</f>
        <v>AL 4717-E, AL 4757-E</v>
      </c>
      <c r="D38" s="650">
        <f t="shared" si="4"/>
        <v>5723.9434700000002</v>
      </c>
      <c r="E38" s="655" t="str">
        <f>'Authorized Rev Req'!U110</f>
        <v>Public Purpose Program</v>
      </c>
      <c r="F38" s="657">
        <f>'Authorized Rev Req'!T110</f>
        <v>5723.9434700000002</v>
      </c>
      <c r="G38" s="650">
        <f t="shared" si="5"/>
        <v>5723.9434700000002</v>
      </c>
      <c r="H38" s="650">
        <f t="shared" si="5"/>
        <v>5723.9434700000002</v>
      </c>
      <c r="I38" s="650">
        <f t="shared" si="2"/>
        <v>5723.9434700000002</v>
      </c>
      <c r="J38" s="650">
        <f t="shared" si="2"/>
        <v>5723.9434700000002</v>
      </c>
      <c r="K38" s="656" t="s">
        <v>94</v>
      </c>
      <c r="L38" s="650"/>
      <c r="M38" s="650"/>
    </row>
    <row r="39" spans="1:25" s="655" customFormat="1">
      <c r="A39" s="646" t="s">
        <v>66</v>
      </c>
      <c r="C39" s="657" t="str">
        <f>'Authorized Rev Req'!B113</f>
        <v>AL 4717-E</v>
      </c>
      <c r="D39" s="650">
        <f t="shared" si="4"/>
        <v>32</v>
      </c>
      <c r="E39" s="655" t="str">
        <f>'Authorized Rev Req'!U113</f>
        <v>Public Purpose Program</v>
      </c>
      <c r="F39" s="657">
        <f>'Authorized Rev Req'!T113</f>
        <v>32</v>
      </c>
      <c r="G39" s="650">
        <f t="shared" si="5"/>
        <v>32</v>
      </c>
      <c r="H39" s="650">
        <f t="shared" si="5"/>
        <v>32</v>
      </c>
      <c r="I39" s="650">
        <f t="shared" si="2"/>
        <v>32</v>
      </c>
      <c r="J39" s="650">
        <f t="shared" si="2"/>
        <v>32</v>
      </c>
      <c r="K39" s="656" t="s">
        <v>94</v>
      </c>
      <c r="L39" s="650"/>
      <c r="M39" s="650"/>
    </row>
    <row r="40" spans="1:25" s="417" customFormat="1">
      <c r="A40" s="417" t="s">
        <v>310</v>
      </c>
      <c r="C40" s="657" t="str">
        <f>'Authorized Rev Req'!B119</f>
        <v>AL 4717-E</v>
      </c>
      <c r="D40" s="422">
        <f t="shared" si="4"/>
        <v>610</v>
      </c>
      <c r="E40" s="417" t="str">
        <f>'Authorized Rev Req'!U119</f>
        <v>Public Purpose Program</v>
      </c>
      <c r="F40" s="657">
        <f>'Authorized Rev Req'!T119</f>
        <v>610</v>
      </c>
      <c r="G40" s="650">
        <f t="shared" si="5"/>
        <v>610</v>
      </c>
      <c r="H40" s="650">
        <f t="shared" si="5"/>
        <v>610</v>
      </c>
      <c r="I40" s="650">
        <f t="shared" si="2"/>
        <v>610</v>
      </c>
      <c r="J40" s="650">
        <f t="shared" si="2"/>
        <v>610</v>
      </c>
      <c r="K40" s="656" t="s">
        <v>94</v>
      </c>
      <c r="L40" s="422"/>
      <c r="M40" s="422"/>
    </row>
    <row r="41" spans="1:25" s="417" customFormat="1">
      <c r="A41" s="417" t="s">
        <v>201</v>
      </c>
      <c r="C41" s="657" t="str">
        <f>'Authorized Rev Req'!B123</f>
        <v>A.25-05-012</v>
      </c>
      <c r="D41" s="799"/>
      <c r="E41" s="655" t="str">
        <f>'Authorized Rev Req'!U123</f>
        <v>Public Purpose Program</v>
      </c>
      <c r="F41" s="800"/>
      <c r="G41" s="799"/>
      <c r="H41" s="799"/>
      <c r="I41" s="799"/>
      <c r="J41" s="799"/>
      <c r="K41" s="453" t="s">
        <v>94</v>
      </c>
      <c r="L41" s="658"/>
      <c r="M41" s="422"/>
    </row>
    <row r="42" spans="1:25" s="417" customFormat="1">
      <c r="A42" s="417" t="s">
        <v>109</v>
      </c>
      <c r="C42" s="657" t="str">
        <f>'Authorized Rev Req'!B70</f>
        <v>D.25-12-043, AL 4078-E, AL 4078-E-A, AL 4553-E</v>
      </c>
      <c r="D42" s="422">
        <f t="shared" si="4"/>
        <v>-8217.2473647965744</v>
      </c>
      <c r="E42" s="417" t="str">
        <f>'Authorized Rev Req'!U70</f>
        <v>Distribution</v>
      </c>
      <c r="F42" s="657">
        <f>'Authorized Rev Req'!T70</f>
        <v>-8217.2473647965744</v>
      </c>
      <c r="G42" s="650">
        <v>-7810.2490060676946</v>
      </c>
      <c r="H42" s="650">
        <v>-7400.2160433171484</v>
      </c>
      <c r="I42" s="650">
        <v>-6993.4015929700026</v>
      </c>
      <c r="J42" s="650">
        <v>-6588.8762201138061</v>
      </c>
      <c r="K42" s="656" t="s">
        <v>94</v>
      </c>
      <c r="L42" s="658"/>
      <c r="M42" s="422"/>
    </row>
    <row r="43" spans="1:25" s="417" customFormat="1">
      <c r="A43" s="417" t="s">
        <v>110</v>
      </c>
      <c r="C43" s="657" t="str">
        <f>'Authorized Rev Req'!B71</f>
        <v>D.25-12-043, D.19-08-026, AL 4553-E, AL 3489-E-A</v>
      </c>
      <c r="D43" s="422">
        <f t="shared" si="4"/>
        <v>14532.780425580537</v>
      </c>
      <c r="E43" s="417" t="str">
        <f>'Authorized Rev Req'!U71</f>
        <v>Distribution</v>
      </c>
      <c r="F43" s="657">
        <f>'Authorized Rev Req'!T71</f>
        <v>14532.780425580537</v>
      </c>
      <c r="G43" s="650">
        <v>14408.603176873143</v>
      </c>
      <c r="H43" s="650">
        <v>14070.806599866059</v>
      </c>
      <c r="I43" s="650">
        <v>13741.956796525192</v>
      </c>
      <c r="J43" s="650">
        <v>13419.394086179293</v>
      </c>
      <c r="K43" s="656" t="s">
        <v>94</v>
      </c>
      <c r="L43" s="658"/>
      <c r="M43" s="422"/>
    </row>
    <row r="44" spans="1:25" s="417" customFormat="1">
      <c r="A44" s="669" t="s">
        <v>111</v>
      </c>
      <c r="C44" s="657" t="str">
        <f>'Authorized Rev Req'!B72</f>
        <v>D.25-12-043, D.19-11-017, AL 3480-E-A, AL 4553-E, AL 4499-E</v>
      </c>
      <c r="D44" s="422">
        <f t="shared" si="4"/>
        <v>3178.120409211077</v>
      </c>
      <c r="E44" s="417" t="str">
        <f>'Authorized Rev Req'!U72</f>
        <v>Distribution</v>
      </c>
      <c r="F44" s="657">
        <f>'Authorized Rev Req'!T72</f>
        <v>3178.120409211077</v>
      </c>
      <c r="G44" s="650">
        <v>3055.6835348248665</v>
      </c>
      <c r="H44" s="650">
        <v>2953.2118847739603</v>
      </c>
      <c r="I44" s="650">
        <v>2852.2371915111971</v>
      </c>
      <c r="J44" s="650">
        <v>2752.1703364702898</v>
      </c>
      <c r="K44" s="656" t="s">
        <v>94</v>
      </c>
      <c r="L44" s="658"/>
      <c r="M44" s="422"/>
    </row>
    <row r="45" spans="1:25" s="417" customFormat="1">
      <c r="A45" s="417" t="s">
        <v>113</v>
      </c>
      <c r="C45" s="657" t="str">
        <f>'Authorized Rev Req'!B73</f>
        <v>D.25-12-043, D.19-08-026, AL 4553-E, AL 3489-E-A</v>
      </c>
      <c r="D45" s="422">
        <f t="shared" si="4"/>
        <v>196.82219103401869</v>
      </c>
      <c r="E45" s="417" t="str">
        <f>'Authorized Rev Req'!U73</f>
        <v>Distribution</v>
      </c>
      <c r="F45" s="657">
        <f>'Authorized Rev Req'!T73</f>
        <v>196.82219103401869</v>
      </c>
      <c r="G45" s="650">
        <v>124.19671287528736</v>
      </c>
      <c r="H45" s="650">
        <v>119.28227871807566</v>
      </c>
      <c r="I45" s="650">
        <v>114.4027174810947</v>
      </c>
      <c r="J45" s="650">
        <v>109.51740934728193</v>
      </c>
      <c r="K45" s="656" t="s">
        <v>94</v>
      </c>
      <c r="L45" s="658"/>
      <c r="M45" s="422"/>
    </row>
    <row r="46" spans="1:25" s="417" customFormat="1">
      <c r="A46" s="417" t="s">
        <v>108</v>
      </c>
      <c r="C46" s="657" t="str">
        <f>'Authorized Rev Req'!B77</f>
        <v>D.25-12-043, D.21-04-014, AL 4553-E, AL 3765-E, AL 3765-E-A</v>
      </c>
      <c r="D46" s="422">
        <f t="shared" si="4"/>
        <v>6543.1721669204471</v>
      </c>
      <c r="E46" s="417" t="str">
        <f>'Authorized Rev Req'!U77</f>
        <v>Distribution</v>
      </c>
      <c r="F46" s="657">
        <f>'Authorized Rev Req'!T77</f>
        <v>6543.1721669204471</v>
      </c>
      <c r="G46" s="650">
        <v>6543.1721669204471</v>
      </c>
      <c r="H46" s="650">
        <v>6543.1721669204471</v>
      </c>
      <c r="I46" s="650">
        <v>6543.1721669204471</v>
      </c>
      <c r="J46" s="650">
        <v>6543.1721669204471</v>
      </c>
      <c r="K46" s="656" t="s">
        <v>94</v>
      </c>
      <c r="L46" s="658"/>
      <c r="M46" s="422"/>
    </row>
    <row r="47" spans="1:25" s="417" customFormat="1">
      <c r="A47" s="417" t="s">
        <v>118</v>
      </c>
      <c r="C47" s="657" t="str">
        <f>'Authorized Rev Req'!B75</f>
        <v>AL 4717-E, AL 4757-E</v>
      </c>
      <c r="D47" s="422">
        <f t="shared" si="4"/>
        <v>5954.2815355503835</v>
      </c>
      <c r="E47" s="417" t="str">
        <f>'Authorized Rev Req'!U75</f>
        <v>Distribution</v>
      </c>
      <c r="F47" s="657">
        <f>'Authorized Rev Req'!T75</f>
        <v>5954.2815355503835</v>
      </c>
      <c r="G47" s="650">
        <f>F47</f>
        <v>5954.2815355503835</v>
      </c>
      <c r="H47" s="650">
        <f>G47</f>
        <v>5954.2815355503835</v>
      </c>
      <c r="I47" s="650">
        <f t="shared" si="2"/>
        <v>5954.2815355503835</v>
      </c>
      <c r="J47" s="650">
        <f t="shared" si="2"/>
        <v>5954.2815355503835</v>
      </c>
      <c r="K47" s="656" t="s">
        <v>94</v>
      </c>
      <c r="L47" s="658"/>
      <c r="M47" s="422"/>
    </row>
    <row r="48" spans="1:25" s="417" customFormat="1" ht="13.9" customHeight="1">
      <c r="A48" s="417" t="s">
        <v>342</v>
      </c>
      <c r="C48" s="657" t="str">
        <f>'Authorized Rev Req'!B144</f>
        <v>A.25-05-012</v>
      </c>
      <c r="D48" s="422">
        <f t="shared" si="4"/>
        <v>0</v>
      </c>
      <c r="E48" s="417" t="str">
        <f>'Authorized Rev Req'!U144</f>
        <v>Public Purpose Program</v>
      </c>
      <c r="F48" s="657">
        <f>'Authorized Rev Req'!T144</f>
        <v>0</v>
      </c>
      <c r="G48" s="650">
        <f>F48</f>
        <v>0</v>
      </c>
      <c r="H48" s="650">
        <f t="shared" ref="H48" si="10">G48</f>
        <v>0</v>
      </c>
      <c r="I48" s="650">
        <f t="shared" si="2"/>
        <v>0</v>
      </c>
      <c r="J48" s="650">
        <f t="shared" si="2"/>
        <v>0</v>
      </c>
      <c r="K48" s="656" t="s">
        <v>94</v>
      </c>
      <c r="L48" s="658"/>
      <c r="M48" s="422"/>
    </row>
    <row r="49" spans="1:13" s="417" customFormat="1" ht="13.9" customHeight="1">
      <c r="A49" s="417" t="s">
        <v>343</v>
      </c>
      <c r="C49" s="657" t="str">
        <f>'Authorized Rev Req'!B145</f>
        <v>A.25-05-012</v>
      </c>
      <c r="D49" s="422">
        <f t="shared" si="4"/>
        <v>0</v>
      </c>
      <c r="E49" s="417" t="str">
        <f>'Authorized Rev Req'!U145</f>
        <v>Public Purpose Program</v>
      </c>
      <c r="F49" s="657">
        <f>'Authorized Rev Req'!T145</f>
        <v>0</v>
      </c>
      <c r="G49" s="650">
        <f t="shared" ref="G49:H49" si="11">F49</f>
        <v>0</v>
      </c>
      <c r="H49" s="650">
        <f t="shared" si="11"/>
        <v>0</v>
      </c>
      <c r="I49" s="650">
        <f t="shared" si="2"/>
        <v>0</v>
      </c>
      <c r="J49" s="650">
        <f t="shared" si="2"/>
        <v>0</v>
      </c>
      <c r="K49" s="656" t="s">
        <v>94</v>
      </c>
      <c r="L49" s="658"/>
    </row>
    <row r="50" spans="1:13" s="417" customFormat="1" ht="13.9" customHeight="1">
      <c r="A50" s="417" t="s">
        <v>444</v>
      </c>
      <c r="C50" s="657" t="str">
        <f>'Authorized Rev Req'!B153</f>
        <v>D.25-12-007</v>
      </c>
      <c r="D50" s="422">
        <f t="shared" si="4"/>
        <v>34080.357556321556</v>
      </c>
      <c r="E50" s="417" t="str">
        <f>'Authorized Rev Req'!U153</f>
        <v>Public Purpose Program</v>
      </c>
      <c r="F50" s="657">
        <f>'Authorized Rev Req'!T153</f>
        <v>34080.357556321556</v>
      </c>
      <c r="G50" s="650">
        <f t="shared" ref="G50:J51" si="12">F50</f>
        <v>34080.357556321556</v>
      </c>
      <c r="H50" s="650">
        <f t="shared" si="12"/>
        <v>34080.357556321556</v>
      </c>
      <c r="I50" s="650">
        <f t="shared" si="12"/>
        <v>34080.357556321556</v>
      </c>
      <c r="J50" s="650">
        <f t="shared" si="12"/>
        <v>34080.357556321556</v>
      </c>
      <c r="K50" s="656" t="s">
        <v>94</v>
      </c>
      <c r="L50" s="422"/>
      <c r="M50" s="422"/>
    </row>
    <row r="51" spans="1:13" s="417" customFormat="1">
      <c r="A51" s="417" t="s">
        <v>446</v>
      </c>
      <c r="C51" s="657" t="str">
        <f>'Authorized Rev Req'!B155</f>
        <v>AL 4717-E</v>
      </c>
      <c r="D51" s="422">
        <f t="shared" si="4"/>
        <v>6300</v>
      </c>
      <c r="E51" s="417" t="str">
        <f>'Authorized Rev Req'!U155</f>
        <v>Public Purpose Program</v>
      </c>
      <c r="F51" s="657">
        <f>'Authorized Rev Req'!T155</f>
        <v>6300</v>
      </c>
      <c r="G51" s="650">
        <f t="shared" si="12"/>
        <v>6300</v>
      </c>
      <c r="H51" s="650">
        <f t="shared" si="12"/>
        <v>6300</v>
      </c>
      <c r="I51" s="650">
        <f t="shared" si="12"/>
        <v>6300</v>
      </c>
      <c r="J51" s="650">
        <f t="shared" si="12"/>
        <v>6300</v>
      </c>
      <c r="K51" s="656" t="s">
        <v>94</v>
      </c>
      <c r="L51" s="422"/>
    </row>
    <row r="52" spans="1:13" s="417" customFormat="1">
      <c r="A52" s="417" t="s">
        <v>478</v>
      </c>
      <c r="C52" s="453" t="str">
        <f>'Authorized Rev Req'!B154</f>
        <v>AL 4717-E</v>
      </c>
      <c r="D52" s="422">
        <f t="shared" si="4"/>
        <v>2966.7624920999997</v>
      </c>
      <c r="E52" s="417" t="str">
        <f>'Authorized Rev Req'!U119</f>
        <v>Public Purpose Program</v>
      </c>
      <c r="F52" s="656">
        <f>'Authorized Rev Req'!T154</f>
        <v>2966.7624920999997</v>
      </c>
      <c r="G52" s="650">
        <v>675.96977249999998</v>
      </c>
      <c r="H52" s="650"/>
      <c r="I52" s="650"/>
      <c r="J52" s="650"/>
      <c r="K52" s="656" t="s">
        <v>94</v>
      </c>
      <c r="L52" s="422"/>
      <c r="M52" s="422"/>
    </row>
    <row r="53" spans="1:13" s="655" customFormat="1">
      <c r="A53" s="655" t="s">
        <v>365</v>
      </c>
      <c r="C53" s="656" t="str">
        <f>'Authorized Rev Req'!B53</f>
        <v>D.21-07-028, AL 4233-E, AL 4233-E-A, Resolution E-5300</v>
      </c>
      <c r="D53" s="650">
        <f t="shared" si="4"/>
        <v>5770.1869999999999</v>
      </c>
      <c r="E53" s="655" t="str">
        <f>'Authorized Rev Req'!U53</f>
        <v>Distribution</v>
      </c>
      <c r="F53" s="656">
        <f>'Authorized Rev Req'!T53</f>
        <v>5770.1869999999999</v>
      </c>
      <c r="G53" s="657">
        <v>354.12700000000001</v>
      </c>
      <c r="I53" s="650"/>
      <c r="J53" s="650"/>
      <c r="K53" s="656" t="s">
        <v>94</v>
      </c>
      <c r="L53" s="650"/>
      <c r="M53" s="650"/>
    </row>
    <row r="54" spans="1:13" s="655" customFormat="1">
      <c r="A54" s="655" t="s">
        <v>421</v>
      </c>
      <c r="C54" s="670" t="s">
        <v>422</v>
      </c>
      <c r="D54" s="650">
        <f t="shared" si="4"/>
        <v>0</v>
      </c>
      <c r="E54" s="655" t="str">
        <f>'Authorized Rev Req'!U80</f>
        <v>Distribution</v>
      </c>
      <c r="F54" s="657"/>
      <c r="G54" s="657">
        <v>12753.731838700001</v>
      </c>
      <c r="H54" s="657">
        <v>12837.741178599998</v>
      </c>
      <c r="K54" s="656" t="s">
        <v>94</v>
      </c>
      <c r="L54" s="650"/>
      <c r="M54" s="650"/>
    </row>
    <row r="55" spans="1:13" s="655" customFormat="1">
      <c r="A55" s="655" t="s">
        <v>421</v>
      </c>
      <c r="C55" s="670" t="s">
        <v>422</v>
      </c>
      <c r="D55" s="650">
        <f t="shared" si="4"/>
        <v>0</v>
      </c>
      <c r="E55" s="655" t="str">
        <f>'Authorized Rev Req'!U95</f>
        <v>Generation</v>
      </c>
      <c r="F55" s="657"/>
      <c r="G55" s="657">
        <v>53.889961860000007</v>
      </c>
      <c r="H55" s="657">
        <v>57.285133080000008</v>
      </c>
      <c r="K55" s="656" t="s">
        <v>94</v>
      </c>
      <c r="L55" s="650"/>
      <c r="M55" s="650"/>
    </row>
    <row r="56" spans="1:13" s="655" customFormat="1">
      <c r="A56" s="671" t="s">
        <v>426</v>
      </c>
      <c r="B56" s="671"/>
      <c r="C56" s="672" t="str">
        <f>'Authorized Rev Req'!B152</f>
        <v>AL 4717-E</v>
      </c>
      <c r="D56" s="673">
        <f t="shared" si="4"/>
        <v>21618.786</v>
      </c>
      <c r="E56" s="671" t="str">
        <f>'Authorized Rev Req'!U152</f>
        <v>Public Purpose Program</v>
      </c>
      <c r="F56" s="672">
        <f>'Authorized Rev Req'!T152</f>
        <v>21618.786</v>
      </c>
      <c r="G56" s="672">
        <v>23780.664599999996</v>
      </c>
      <c r="H56" s="671"/>
      <c r="I56" s="673"/>
      <c r="J56" s="673"/>
      <c r="K56" s="674" t="s">
        <v>94</v>
      </c>
      <c r="L56" s="650"/>
      <c r="M56" s="650"/>
    </row>
    <row r="57" spans="1:13" s="655" customFormat="1">
      <c r="B57" s="675"/>
      <c r="G57" s="650"/>
      <c r="I57" s="650"/>
      <c r="J57" s="650"/>
      <c r="L57" s="660"/>
      <c r="M57" s="650"/>
    </row>
    <row r="58" spans="1:13" s="655" customFormat="1">
      <c r="B58" s="675"/>
      <c r="I58" s="650"/>
      <c r="J58" s="650"/>
      <c r="L58" s="676"/>
      <c r="M58" s="650"/>
    </row>
    <row r="59" spans="1:13" s="655" customFormat="1">
      <c r="A59" s="600" t="s">
        <v>368</v>
      </c>
      <c r="B59" s="677"/>
      <c r="C59" s="665"/>
      <c r="D59" s="650"/>
      <c r="F59" s="665"/>
      <c r="G59" s="665"/>
      <c r="H59" s="665"/>
      <c r="I59" s="650"/>
      <c r="J59" s="650"/>
      <c r="K59" s="656"/>
      <c r="L59" s="666"/>
      <c r="M59" s="650"/>
    </row>
    <row r="60" spans="1:13" s="655" customFormat="1">
      <c r="A60" s="646" t="s">
        <v>3</v>
      </c>
      <c r="C60" s="650" t="s">
        <v>413</v>
      </c>
      <c r="D60" s="650">
        <f>SUMIFS('Authorized Rev Req'!$T:$T,'Authorized Rev Req'!$U:$U,$E60,'Authorized Rev Req'!$V:$V,"Y")</f>
        <v>47960.944367012016</v>
      </c>
      <c r="E60" s="655" t="s">
        <v>3</v>
      </c>
      <c r="F60" s="657">
        <f>SUMIFS('Authorized Rev Req'!$T:$T,'Authorized Rev Req'!$U:$U,$E60,'Authorized Rev Req'!$V:$V,"Y")-'Authorized Rev Req'!T12</f>
        <v>64533.113306129788</v>
      </c>
      <c r="G60" s="657">
        <f>F60</f>
        <v>64533.113306129788</v>
      </c>
      <c r="H60" s="657">
        <f t="shared" ref="G60:H67" si="13">G60</f>
        <v>64533.113306129788</v>
      </c>
      <c r="I60" s="650">
        <f t="shared" si="2"/>
        <v>64533.113306129788</v>
      </c>
      <c r="J60" s="650">
        <f t="shared" si="2"/>
        <v>64533.113306129788</v>
      </c>
      <c r="K60" s="656" t="s">
        <v>94</v>
      </c>
      <c r="L60" s="658"/>
      <c r="M60" s="650"/>
    </row>
    <row r="61" spans="1:13" s="655" customFormat="1">
      <c r="A61" s="646" t="s">
        <v>252</v>
      </c>
      <c r="C61" s="655" t="s">
        <v>414</v>
      </c>
      <c r="D61" s="650">
        <f>SUMIFS('Authorized Rev Req'!$T:$T,'Authorized Rev Req'!$U:$U,$E61,'Authorized Rev Req'!$V:$V,"Y")</f>
        <v>227505.09326206203</v>
      </c>
      <c r="E61" s="655" t="s">
        <v>251</v>
      </c>
      <c r="F61" s="657">
        <f>SUMIFS('Authorized Rev Req'!$T:$T,'Authorized Rev Req'!$U:$U,$E61,'Authorized Rev Req'!$V:$V,"Y")-'Authorized Rev Req'!T13</f>
        <v>204936.39232294427</v>
      </c>
      <c r="G61" s="657">
        <f>F61</f>
        <v>204936.39232294427</v>
      </c>
      <c r="H61" s="657">
        <f t="shared" ref="H61" si="14">G61</f>
        <v>204936.39232294427</v>
      </c>
      <c r="I61" s="650">
        <f t="shared" ref="I61" si="15">H61</f>
        <v>204936.39232294427</v>
      </c>
      <c r="J61" s="650">
        <f t="shared" ref="J61" si="16">I61</f>
        <v>204936.39232294427</v>
      </c>
      <c r="K61" s="656" t="s">
        <v>94</v>
      </c>
      <c r="L61" s="658"/>
      <c r="M61" s="650"/>
    </row>
    <row r="62" spans="1:13" s="655" customFormat="1">
      <c r="A62" s="646" t="s">
        <v>5</v>
      </c>
      <c r="C62" s="655" t="s">
        <v>416</v>
      </c>
      <c r="D62" s="650">
        <f>SUMIFS('Authorized Rev Req'!$T:$T,'Authorized Rev Req'!$U:$U,$E62,'Authorized Rev Req'!$V:$V,"Y")</f>
        <v>287483.94735000009</v>
      </c>
      <c r="E62" s="646" t="s">
        <v>5</v>
      </c>
      <c r="F62" s="657">
        <f>SUMIFS('Authorized Rev Req'!$T:$T,'Authorized Rev Req'!$U:$U,$E62,'Authorized Rev Req'!$V:$V,"Y")-'Authorized Rev Req'!T11</f>
        <v>105735.03135000009</v>
      </c>
      <c r="G62" s="657">
        <f>F62</f>
        <v>105735.03135000009</v>
      </c>
      <c r="H62" s="657">
        <f t="shared" ref="H62" si="17">G62</f>
        <v>105735.03135000009</v>
      </c>
      <c r="I62" s="650">
        <f t="shared" ref="I62" si="18">H62</f>
        <v>105735.03135000009</v>
      </c>
      <c r="J62" s="650">
        <f t="shared" ref="J62" si="19">I62</f>
        <v>105735.03135000009</v>
      </c>
      <c r="K62" s="656" t="s">
        <v>94</v>
      </c>
      <c r="L62" s="658"/>
      <c r="M62" s="650"/>
    </row>
    <row r="63" spans="1:13" s="655" customFormat="1">
      <c r="A63" s="646" t="s">
        <v>59</v>
      </c>
      <c r="C63" s="655" t="s">
        <v>417</v>
      </c>
      <c r="D63" s="650">
        <f t="shared" ref="D63:D84" si="20">F63</f>
        <v>-79665.630380000002</v>
      </c>
      <c r="E63" s="646" t="s">
        <v>59</v>
      </c>
      <c r="F63" s="657">
        <f>SUMIFS('Authorized Rev Req'!$T:$T,'Authorized Rev Req'!$U:$U,$E63,'Authorized Rev Req'!$V:$V,"Y")</f>
        <v>-79665.630380000002</v>
      </c>
      <c r="G63" s="657">
        <f t="shared" si="13"/>
        <v>-79665.630380000002</v>
      </c>
      <c r="H63" s="657">
        <f t="shared" si="13"/>
        <v>-79665.630380000002</v>
      </c>
      <c r="I63" s="650">
        <f t="shared" si="2"/>
        <v>-79665.630380000002</v>
      </c>
      <c r="J63" s="650">
        <f t="shared" si="2"/>
        <v>-79665.630380000002</v>
      </c>
      <c r="K63" s="656" t="s">
        <v>94</v>
      </c>
      <c r="L63" s="658"/>
      <c r="M63" s="650"/>
    </row>
    <row r="64" spans="1:13" s="655" customFormat="1">
      <c r="A64" s="646" t="s">
        <v>99</v>
      </c>
      <c r="C64" s="655" t="s">
        <v>418</v>
      </c>
      <c r="D64" s="650">
        <f t="shared" si="20"/>
        <v>-7290.7556199999981</v>
      </c>
      <c r="E64" s="646" t="s">
        <v>99</v>
      </c>
      <c r="F64" s="657">
        <f>SUMIFS('Authorized Rev Req'!$T:$T,'Authorized Rev Req'!$U:$U,$E64,'Authorized Rev Req'!$V:$V,"Y")</f>
        <v>-7290.7556199999981</v>
      </c>
      <c r="G64" s="657">
        <f t="shared" si="13"/>
        <v>-7290.7556199999981</v>
      </c>
      <c r="H64" s="657">
        <f t="shared" si="13"/>
        <v>-7290.7556199999981</v>
      </c>
      <c r="I64" s="650">
        <f t="shared" si="2"/>
        <v>-7290.7556199999981</v>
      </c>
      <c r="J64" s="650">
        <f t="shared" si="2"/>
        <v>-7290.7556199999981</v>
      </c>
      <c r="K64" s="656" t="s">
        <v>94</v>
      </c>
      <c r="L64" s="658"/>
      <c r="M64" s="650"/>
    </row>
    <row r="65" spans="1:25" s="655" customFormat="1">
      <c r="A65" s="646" t="s">
        <v>80</v>
      </c>
      <c r="C65" s="655" t="s">
        <v>378</v>
      </c>
      <c r="D65" s="650">
        <f t="shared" si="20"/>
        <v>-64.002330000000001</v>
      </c>
      <c r="E65" s="646" t="s">
        <v>80</v>
      </c>
      <c r="F65" s="657">
        <f>SUMIFS('Authorized Rev Req'!$T:$T,'Authorized Rev Req'!$U:$U,$E65,'Authorized Rev Req'!$V:$V,"Y")</f>
        <v>-64.002330000000001</v>
      </c>
      <c r="G65" s="657">
        <f t="shared" si="13"/>
        <v>-64.002330000000001</v>
      </c>
      <c r="H65" s="657">
        <f t="shared" si="13"/>
        <v>-64.002330000000001</v>
      </c>
      <c r="I65" s="650">
        <f t="shared" si="2"/>
        <v>-64.002330000000001</v>
      </c>
      <c r="J65" s="650">
        <f t="shared" si="2"/>
        <v>-64.002330000000001</v>
      </c>
      <c r="K65" s="656" t="s">
        <v>94</v>
      </c>
      <c r="L65" s="658"/>
      <c r="M65" s="650"/>
    </row>
    <row r="66" spans="1:25" s="655" customFormat="1">
      <c r="A66" s="646" t="s">
        <v>14</v>
      </c>
      <c r="C66" s="655" t="s">
        <v>415</v>
      </c>
      <c r="D66" s="650">
        <f t="shared" si="20"/>
        <v>-1871.3062200000002</v>
      </c>
      <c r="E66" s="646" t="s">
        <v>14</v>
      </c>
      <c r="F66" s="657">
        <f>SUMIFS('Authorized Rev Req'!$T:$T,'Authorized Rev Req'!$U:$U,$E66,'Authorized Rev Req'!$V:$V,"Y")</f>
        <v>-1871.3062200000002</v>
      </c>
      <c r="G66" s="657">
        <f t="shared" si="13"/>
        <v>-1871.3062200000002</v>
      </c>
      <c r="H66" s="657">
        <f t="shared" si="13"/>
        <v>-1871.3062200000002</v>
      </c>
      <c r="I66" s="650">
        <f t="shared" si="2"/>
        <v>-1871.3062200000002</v>
      </c>
      <c r="J66" s="650">
        <f t="shared" si="2"/>
        <v>-1871.3062200000002</v>
      </c>
      <c r="K66" s="656" t="s">
        <v>94</v>
      </c>
      <c r="L66" s="658"/>
      <c r="M66" s="650"/>
    </row>
    <row r="67" spans="1:25" s="655" customFormat="1">
      <c r="A67" s="646" t="s">
        <v>78</v>
      </c>
      <c r="C67" s="655" t="s">
        <v>419</v>
      </c>
      <c r="D67" s="650">
        <f t="shared" si="20"/>
        <v>0</v>
      </c>
      <c r="E67" s="655" t="s">
        <v>78</v>
      </c>
      <c r="F67" s="657">
        <f>SUMIFS('Authorized Rev Req'!$T:$T,'Authorized Rev Req'!$U:$U,$E67,'Authorized Rev Req'!$V:$V,"Y")</f>
        <v>0</v>
      </c>
      <c r="G67" s="650">
        <f t="shared" si="13"/>
        <v>0</v>
      </c>
      <c r="H67" s="650">
        <f t="shared" si="13"/>
        <v>0</v>
      </c>
      <c r="I67" s="650">
        <f t="shared" si="2"/>
        <v>0</v>
      </c>
      <c r="J67" s="650">
        <f t="shared" si="2"/>
        <v>0</v>
      </c>
      <c r="K67" s="656" t="s">
        <v>94</v>
      </c>
      <c r="L67" s="658"/>
      <c r="M67" s="650"/>
    </row>
    <row r="68" spans="1:25" s="655" customFormat="1">
      <c r="A68" s="646"/>
      <c r="C68" s="657"/>
      <c r="D68" s="650"/>
      <c r="E68" s="646"/>
      <c r="F68" s="657"/>
      <c r="G68" s="657"/>
      <c r="H68" s="657"/>
      <c r="I68" s="650"/>
      <c r="J68" s="650"/>
      <c r="K68" s="656"/>
      <c r="L68" s="658"/>
      <c r="M68" s="650"/>
    </row>
    <row r="69" spans="1:25" s="655" customFormat="1">
      <c r="A69" s="651" t="s">
        <v>103</v>
      </c>
      <c r="D69" s="650"/>
      <c r="G69" s="657"/>
      <c r="H69" s="657"/>
      <c r="I69" s="650"/>
      <c r="J69" s="650"/>
      <c r="K69" s="656"/>
      <c r="M69" s="650"/>
    </row>
    <row r="70" spans="1:25" s="655" customFormat="1">
      <c r="A70" s="655" t="s">
        <v>43</v>
      </c>
      <c r="C70" s="657" t="str">
        <f>'Authorized Rev Req'!B97</f>
        <v>D.08-02-034, AL 2069-E, AL 4758-E</v>
      </c>
      <c r="D70" s="650">
        <f t="shared" si="20"/>
        <v>-891.81047999999998</v>
      </c>
      <c r="E70" s="655" t="str">
        <f>'Authorized Rev Req'!U97</f>
        <v>Generation</v>
      </c>
      <c r="F70" s="657">
        <f>'Authorized Rev Req'!T97</f>
        <v>-891.81047999999998</v>
      </c>
      <c r="G70" s="657">
        <f t="shared" ref="G70:H77" si="21">F70</f>
        <v>-891.81047999999998</v>
      </c>
      <c r="H70" s="657">
        <f t="shared" si="21"/>
        <v>-891.81047999999998</v>
      </c>
      <c r="I70" s="650">
        <f t="shared" si="2"/>
        <v>-891.81047999999998</v>
      </c>
      <c r="J70" s="650">
        <f t="shared" si="2"/>
        <v>-891.81047999999998</v>
      </c>
      <c r="K70" s="656" t="s">
        <v>94</v>
      </c>
      <c r="L70" s="658"/>
      <c r="M70" s="650"/>
    </row>
    <row r="71" spans="1:25" s="655" customFormat="1">
      <c r="A71" s="655" t="s">
        <v>44</v>
      </c>
      <c r="C71" s="657" t="str">
        <f>'Authorized Rev Req'!B98</f>
        <v>D.08-02-034, AL 2069-E, AL 4758-E</v>
      </c>
      <c r="D71" s="650">
        <f t="shared" si="20"/>
        <v>3082.6530000000598</v>
      </c>
      <c r="E71" s="655" t="str">
        <f>'Authorized Rev Req'!U98</f>
        <v>Generation</v>
      </c>
      <c r="F71" s="657">
        <f>'Authorized Rev Req'!T98</f>
        <v>3082.6530000000598</v>
      </c>
      <c r="G71" s="657">
        <f t="shared" si="21"/>
        <v>3082.6530000000598</v>
      </c>
      <c r="H71" s="657">
        <f t="shared" si="21"/>
        <v>3082.6530000000598</v>
      </c>
      <c r="I71" s="650">
        <f t="shared" si="2"/>
        <v>3082.6530000000598</v>
      </c>
      <c r="J71" s="650">
        <f t="shared" si="2"/>
        <v>3082.6530000000598</v>
      </c>
      <c r="K71" s="656" t="s">
        <v>94</v>
      </c>
      <c r="L71" s="658"/>
      <c r="M71" s="650"/>
      <c r="U71" s="650"/>
      <c r="V71" s="650"/>
      <c r="W71" s="650"/>
      <c r="X71" s="650"/>
      <c r="Y71" s="650"/>
    </row>
    <row r="72" spans="1:25" s="655" customFormat="1">
      <c r="A72" s="655" t="s">
        <v>45</v>
      </c>
      <c r="C72" s="657" t="str">
        <f>'Authorized Rev Req'!B99</f>
        <v>D.14-01-002, AL 4758-E</v>
      </c>
      <c r="D72" s="650">
        <f t="shared" si="20"/>
        <v>154.52138000000036</v>
      </c>
      <c r="E72" s="655" t="str">
        <f>'Authorized Rev Req'!U99</f>
        <v>Generation</v>
      </c>
      <c r="F72" s="657">
        <f>'Authorized Rev Req'!T99</f>
        <v>154.52138000000036</v>
      </c>
      <c r="G72" s="657">
        <f t="shared" si="21"/>
        <v>154.52138000000036</v>
      </c>
      <c r="H72" s="657">
        <f t="shared" si="21"/>
        <v>154.52138000000036</v>
      </c>
      <c r="I72" s="650">
        <f t="shared" si="2"/>
        <v>154.52138000000036</v>
      </c>
      <c r="J72" s="650">
        <f t="shared" si="2"/>
        <v>154.52138000000036</v>
      </c>
      <c r="K72" s="656" t="s">
        <v>94</v>
      </c>
      <c r="L72" s="658"/>
      <c r="M72" s="650"/>
      <c r="U72" s="650"/>
      <c r="V72" s="650"/>
      <c r="W72" s="650"/>
      <c r="X72" s="650"/>
      <c r="Y72" s="650"/>
    </row>
    <row r="73" spans="1:25" s="655" customFormat="1">
      <c r="A73" s="655" t="s">
        <v>46</v>
      </c>
      <c r="C73" s="657" t="str">
        <f>'Authorized Rev Req'!B100</f>
        <v>D.08-02-034, AL 2209-E, AL 4757-E</v>
      </c>
      <c r="D73" s="650">
        <f t="shared" si="20"/>
        <v>0</v>
      </c>
      <c r="E73" s="655" t="str">
        <f>'Authorized Rev Req'!U100</f>
        <v>Generation</v>
      </c>
      <c r="F73" s="657">
        <f>'Authorized Rev Req'!T100</f>
        <v>0</v>
      </c>
      <c r="G73" s="657">
        <f t="shared" si="21"/>
        <v>0</v>
      </c>
      <c r="H73" s="657">
        <f t="shared" si="21"/>
        <v>0</v>
      </c>
      <c r="I73" s="650">
        <f t="shared" si="2"/>
        <v>0</v>
      </c>
      <c r="J73" s="650">
        <f t="shared" si="2"/>
        <v>0</v>
      </c>
      <c r="K73" s="656" t="s">
        <v>94</v>
      </c>
      <c r="L73" s="658"/>
      <c r="M73" s="650"/>
      <c r="U73" s="650"/>
      <c r="V73" s="650"/>
      <c r="W73" s="650"/>
      <c r="X73" s="650"/>
      <c r="Y73" s="650"/>
    </row>
    <row r="74" spans="1:25" s="655" customFormat="1">
      <c r="A74" s="655" t="s">
        <v>47</v>
      </c>
      <c r="C74" s="657" t="str">
        <f>'Authorized Rev Req'!B101</f>
        <v>D.12-12-004, AL 2816-E, AL 4758-E</v>
      </c>
      <c r="D74" s="650">
        <f t="shared" si="20"/>
        <v>258.09344999999928</v>
      </c>
      <c r="E74" s="655" t="str">
        <f>'Authorized Rev Req'!U101</f>
        <v>Generation</v>
      </c>
      <c r="F74" s="657">
        <f>'Authorized Rev Req'!T101</f>
        <v>258.09344999999928</v>
      </c>
      <c r="G74" s="657">
        <f t="shared" si="21"/>
        <v>258.09344999999928</v>
      </c>
      <c r="H74" s="657">
        <f t="shared" si="21"/>
        <v>258.09344999999928</v>
      </c>
      <c r="I74" s="650">
        <f t="shared" si="2"/>
        <v>258.09344999999928</v>
      </c>
      <c r="J74" s="650">
        <f t="shared" si="2"/>
        <v>258.09344999999928</v>
      </c>
      <c r="K74" s="656" t="s">
        <v>94</v>
      </c>
      <c r="L74" s="658"/>
      <c r="M74" s="650"/>
      <c r="U74" s="650"/>
      <c r="V74" s="650"/>
      <c r="W74" s="650"/>
      <c r="X74" s="650"/>
      <c r="Y74" s="650"/>
    </row>
    <row r="75" spans="1:25" s="655" customFormat="1" ht="13.9" customHeight="1">
      <c r="A75" s="646" t="s">
        <v>48</v>
      </c>
      <c r="C75" s="657" t="str">
        <f>'Authorized Rev Req'!B102</f>
        <v>D.12-12-004, AL 2816-E, AL 4758-E</v>
      </c>
      <c r="D75" s="650">
        <f t="shared" si="20"/>
        <v>897.11634000000356</v>
      </c>
      <c r="E75" s="655" t="str">
        <f>'Authorized Rev Req'!U102</f>
        <v>Generation</v>
      </c>
      <c r="F75" s="657">
        <f>'Authorized Rev Req'!T102</f>
        <v>897.11634000000356</v>
      </c>
      <c r="G75" s="657">
        <f t="shared" si="21"/>
        <v>897.11634000000356</v>
      </c>
      <c r="H75" s="657">
        <f t="shared" si="21"/>
        <v>897.11634000000356</v>
      </c>
      <c r="I75" s="650">
        <f t="shared" si="2"/>
        <v>897.11634000000356</v>
      </c>
      <c r="J75" s="650">
        <f t="shared" si="2"/>
        <v>897.11634000000356</v>
      </c>
      <c r="K75" s="656" t="s">
        <v>94</v>
      </c>
      <c r="L75" s="658"/>
      <c r="M75" s="650"/>
      <c r="U75" s="650"/>
      <c r="V75" s="650"/>
      <c r="W75" s="650"/>
      <c r="X75" s="650"/>
      <c r="Y75" s="650"/>
    </row>
    <row r="76" spans="1:25" s="655" customFormat="1">
      <c r="A76" s="655" t="s">
        <v>49</v>
      </c>
      <c r="C76" s="657" t="str">
        <f>'Authorized Rev Req'!B103</f>
        <v>D.12-12-004, AL 2816-E, AL 4758-E</v>
      </c>
      <c r="D76" s="650">
        <f t="shared" si="20"/>
        <v>4.1390800000000016</v>
      </c>
      <c r="E76" s="655" t="str">
        <f>'Authorized Rev Req'!U103</f>
        <v>Generation</v>
      </c>
      <c r="F76" s="657">
        <f>'Authorized Rev Req'!T103</f>
        <v>4.1390800000000016</v>
      </c>
      <c r="G76" s="657">
        <f t="shared" si="21"/>
        <v>4.1390800000000016</v>
      </c>
      <c r="H76" s="657">
        <f t="shared" si="21"/>
        <v>4.1390800000000016</v>
      </c>
      <c r="I76" s="650">
        <f t="shared" si="2"/>
        <v>4.1390800000000016</v>
      </c>
      <c r="J76" s="650">
        <f t="shared" si="2"/>
        <v>4.1390800000000016</v>
      </c>
      <c r="K76" s="656" t="s">
        <v>94</v>
      </c>
      <c r="L76" s="658"/>
      <c r="M76" s="650"/>
    </row>
    <row r="77" spans="1:25" s="655" customFormat="1">
      <c r="A77" s="655" t="s">
        <v>104</v>
      </c>
      <c r="C77" s="657" t="str">
        <f>'Authorized Rev Req'!B96</f>
        <v>D.08-02-034, AL 2209-E, AL 4757-E</v>
      </c>
      <c r="D77" s="650">
        <f t="shared" si="20"/>
        <v>0</v>
      </c>
      <c r="E77" s="646" t="str">
        <f>'Authorized Rev Req'!U96</f>
        <v>Distribution</v>
      </c>
      <c r="F77" s="657">
        <f>'Authorized Rev Req'!T96</f>
        <v>0</v>
      </c>
      <c r="G77" s="657">
        <f t="shared" si="21"/>
        <v>0</v>
      </c>
      <c r="H77" s="657">
        <f t="shared" si="21"/>
        <v>0</v>
      </c>
      <c r="I77" s="650">
        <f t="shared" si="2"/>
        <v>0</v>
      </c>
      <c r="J77" s="650">
        <f t="shared" si="2"/>
        <v>0</v>
      </c>
      <c r="K77" s="656" t="s">
        <v>94</v>
      </c>
      <c r="L77" s="658"/>
      <c r="M77" s="650"/>
    </row>
    <row r="78" spans="1:25" s="655" customFormat="1">
      <c r="A78" s="655" t="s">
        <v>447</v>
      </c>
      <c r="C78" s="656" t="str">
        <f>'Authorized Rev Req'!B158</f>
        <v>D.21-07-010, AL 2209-E, AL 4319-E, AL 4757-E</v>
      </c>
      <c r="D78" s="650">
        <f t="shared" si="20"/>
        <v>0</v>
      </c>
      <c r="E78" s="646" t="str">
        <f>'Authorized Rev Req'!U158</f>
        <v>Distribution</v>
      </c>
      <c r="F78" s="656">
        <f>'Authorized Rev Req'!T158</f>
        <v>0</v>
      </c>
      <c r="G78" s="657">
        <f t="shared" ref="G78:J79" si="22">F78</f>
        <v>0</v>
      </c>
      <c r="H78" s="657">
        <f t="shared" si="22"/>
        <v>0</v>
      </c>
      <c r="I78" s="650">
        <f t="shared" si="22"/>
        <v>0</v>
      </c>
      <c r="J78" s="650">
        <f t="shared" si="22"/>
        <v>0</v>
      </c>
      <c r="K78" s="656" t="s">
        <v>94</v>
      </c>
    </row>
    <row r="79" spans="1:25" s="655" customFormat="1">
      <c r="A79" s="646" t="s">
        <v>448</v>
      </c>
      <c r="C79" s="656" t="str">
        <f>'Authorized Rev Req'!B159</f>
        <v>D.21-07-010, AL 2209-E, AL 4319-E, AL 4757-E</v>
      </c>
      <c r="D79" s="650">
        <f t="shared" si="20"/>
        <v>0</v>
      </c>
      <c r="E79" s="646" t="str">
        <f>'Authorized Rev Req'!U159</f>
        <v>Generation</v>
      </c>
      <c r="F79" s="656">
        <f>'Authorized Rev Req'!T159</f>
        <v>0</v>
      </c>
      <c r="G79" s="657">
        <f t="shared" si="22"/>
        <v>0</v>
      </c>
      <c r="H79" s="657">
        <f t="shared" si="22"/>
        <v>0</v>
      </c>
      <c r="I79" s="650">
        <f t="shared" si="22"/>
        <v>0</v>
      </c>
      <c r="J79" s="650">
        <f t="shared" si="22"/>
        <v>0</v>
      </c>
      <c r="K79" s="656" t="s">
        <v>94</v>
      </c>
    </row>
    <row r="80" spans="1:25" s="655" customFormat="1">
      <c r="A80" s="600" t="s">
        <v>9</v>
      </c>
      <c r="C80" s="665"/>
      <c r="D80" s="650">
        <f t="shared" si="20"/>
        <v>0</v>
      </c>
      <c r="F80" s="665"/>
      <c r="G80" s="657"/>
      <c r="H80" s="657"/>
      <c r="I80" s="650"/>
      <c r="J80" s="650"/>
      <c r="K80" s="656"/>
      <c r="L80" s="666"/>
      <c r="M80" s="650"/>
    </row>
    <row r="81" spans="1:27" s="655" customFormat="1">
      <c r="A81" s="655" t="s">
        <v>83</v>
      </c>
      <c r="C81" s="657" t="str">
        <f>'Authorized Rev Req'!B165</f>
        <v>ER26-632-000</v>
      </c>
      <c r="D81" s="650">
        <f t="shared" si="20"/>
        <v>1313239.1758825849</v>
      </c>
      <c r="E81" s="655" t="str">
        <f>'Authorized Rev Req'!U165</f>
        <v>Transmission</v>
      </c>
      <c r="F81" s="657">
        <f>'Authorized Rev Req'!T165</f>
        <v>1313239.1758825849</v>
      </c>
      <c r="G81" s="657">
        <f t="shared" ref="G81:H84" si="23">F81</f>
        <v>1313239.1758825849</v>
      </c>
      <c r="H81" s="657">
        <f t="shared" si="23"/>
        <v>1313239.1758825849</v>
      </c>
      <c r="I81" s="650">
        <f t="shared" si="2"/>
        <v>1313239.1758825849</v>
      </c>
      <c r="J81" s="650">
        <f t="shared" si="2"/>
        <v>1313239.1758825849</v>
      </c>
      <c r="K81" s="656" t="s">
        <v>94</v>
      </c>
      <c r="L81" s="658"/>
      <c r="M81" s="650"/>
      <c r="P81" s="646"/>
    </row>
    <row r="82" spans="1:27" s="655" customFormat="1">
      <c r="A82" s="646" t="s">
        <v>84</v>
      </c>
      <c r="C82" s="657" t="str">
        <f>'Authorized Rev Req'!B166</f>
        <v>ER26-553-000</v>
      </c>
      <c r="D82" s="650">
        <f t="shared" si="20"/>
        <v>-165836.09206060256</v>
      </c>
      <c r="E82" s="655" t="str">
        <f>'Authorized Rev Req'!U166</f>
        <v>Transmission</v>
      </c>
      <c r="F82" s="657">
        <f>'Authorized Rev Req'!T166</f>
        <v>-165836.09206060256</v>
      </c>
      <c r="G82" s="657">
        <f t="shared" si="23"/>
        <v>-165836.09206060256</v>
      </c>
      <c r="H82" s="657">
        <f t="shared" si="23"/>
        <v>-165836.09206060256</v>
      </c>
      <c r="I82" s="650">
        <f t="shared" ref="I82:J84" si="24">H82</f>
        <v>-165836.09206060256</v>
      </c>
      <c r="J82" s="650">
        <f t="shared" si="24"/>
        <v>-165836.09206060256</v>
      </c>
      <c r="K82" s="656" t="s">
        <v>94</v>
      </c>
      <c r="L82" s="658"/>
      <c r="M82" s="650"/>
    </row>
    <row r="83" spans="1:27" s="655" customFormat="1">
      <c r="A83" s="655" t="s">
        <v>85</v>
      </c>
      <c r="C83" s="657" t="str">
        <f>'Authorized Rev Req'!B167</f>
        <v>ER26-336-000</v>
      </c>
      <c r="D83" s="650">
        <f t="shared" si="20"/>
        <v>-50636.770671978818</v>
      </c>
      <c r="E83" s="655" t="str">
        <f>'Authorized Rev Req'!U167</f>
        <v>Transmission</v>
      </c>
      <c r="F83" s="657">
        <f>'Authorized Rev Req'!T167</f>
        <v>-50636.770671978818</v>
      </c>
      <c r="G83" s="657">
        <f t="shared" si="23"/>
        <v>-50636.770671978818</v>
      </c>
      <c r="H83" s="657">
        <f t="shared" si="23"/>
        <v>-50636.770671978818</v>
      </c>
      <c r="I83" s="650">
        <f t="shared" si="24"/>
        <v>-50636.770671978818</v>
      </c>
      <c r="J83" s="650">
        <f t="shared" si="24"/>
        <v>-50636.770671978818</v>
      </c>
      <c r="K83" s="656" t="s">
        <v>94</v>
      </c>
      <c r="L83" s="658"/>
      <c r="M83" s="650"/>
    </row>
    <row r="84" spans="1:27" s="655" customFormat="1">
      <c r="A84" s="655" t="s">
        <v>244</v>
      </c>
      <c r="C84" s="657" t="str">
        <f>'Authorized Rev Req'!B168</f>
        <v>ER26-790-000</v>
      </c>
      <c r="D84" s="650">
        <f t="shared" si="20"/>
        <v>847.9793819286399</v>
      </c>
      <c r="E84" s="655" t="str">
        <f>'Authorized Rev Req'!U168</f>
        <v>RS</v>
      </c>
      <c r="F84" s="657">
        <f>'Authorized Rev Req'!T168</f>
        <v>847.9793819286399</v>
      </c>
      <c r="G84" s="657">
        <f t="shared" si="23"/>
        <v>847.9793819286399</v>
      </c>
      <c r="H84" s="657">
        <f t="shared" si="23"/>
        <v>847.9793819286399</v>
      </c>
      <c r="I84" s="650">
        <f t="shared" si="24"/>
        <v>847.9793819286399</v>
      </c>
      <c r="J84" s="650">
        <f t="shared" si="24"/>
        <v>847.9793819286399</v>
      </c>
      <c r="K84" s="656" t="s">
        <v>94</v>
      </c>
      <c r="L84" s="658"/>
      <c r="M84" s="650"/>
    </row>
    <row r="85" spans="1:27" s="655" customFormat="1" ht="15" thickBot="1">
      <c r="A85" s="600" t="s">
        <v>105</v>
      </c>
      <c r="D85" s="678">
        <f>SUM(D10:D84)</f>
        <v>4934958.8471066868</v>
      </c>
      <c r="E85" s="678"/>
      <c r="F85" s="678">
        <f>SUM(F10:F84)</f>
        <v>4797561.3908249578</v>
      </c>
      <c r="G85" s="678">
        <f>SUM(G10:G84)</f>
        <v>4866225.46010431</v>
      </c>
      <c r="H85" s="678">
        <f>SUM(H10:H84)</f>
        <v>4840066.309244466</v>
      </c>
      <c r="I85" s="678">
        <f>SUM(I10:I84)</f>
        <v>4827346.2798264893</v>
      </c>
      <c r="J85" s="678">
        <f>SUM(J10:J84)</f>
        <v>4776975.2986075552</v>
      </c>
      <c r="L85" s="677"/>
      <c r="M85" s="650"/>
    </row>
    <row r="86" spans="1:27" s="655" customFormat="1" ht="15" thickTop="1">
      <c r="C86" s="679"/>
      <c r="D86" s="675"/>
      <c r="E86" s="675"/>
      <c r="L86" s="656"/>
    </row>
    <row r="87" spans="1:27" s="655" customFormat="1">
      <c r="A87" s="600" t="s">
        <v>245</v>
      </c>
      <c r="E87" s="675" t="s">
        <v>245</v>
      </c>
      <c r="F87" s="680">
        <f>'Sales Allocations &amp; CCC'!S3</f>
        <v>1E-3</v>
      </c>
      <c r="L87" s="656"/>
    </row>
    <row r="88" spans="1:27" s="655" customFormat="1">
      <c r="A88" s="600" t="s">
        <v>246</v>
      </c>
      <c r="E88" s="675"/>
      <c r="F88" s="681"/>
      <c r="G88" s="682"/>
    </row>
    <row r="89" spans="1:27" s="655" customFormat="1">
      <c r="E89" s="675"/>
      <c r="G89" s="683"/>
      <c r="H89" s="683"/>
      <c r="I89" s="683"/>
      <c r="J89" s="683"/>
      <c r="U89" s="650"/>
      <c r="V89" s="650"/>
      <c r="W89" s="650"/>
      <c r="X89" s="650"/>
      <c r="Y89" s="650"/>
    </row>
    <row r="90" spans="1:27" s="655" customFormat="1" ht="15.5">
      <c r="A90" s="684" t="s">
        <v>207</v>
      </c>
      <c r="B90" s="684"/>
      <c r="C90" s="684"/>
      <c r="D90" s="684"/>
      <c r="E90" s="684"/>
      <c r="F90" s="684"/>
      <c r="G90" s="684"/>
      <c r="H90" s="684"/>
      <c r="I90" s="684"/>
      <c r="J90" s="684"/>
      <c r="K90" s="684"/>
      <c r="L90" s="685"/>
    </row>
    <row r="91" spans="1:27" s="655" customFormat="1" ht="28.5" customHeight="1">
      <c r="A91" s="671" t="s">
        <v>0</v>
      </c>
      <c r="B91" s="671" t="s">
        <v>91</v>
      </c>
      <c r="C91" s="686" t="s">
        <v>152</v>
      </c>
      <c r="D91" s="686" t="s">
        <v>120</v>
      </c>
      <c r="E91" s="686" t="s">
        <v>107</v>
      </c>
      <c r="F91" s="687"/>
      <c r="G91" s="687"/>
      <c r="H91" s="687"/>
      <c r="I91" s="687"/>
      <c r="J91" s="688"/>
      <c r="K91" s="686" t="s">
        <v>92</v>
      </c>
      <c r="L91" s="689"/>
      <c r="U91" s="690"/>
      <c r="W91" s="691"/>
      <c r="X91" s="656"/>
      <c r="Y91" s="656"/>
      <c r="Z91" s="691"/>
      <c r="AA91" s="656"/>
    </row>
    <row r="92" spans="1:27" s="655" customFormat="1">
      <c r="A92" s="692" t="s">
        <v>2</v>
      </c>
      <c r="B92" s="693"/>
      <c r="C92" s="694"/>
      <c r="D92" s="694"/>
      <c r="E92" s="694"/>
      <c r="F92" s="693">
        <v>2026</v>
      </c>
      <c r="G92" s="693">
        <v>2027</v>
      </c>
      <c r="H92" s="693">
        <v>2028</v>
      </c>
      <c r="I92" s="693">
        <v>2029</v>
      </c>
      <c r="J92" s="693">
        <v>2030</v>
      </c>
      <c r="K92" s="693"/>
      <c r="L92" s="689" t="s">
        <v>153</v>
      </c>
      <c r="M92" s="646"/>
      <c r="U92" s="695"/>
      <c r="V92" s="696"/>
      <c r="X92" s="697"/>
      <c r="Y92" s="697"/>
      <c r="AA92" s="697"/>
    </row>
    <row r="93" spans="1:27" s="655" customFormat="1">
      <c r="A93" s="655" t="s">
        <v>463</v>
      </c>
      <c r="B93" s="656" t="s">
        <v>464</v>
      </c>
      <c r="C93" s="655" t="s">
        <v>226</v>
      </c>
      <c r="D93" s="650">
        <f t="shared" ref="D93:D97" si="25">SUM(F93:J93)</f>
        <v>518939.85707732826</v>
      </c>
      <c r="E93" s="655" t="s">
        <v>5</v>
      </c>
      <c r="F93" s="650"/>
      <c r="G93" s="650">
        <v>129730.06438054697</v>
      </c>
      <c r="H93" s="650">
        <v>129730.06438054703</v>
      </c>
      <c r="I93" s="650">
        <v>129730.064380547</v>
      </c>
      <c r="J93" s="650">
        <v>129749.66393568731</v>
      </c>
      <c r="K93" s="656" t="s">
        <v>460</v>
      </c>
      <c r="L93" s="660" t="str">
        <f>VLOOKUP(A93,Summary!$B$7:$E$24,3,FALSE)</f>
        <v>Y</v>
      </c>
      <c r="M93" s="646"/>
      <c r="U93" s="695"/>
      <c r="V93" s="696"/>
      <c r="X93" s="697"/>
      <c r="Y93" s="697"/>
      <c r="AA93" s="697"/>
    </row>
    <row r="94" spans="1:27" s="655" customFormat="1">
      <c r="A94" s="655" t="s">
        <v>502</v>
      </c>
      <c r="B94" s="698" t="s">
        <v>506</v>
      </c>
      <c r="C94" s="655" t="s">
        <v>226</v>
      </c>
      <c r="D94" s="650">
        <f t="shared" si="25"/>
        <v>216638.35329558188</v>
      </c>
      <c r="E94" s="655" t="s">
        <v>5</v>
      </c>
      <c r="F94" s="650"/>
      <c r="G94" s="650">
        <v>14027.554409532158</v>
      </c>
      <c r="H94" s="650">
        <v>44201.584302558163</v>
      </c>
      <c r="I94" s="650">
        <v>69868.602246044553</v>
      </c>
      <c r="J94" s="650">
        <v>88540.61233744699</v>
      </c>
      <c r="K94" s="656" t="s">
        <v>460</v>
      </c>
      <c r="L94" s="660" t="str">
        <f>VLOOKUP(A94,Summary!$B$7:$E$24,3,FALSE)</f>
        <v>Y</v>
      </c>
      <c r="M94" s="646"/>
      <c r="U94" s="695"/>
      <c r="V94" s="696"/>
      <c r="X94" s="697"/>
      <c r="Y94" s="697"/>
      <c r="AA94" s="697"/>
    </row>
    <row r="95" spans="1:27" s="655" customFormat="1">
      <c r="A95" s="655" t="s">
        <v>512</v>
      </c>
      <c r="B95" s="656" t="s">
        <v>513</v>
      </c>
      <c r="C95" s="655" t="s">
        <v>514</v>
      </c>
      <c r="D95" s="650">
        <f t="shared" si="25"/>
        <v>354598.46101245563</v>
      </c>
      <c r="E95" s="655" t="s">
        <v>5</v>
      </c>
      <c r="F95" s="650">
        <v>140559.07067220056</v>
      </c>
      <c r="G95" s="650">
        <v>214039.39034025505</v>
      </c>
      <c r="H95" s="650"/>
      <c r="I95" s="650"/>
      <c r="J95" s="650"/>
      <c r="K95" s="656" t="s">
        <v>460</v>
      </c>
      <c r="L95" s="660" t="str">
        <f>VLOOKUP(A95,Summary!$B$7:$E$24,3,FALSE)</f>
        <v>Y</v>
      </c>
    </row>
    <row r="96" spans="1:27" s="655" customFormat="1">
      <c r="A96" s="655" t="s">
        <v>512</v>
      </c>
      <c r="B96" s="656" t="str">
        <f>B95</f>
        <v>A.22-05-015</v>
      </c>
      <c r="C96" s="655" t="s">
        <v>514</v>
      </c>
      <c r="D96" s="650">
        <f t="shared" si="25"/>
        <v>-16066.556386188642</v>
      </c>
      <c r="E96" s="655" t="s">
        <v>3</v>
      </c>
      <c r="F96" s="650">
        <v>-7090.170411342302</v>
      </c>
      <c r="G96" s="650">
        <v>-8976.3859748463401</v>
      </c>
      <c r="H96" s="650"/>
      <c r="I96" s="650"/>
      <c r="J96" s="650"/>
      <c r="K96" s="656" t="s">
        <v>460</v>
      </c>
      <c r="L96" s="660" t="str">
        <f>VLOOKUP(A96,Summary!$B$7:$E$24,3,FALSE)</f>
        <v>Y</v>
      </c>
      <c r="M96" s="650"/>
    </row>
    <row r="97" spans="1:25" s="655" customFormat="1">
      <c r="A97" s="655" t="s">
        <v>512</v>
      </c>
      <c r="B97" s="656" t="str">
        <f>B96</f>
        <v>A.22-05-015</v>
      </c>
      <c r="C97" s="655" t="s">
        <v>514</v>
      </c>
      <c r="D97" s="650">
        <f t="shared" si="25"/>
        <v>-47708.107971092948</v>
      </c>
      <c r="E97" s="655" t="s">
        <v>251</v>
      </c>
      <c r="F97" s="650">
        <v>-21053.636347303236</v>
      </c>
      <c r="G97" s="650">
        <v>-26654.471623789712</v>
      </c>
      <c r="H97" s="650"/>
      <c r="I97" s="650"/>
      <c r="J97" s="650"/>
      <c r="K97" s="656" t="s">
        <v>460</v>
      </c>
      <c r="L97" s="660" t="str">
        <f>VLOOKUP(A97,Summary!$B$7:$E$24,3,FALSE)</f>
        <v>Y</v>
      </c>
      <c r="M97" s="650"/>
    </row>
    <row r="98" spans="1:25" s="655" customFormat="1">
      <c r="D98" s="650"/>
      <c r="F98" s="650"/>
      <c r="G98" s="650"/>
      <c r="H98" s="650"/>
      <c r="I98" s="650"/>
      <c r="J98" s="650"/>
      <c r="K98" s="656"/>
      <c r="L98" s="660"/>
      <c r="M98" s="650"/>
    </row>
    <row r="99" spans="1:25" s="583" customFormat="1">
      <c r="A99" s="634" t="s">
        <v>7</v>
      </c>
      <c r="D99" s="650"/>
      <c r="E99" s="632"/>
      <c r="F99" s="322"/>
      <c r="G99" s="23"/>
      <c r="H99" s="23"/>
      <c r="I99" s="648"/>
      <c r="J99" s="648"/>
      <c r="K99" s="643"/>
      <c r="L99" s="639"/>
      <c r="M99" s="649"/>
    </row>
    <row r="100" spans="1:25" s="583" customFormat="1">
      <c r="A100" s="583" t="s">
        <v>510</v>
      </c>
      <c r="B100" s="583" t="s">
        <v>528</v>
      </c>
      <c r="C100" s="583" t="s">
        <v>226</v>
      </c>
      <c r="D100" s="650">
        <f t="shared" ref="D100:D105" si="26">SUM(F100:J100)</f>
        <v>7964.1770064629382</v>
      </c>
      <c r="E100" s="632" t="s">
        <v>99</v>
      </c>
      <c r="F100" s="650"/>
      <c r="G100" s="650"/>
      <c r="H100" s="650">
        <v>2243.1892935513524</v>
      </c>
      <c r="I100" s="650">
        <v>3384.4434241125614</v>
      </c>
      <c r="J100" s="650">
        <v>2336.5442887990248</v>
      </c>
      <c r="K100" s="635"/>
      <c r="L100" s="652" t="str">
        <f>VLOOKUP(A100,Summary!$B$7:$E$24,3,FALSE)</f>
        <v>Y</v>
      </c>
      <c r="M100" s="649"/>
    </row>
    <row r="101" spans="1:25" s="583" customFormat="1">
      <c r="A101" s="583" t="s">
        <v>531</v>
      </c>
      <c r="B101" s="653" t="s">
        <v>462</v>
      </c>
      <c r="C101" s="583" t="s">
        <v>226</v>
      </c>
      <c r="D101" s="650">
        <f t="shared" si="26"/>
        <v>-125525.07822102196</v>
      </c>
      <c r="E101" s="632" t="s">
        <v>99</v>
      </c>
      <c r="F101" s="650">
        <v>-17992.954355050002</v>
      </c>
      <c r="G101" s="650">
        <v>-13326.28282569299</v>
      </c>
      <c r="H101" s="650">
        <v>-31122.04051924299</v>
      </c>
      <c r="I101" s="650">
        <v>-31547.15644259299</v>
      </c>
      <c r="J101" s="650">
        <v>-31536.644078442987</v>
      </c>
      <c r="K101" s="635" t="s">
        <v>94</v>
      </c>
      <c r="L101" s="652" t="str">
        <f>VLOOKUP(A101,Summary!$B$7:$E$24,3,FALSE)</f>
        <v>Y</v>
      </c>
      <c r="N101" s="648"/>
    </row>
    <row r="102" spans="1:25" s="583" customFormat="1" ht="14.5" customHeight="1">
      <c r="A102" s="583" t="s">
        <v>503</v>
      </c>
      <c r="B102" s="653" t="s">
        <v>507</v>
      </c>
      <c r="C102" s="583" t="s">
        <v>226</v>
      </c>
      <c r="D102" s="650">
        <f t="shared" si="26"/>
        <v>5123.4604262583834</v>
      </c>
      <c r="E102" s="632" t="s">
        <v>3</v>
      </c>
      <c r="F102" s="650"/>
      <c r="G102" s="650">
        <v>2992.3496557883668</v>
      </c>
      <c r="H102" s="650">
        <v>750.15148909867344</v>
      </c>
      <c r="I102" s="650">
        <v>712.67319860173757</v>
      </c>
      <c r="J102" s="650">
        <v>668.2860827696062</v>
      </c>
      <c r="K102" s="635"/>
      <c r="L102" s="652" t="str">
        <f>VLOOKUP(A102,Summary!$B$7:$E$24,3,FALSE)</f>
        <v>Y</v>
      </c>
      <c r="N102" s="654" t="s">
        <v>155</v>
      </c>
      <c r="O102" s="654"/>
      <c r="P102" s="654"/>
      <c r="Q102" s="654"/>
      <c r="R102" s="654"/>
      <c r="S102" s="654"/>
    </row>
    <row r="103" spans="1:25" s="583" customFormat="1">
      <c r="A103" s="583" t="s">
        <v>503</v>
      </c>
      <c r="B103" s="653" t="s">
        <v>507</v>
      </c>
      <c r="C103" s="583" t="s">
        <v>226</v>
      </c>
      <c r="D103" s="650">
        <f t="shared" si="26"/>
        <v>15297.660821736969</v>
      </c>
      <c r="E103" s="632" t="s">
        <v>251</v>
      </c>
      <c r="F103" s="650"/>
      <c r="G103" s="650">
        <v>8934.5766895522902</v>
      </c>
      <c r="H103" s="650">
        <v>2239.8071011417805</v>
      </c>
      <c r="I103" s="650">
        <v>2127.9041823132748</v>
      </c>
      <c r="J103" s="650">
        <v>1995.3728487296212</v>
      </c>
      <c r="K103" s="635"/>
      <c r="L103" s="652" t="str">
        <f>VLOOKUP(A103,Summary!$B$7:$E$24,3,FALSE)</f>
        <v>Y</v>
      </c>
      <c r="N103" s="629"/>
      <c r="O103" s="629">
        <f>O8</f>
        <v>2026</v>
      </c>
      <c r="P103" s="629">
        <f t="shared" ref="P103:S103" si="27">P8</f>
        <v>2027</v>
      </c>
      <c r="Q103" s="629">
        <f t="shared" si="27"/>
        <v>2028</v>
      </c>
      <c r="R103" s="629">
        <f t="shared" si="27"/>
        <v>2029</v>
      </c>
      <c r="S103" s="629">
        <f t="shared" si="27"/>
        <v>2030</v>
      </c>
    </row>
    <row r="104" spans="1:25" s="583" customFormat="1">
      <c r="A104" s="583" t="s">
        <v>505</v>
      </c>
      <c r="B104" s="653" t="s">
        <v>508</v>
      </c>
      <c r="C104" s="583" t="s">
        <v>226</v>
      </c>
      <c r="D104" s="650">
        <f t="shared" si="26"/>
        <v>15915.457493067119</v>
      </c>
      <c r="E104" s="632" t="s">
        <v>99</v>
      </c>
      <c r="F104" s="650"/>
      <c r="G104" s="650">
        <v>15915.457493067119</v>
      </c>
      <c r="H104" s="650"/>
      <c r="I104" s="650"/>
      <c r="J104" s="650"/>
      <c r="K104" s="635"/>
      <c r="L104" s="652" t="str">
        <f>VLOOKUP(A104,Summary!$B$7:$E$24,3,FALSE)</f>
        <v>Y</v>
      </c>
      <c r="N104" s="583" t="s">
        <v>3</v>
      </c>
      <c r="O104" s="635">
        <f>SUM(O9,SUMIFS(F$93:F$147,$E$93:$E$147,$N104,$L$93:$L$147,"y"))</f>
        <v>578420.11949145782</v>
      </c>
      <c r="P104" s="635">
        <f>SUM(P9,SUMIFS(G$93:G$147,$E$93:$E$147,$N104,$L$93:$L$147,"y"))</f>
        <v>587907.55781560228</v>
      </c>
      <c r="Q104" s="635">
        <f>SUM(Q9,SUMIFS(H$93:H$147,$E$93:$E$147,$N104,$L$93:$L$147,"y"))</f>
        <v>594594.34529497882</v>
      </c>
      <c r="R104" s="635">
        <f>SUM(R9,SUMIFS(I$93:I$147,$E$93:$E$147,$N104,$L$93:$L$147,"y"))</f>
        <v>594499.58187140187</v>
      </c>
      <c r="S104" s="635">
        <f>SUM(S9,SUMIFS(J$93:J$147,$E$93:$E$147,$N104,$L$93:$L$147,"y"))</f>
        <v>594455.1947555698</v>
      </c>
    </row>
    <row r="105" spans="1:25" s="583" customFormat="1">
      <c r="A105" s="583" t="s">
        <v>504</v>
      </c>
      <c r="B105" s="653" t="s">
        <v>533</v>
      </c>
      <c r="C105" s="583" t="s">
        <v>226</v>
      </c>
      <c r="D105" s="650">
        <f t="shared" si="26"/>
        <v>70464.649084069126</v>
      </c>
      <c r="E105" s="632" t="s">
        <v>99</v>
      </c>
      <c r="F105" s="650"/>
      <c r="G105" s="650"/>
      <c r="H105" s="650">
        <v>18333.657883952608</v>
      </c>
      <c r="I105" s="650">
        <v>24096.028923847512</v>
      </c>
      <c r="J105" s="650">
        <v>28034.962276269009</v>
      </c>
      <c r="K105" s="635"/>
      <c r="L105" s="652" t="str">
        <f>VLOOKUP(A105,Summary!$B$7:$E$24,3,FALSE)</f>
        <v>Y</v>
      </c>
      <c r="N105" s="583" t="s">
        <v>373</v>
      </c>
      <c r="O105" s="635">
        <f>SUM(O10,SUMIFS(F$93:F$147,$E$93:$E$147,$N105,$L$93:$L$147,"y"))</f>
        <v>313.03090980522069</v>
      </c>
      <c r="P105" s="635">
        <f>SUM(P10,SUMIFS(G$93:G$147,$E$93:$E$147,$N105,$L$93:$L$147,"y"))</f>
        <v>313.03090980522069</v>
      </c>
      <c r="Q105" s="635">
        <f>SUM(Q10,SUMIFS(H$93:H$147,$E$93:$E$147,$N105,$L$93:$L$147,"y"))</f>
        <v>313.03090980522069</v>
      </c>
      <c r="R105" s="635">
        <f>SUM(R10,SUMIFS(I$93:I$147,$E$93:$E$147,$N105,$L$93:$L$147,"y"))</f>
        <v>313.03090980522069</v>
      </c>
      <c r="S105" s="635">
        <f>SUM(S10,SUMIFS(J$93:J$147,$E$93:$E$147,$N105,$L$93:$L$147,"y"))</f>
        <v>313.03090980522069</v>
      </c>
    </row>
    <row r="106" spans="1:25">
      <c r="B106" s="213"/>
      <c r="D106" s="21"/>
      <c r="F106" s="21"/>
      <c r="G106" s="21"/>
      <c r="H106" s="21"/>
      <c r="I106" s="21"/>
      <c r="J106" s="21"/>
      <c r="N106" s="72" t="s">
        <v>59</v>
      </c>
      <c r="O106" s="71">
        <f>SUM(O11,SUMIFS(F$93:F$147,$E$93:$E$147,$N106,$L$93:$L$147,"y"))</f>
        <v>171405.04534484091</v>
      </c>
      <c r="P106" s="71">
        <f>SUM(P11,SUMIFS(G$93:G$147,$E$93:$E$147,$N106,$L$93:$L$147,"y"))</f>
        <v>171405.04534484091</v>
      </c>
      <c r="Q106" s="71">
        <f>SUM(Q11,SUMIFS(H$93:H$147,$E$93:$E$147,$N106,$L$93:$L$147,"y"))</f>
        <v>171405.04534484091</v>
      </c>
      <c r="R106" s="71">
        <f>SUM(R11,SUMIFS(I$93:I$147,$E$93:$E$147,$N106,$L$93:$L$147,"y"))</f>
        <v>171405.04534484091</v>
      </c>
      <c r="S106" s="71">
        <f>SUM(S11,SUMIFS(J$93:J$147,$E$93:$E$147,$N106,$L$93:$L$147,"y"))</f>
        <v>171405.04534484091</v>
      </c>
    </row>
    <row r="107" spans="1:25">
      <c r="A107" s="17" t="s">
        <v>9</v>
      </c>
      <c r="D107" s="21"/>
      <c r="F107" s="322"/>
      <c r="G107" s="23"/>
      <c r="H107" s="23"/>
      <c r="I107" s="21"/>
      <c r="J107" s="21"/>
      <c r="L107" s="320"/>
      <c r="N107" s="72" t="s">
        <v>5</v>
      </c>
      <c r="O107" s="71">
        <f>SUM(O12,SUMIFS(F$93:F$147,$E$93:$E$147,$N107,$L$93:$L$147,"y"))</f>
        <v>2477788.6464469493</v>
      </c>
      <c r="P107" s="71">
        <f>SUM(P12,SUMIFS(G$93:G$147,$E$93:$E$147,$N107,$L$93:$L$147,"y"))</f>
        <v>2756811.3135570846</v>
      </c>
      <c r="Q107" s="71">
        <f>SUM(Q12,SUMIFS(H$93:H$147,$E$93:$E$147,$N107,$L$93:$L$147,"y"))</f>
        <v>2571290.8369512912</v>
      </c>
      <c r="R107" s="71">
        <f>SUM(R12,SUMIFS(I$93:I$147,$E$93:$E$147,$N107,$L$93:$L$147,"y"))</f>
        <v>2584295.1106098806</v>
      </c>
      <c r="S107" s="71">
        <f>SUM(S12,SUMIFS(J$93:J$147,$E$93:$E$147,$N107,$L$93:$L$147,"y"))</f>
        <v>2552615.7390374891</v>
      </c>
    </row>
    <row r="108" spans="1:25">
      <c r="A108" s="17"/>
      <c r="D108" s="23"/>
      <c r="F108" s="182"/>
      <c r="G108" s="182"/>
      <c r="H108" s="182"/>
      <c r="I108" s="182"/>
      <c r="J108" s="182"/>
      <c r="L108" s="320"/>
      <c r="N108" s="72" t="s">
        <v>98</v>
      </c>
      <c r="O108" s="71">
        <f>SUM(O13,SUMIFS(F$93:F$147,$E$93:$E$147,$N108,$L$93:$L$147,"y"))</f>
        <v>-149108.549279297</v>
      </c>
      <c r="P108" s="71">
        <f>SUM(P13,SUMIFS(G$93:G$147,$E$93:$E$147,$N108,$L$93:$L$147,"y"))</f>
        <v>-149108.549279297</v>
      </c>
      <c r="Q108" s="71">
        <f>SUM(Q13,SUMIFS(H$93:H$147,$E$93:$E$147,$N108,$L$93:$L$147,"y"))</f>
        <v>-149108.549279297</v>
      </c>
      <c r="R108" s="71">
        <f>SUM(R13,SUMIFS(I$93:I$147,$E$93:$E$147,$N108,$L$93:$L$147,"y"))</f>
        <v>-149108.549279297</v>
      </c>
      <c r="S108" s="71">
        <f>SUM(S13,SUMIFS(J$93:J$147,$E$93:$E$147,$N108,$L$93:$L$147,"y"))</f>
        <v>-149108.549279297</v>
      </c>
      <c r="U108" s="26"/>
      <c r="V108" s="26"/>
      <c r="W108" s="26"/>
      <c r="X108" s="26"/>
      <c r="Y108" s="26"/>
    </row>
    <row r="109" spans="1:25">
      <c r="A109" s="17"/>
      <c r="D109" s="23"/>
      <c r="F109" s="182"/>
      <c r="G109" s="182"/>
      <c r="H109" s="182"/>
      <c r="I109" s="182"/>
      <c r="J109" s="182"/>
      <c r="L109" s="320"/>
      <c r="M109" s="30"/>
      <c r="N109" s="72"/>
      <c r="O109" s="71"/>
      <c r="P109" s="71"/>
      <c r="Q109" s="71"/>
      <c r="R109" s="71"/>
      <c r="S109" s="71"/>
      <c r="U109" s="26"/>
      <c r="V109" s="26"/>
      <c r="W109" s="26"/>
      <c r="X109" s="26"/>
      <c r="Y109" s="26"/>
    </row>
    <row r="110" spans="1:25">
      <c r="A110" s="17"/>
      <c r="D110" s="23"/>
      <c r="F110" s="182"/>
      <c r="G110" s="182"/>
      <c r="H110" s="182"/>
      <c r="I110" s="182"/>
      <c r="J110" s="182"/>
      <c r="L110" s="320"/>
      <c r="M110" s="30"/>
      <c r="N110" s="72"/>
      <c r="O110" s="71"/>
      <c r="P110" s="71"/>
      <c r="Q110" s="71"/>
      <c r="R110" s="71"/>
      <c r="S110" s="71"/>
      <c r="U110" s="26"/>
      <c r="V110" s="26"/>
      <c r="W110" s="26"/>
      <c r="X110" s="26"/>
      <c r="Y110" s="26"/>
    </row>
    <row r="111" spans="1:25">
      <c r="A111" s="17"/>
      <c r="D111" s="23"/>
      <c r="F111" s="182"/>
      <c r="G111" s="182"/>
      <c r="H111" s="182"/>
      <c r="I111" s="182"/>
      <c r="J111" s="182"/>
      <c r="L111" s="320"/>
      <c r="M111" s="30"/>
      <c r="N111" s="72"/>
      <c r="O111" s="71"/>
      <c r="P111" s="71"/>
      <c r="Q111" s="71"/>
      <c r="R111" s="71"/>
      <c r="S111" s="71"/>
      <c r="U111" s="26"/>
      <c r="V111" s="26"/>
      <c r="W111" s="26"/>
      <c r="X111" s="26"/>
      <c r="Y111" s="26"/>
    </row>
    <row r="112" spans="1:25" ht="15" thickBot="1">
      <c r="A112" s="69" t="s">
        <v>114</v>
      </c>
      <c r="B112" s="68"/>
      <c r="C112" s="68"/>
      <c r="D112" s="222">
        <f>SUM(D93:D107)</f>
        <v>1015642.3336386569</v>
      </c>
      <c r="E112" s="70" t="s">
        <v>112</v>
      </c>
      <c r="F112" s="222">
        <f>SUM(F93:F108)</f>
        <v>94422.309558505018</v>
      </c>
      <c r="G112" s="222">
        <f>SUM(G93:G108)</f>
        <v>336682.25254441303</v>
      </c>
      <c r="H112" s="222">
        <f>SUM(H93:H108)</f>
        <v>166376.4139316066</v>
      </c>
      <c r="I112" s="222">
        <f>SUM(I93:I108)</f>
        <v>198372.55991287364</v>
      </c>
      <c r="J112" s="222">
        <f>SUM(J93:J108)</f>
        <v>219788.79769125857</v>
      </c>
      <c r="K112" s="68"/>
      <c r="M112" s="30"/>
      <c r="N112" s="72" t="s">
        <v>14</v>
      </c>
      <c r="O112" s="71">
        <f>SUM(O14,SUMIFS(F$93:F$147,$E$93:$E$147,$N112,$L$93:$L$147,"y"))</f>
        <v>-1314.4084937329058</v>
      </c>
      <c r="P112" s="71">
        <f>SUM(P14,SUMIFS(G$93:G$147,$E$93:$E$147,$N112,$L$93:$L$147,"y"))</f>
        <v>-1314.4084937329058</v>
      </c>
      <c r="Q112" s="71">
        <f>SUM(Q14,SUMIFS(H$93:H$147,$E$93:$E$147,$N112,$L$93:$L$147,"y"))</f>
        <v>-1314.4084937329058</v>
      </c>
      <c r="R112" s="71">
        <f>SUM(R14,SUMIFS(I$93:I$147,$E$93:$E$147,$N112,$L$93:$L$147,"y"))</f>
        <v>-1314.4084937329058</v>
      </c>
      <c r="S112" s="71">
        <f>SUM(S14,SUMIFS(J$93:J$147,$E$93:$E$147,$N112,$L$93:$L$147,"y"))</f>
        <v>-1314.4084937329058</v>
      </c>
      <c r="U112" s="26"/>
      <c r="V112" s="26"/>
      <c r="W112" s="26"/>
      <c r="X112" s="26"/>
      <c r="Y112" s="26"/>
    </row>
    <row r="113" spans="1:25" ht="15" thickTop="1">
      <c r="D113" s="22"/>
      <c r="F113" s="484"/>
      <c r="G113" s="25"/>
      <c r="H113" s="25"/>
      <c r="I113" s="25"/>
      <c r="J113" s="25"/>
      <c r="M113" s="30"/>
      <c r="N113" s="72" t="s">
        <v>80</v>
      </c>
      <c r="O113" s="71">
        <f>SUM(O15,SUMIFS(F$93:F$147,$E$93:$E$147,$N113,$L$93:$L$147,"y"))</f>
        <v>-64.002330000000001</v>
      </c>
      <c r="P113" s="71">
        <f>SUM(P15,SUMIFS(G$93:G$147,$E$93:$E$147,$N113,$L$93:$L$147,"y"))</f>
        <v>-64.002330000000001</v>
      </c>
      <c r="Q113" s="71">
        <f>SUM(Q15,SUMIFS(H$93:H$147,$E$93:$E$147,$N113,$L$93:$L$147,"y"))</f>
        <v>-64.002330000000001</v>
      </c>
      <c r="R113" s="71">
        <f>SUM(R15,SUMIFS(I$93:I$147,$E$93:$E$147,$N113,$L$93:$L$147,"y"))</f>
        <v>-64.002330000000001</v>
      </c>
      <c r="S113" s="71">
        <f>SUM(S15,SUMIFS(J$93:J$147,$E$93:$E$147,$N113,$L$93:$L$147,"y"))</f>
        <v>-64.002330000000001</v>
      </c>
    </row>
    <row r="114" spans="1:25" ht="15.5">
      <c r="A114" s="538" t="s">
        <v>115</v>
      </c>
      <c r="B114" s="538"/>
      <c r="C114" s="538"/>
      <c r="D114" s="538"/>
      <c r="E114" s="538"/>
      <c r="F114" s="538"/>
      <c r="G114" s="538"/>
      <c r="H114" s="538"/>
      <c r="I114" s="538"/>
      <c r="J114" s="538"/>
      <c r="K114" s="538"/>
      <c r="L114" s="296"/>
      <c r="M114" s="30"/>
      <c r="N114" s="72" t="s">
        <v>99</v>
      </c>
      <c r="O114" s="71">
        <f>SUM(O16,SUMIFS(F$93:F$147,$E$93:$E$147,$N114,$L$93:$L$147,"y"))</f>
        <v>318149.23445337155</v>
      </c>
      <c r="P114" s="71">
        <f>SUM(P16,SUMIFS(G$93:G$147,$E$93:$E$147,$N114,$L$93:$L$147,"y"))</f>
        <v>337229.39987128659</v>
      </c>
      <c r="Q114" s="71">
        <f>SUM(Q16,SUMIFS(H$93:H$147,$E$93:$E$147,$N114,$L$93:$L$147,"y"))</f>
        <v>299638.39748967346</v>
      </c>
      <c r="R114" s="71">
        <f>SUM(R16,SUMIFS(I$93:I$147,$E$93:$E$147,$N114,$L$93:$L$147,"y"))</f>
        <v>306116.90673677955</v>
      </c>
      <c r="S114" s="71">
        <f>SUM(S16,SUMIFS(J$93:J$147,$E$93:$E$147,$N114,$L$93:$L$147,"y"))</f>
        <v>309018.4533180375</v>
      </c>
    </row>
    <row r="115" spans="1:25" ht="58">
      <c r="A115" s="28" t="s">
        <v>0</v>
      </c>
      <c r="B115" s="29" t="s">
        <v>116</v>
      </c>
      <c r="C115" s="29" t="s">
        <v>117</v>
      </c>
      <c r="D115" s="29" t="s">
        <v>106</v>
      </c>
      <c r="E115" s="29" t="s">
        <v>107</v>
      </c>
      <c r="F115" s="539"/>
      <c r="G115" s="539"/>
      <c r="H115" s="539"/>
      <c r="I115" s="283"/>
      <c r="J115" s="283"/>
      <c r="K115" s="29" t="s">
        <v>92</v>
      </c>
      <c r="M115" s="30"/>
      <c r="N115" s="73" t="s">
        <v>97</v>
      </c>
      <c r="O115" s="71">
        <f>SUM(O17,SUMIFS(F$93:F$147,$E$93:$E$147,$N115,$L$93:$L$147,"y"))</f>
        <v>0</v>
      </c>
      <c r="P115" s="71">
        <f>SUM(P17,SUMIFS(G$93:G$147,$E$93:$E$147,$N115,$L$93:$L$147,"y"))</f>
        <v>0</v>
      </c>
      <c r="Q115" s="71">
        <f>SUM(Q17,SUMIFS(H$93:H$147,$E$93:$E$147,$N115,$L$93:$L$147,"y"))</f>
        <v>0</v>
      </c>
      <c r="R115" s="71">
        <f>SUM(R17,SUMIFS(I$93:I$147,$E$93:$E$147,$N115,$L$93:$L$147,"y"))</f>
        <v>0</v>
      </c>
      <c r="S115" s="71">
        <f>SUM(S17,SUMIFS(J$93:J$147,$E$93:$E$147,$N115,$L$93:$L$147,"y"))</f>
        <v>0</v>
      </c>
    </row>
    <row r="116" spans="1:25">
      <c r="A116" s="17" t="s">
        <v>2</v>
      </c>
      <c r="C116" s="30"/>
      <c r="D116" s="30"/>
      <c r="E116" s="30"/>
      <c r="F116" s="23"/>
      <c r="G116" s="23"/>
      <c r="H116" s="23"/>
      <c r="I116" s="23"/>
      <c r="J116" s="23"/>
      <c r="K116"/>
      <c r="L116" s="296"/>
      <c r="M116" s="30"/>
      <c r="N116" s="72" t="s">
        <v>251</v>
      </c>
      <c r="O116" s="71">
        <f>SUM(O18,SUMIFS(F$93:F$147,$E$93:$E$147,$N116,$L$93:$L$147,"y"))</f>
        <v>310238.73371371243</v>
      </c>
      <c r="P116" s="71">
        <f>SUM(P18,SUMIFS(G$93:G$147,$E$93:$E$147,$N116,$L$93:$L$147,"y"))</f>
        <v>313572.47512677824</v>
      </c>
      <c r="Q116" s="71">
        <f>SUM(Q18,SUMIFS(H$93:H$147,$E$93:$E$147,$N116,$L$93:$L$147,"y"))</f>
        <v>333532.17716215743</v>
      </c>
      <c r="R116" s="71">
        <f>SUM(R18,SUMIFS(I$93:I$147,$E$93:$E$147,$N116,$L$93:$L$147,"y"))</f>
        <v>333420.27424332895</v>
      </c>
      <c r="S116" s="71">
        <f>SUM(S18,SUMIFS(J$93:J$147,$E$93:$E$147,$N116,$L$93:$L$147,"y"))</f>
        <v>333287.74290974526</v>
      </c>
    </row>
    <row r="117" spans="1:25">
      <c r="A117" t="s">
        <v>493</v>
      </c>
      <c r="B117" s="213">
        <v>46143</v>
      </c>
      <c r="D117" s="21"/>
      <c r="F117" s="23"/>
      <c r="G117" s="23"/>
      <c r="H117" s="23"/>
      <c r="I117" s="23"/>
      <c r="J117" s="23"/>
      <c r="L117" s="398"/>
      <c r="M117" s="30"/>
      <c r="N117" s="72" t="s">
        <v>10</v>
      </c>
      <c r="O117" s="71">
        <f>SUM(O19,SUMIFS(F$93:F$147,$E$93:$E$147,$N117,$L$93:$L$147,"y"))</f>
        <v>1096766.3131500036</v>
      </c>
      <c r="P117" s="71">
        <f>SUM(P19,SUMIFS(G$93:G$147,$E$93:$E$147,$N117,$L$93:$L$147,"y"))</f>
        <v>1096766.3131500036</v>
      </c>
      <c r="Q117" s="71">
        <f>SUM(Q19,SUMIFS(H$93:H$147,$E$93:$E$147,$N117,$L$93:$L$147,"y"))</f>
        <v>1096766.3131500036</v>
      </c>
      <c r="R117" s="71">
        <f>SUM(R19,SUMIFS(I$93:I$147,$E$93:$E$147,$N117,$L$93:$L$147,"y"))</f>
        <v>1096766.3131500036</v>
      </c>
      <c r="S117" s="71">
        <f>SUM(S19,SUMIFS(J$93:J$147,$E$93:$E$147,$N117,$L$93:$L$147,"y"))</f>
        <v>1096766.3131500036</v>
      </c>
    </row>
    <row r="118" spans="1:25">
      <c r="A118" t="s">
        <v>515</v>
      </c>
      <c r="B118" s="213">
        <v>46082</v>
      </c>
      <c r="D118" s="21"/>
      <c r="F118" s="23"/>
      <c r="G118" s="23"/>
      <c r="H118" s="23"/>
      <c r="I118" s="23"/>
      <c r="J118" s="23"/>
      <c r="L118" s="398"/>
      <c r="M118" s="30"/>
      <c r="N118" s="72" t="s">
        <v>87</v>
      </c>
      <c r="O118" s="71">
        <f>SUM(O20,SUMIFS(F$93:F$147,$E$93:$E$147,$N118,$L$93:$L$147,"y"))</f>
        <v>847.9793819286399</v>
      </c>
      <c r="P118" s="71">
        <f>SUM(P20,SUMIFS(G$93:G$147,$E$93:$E$147,$N118,$L$93:$L$147,"y"))</f>
        <v>847.9793819286399</v>
      </c>
      <c r="Q118" s="71">
        <f>SUM(Q20,SUMIFS(H$93:H$147,$E$93:$E$147,$N118,$L$93:$L$147,"y"))</f>
        <v>847.9793819286399</v>
      </c>
      <c r="R118" s="71">
        <f>SUM(R20,SUMIFS(I$93:I$147,$E$93:$E$147,$N118,$L$93:$L$147,"y"))</f>
        <v>847.9793819286399</v>
      </c>
      <c r="S118" s="71">
        <f>SUM(S20,SUMIFS(J$93:J$147,$E$93:$E$147,$N118,$L$93:$L$147,"y"))</f>
        <v>847.9793819286399</v>
      </c>
    </row>
    <row r="119" spans="1:25">
      <c r="D119" s="21"/>
      <c r="F119" s="23"/>
      <c r="G119" s="23"/>
      <c r="H119" s="23"/>
      <c r="I119" s="23"/>
      <c r="J119" s="23"/>
      <c r="L119" s="398"/>
      <c r="M119" s="30"/>
      <c r="N119" s="72" t="s">
        <v>78</v>
      </c>
      <c r="O119" s="71">
        <f>SUM(O21,SUMIFS(F$93:F$147,$E$93:$E$147,$N119,$L$93:$L$147,"y"))</f>
        <v>0</v>
      </c>
      <c r="P119" s="71">
        <f>SUM(P21,SUMIFS(G$93:G$147,$E$93:$E$147,$N119,$L$93:$L$147,"y"))</f>
        <v>0</v>
      </c>
      <c r="Q119" s="71">
        <f>SUM(Q21,SUMIFS(H$93:H$147,$E$93:$E$147,$N119,$L$93:$L$147,"y"))</f>
        <v>0</v>
      </c>
      <c r="R119" s="71">
        <f>SUM(R21,SUMIFS(I$93:I$147,$E$93:$E$147,$N119,$L$93:$L$147,"y"))</f>
        <v>0</v>
      </c>
      <c r="S119" s="71">
        <f>SUM(S21,SUMIFS(J$93:J$147,$E$93:$E$147,$N119,$L$93:$L$147,"y"))</f>
        <v>0</v>
      </c>
    </row>
    <row r="120" spans="1:25">
      <c r="A120" s="17" t="s">
        <v>7</v>
      </c>
      <c r="L120" s="500"/>
      <c r="M120" s="30"/>
      <c r="N120" s="72" t="s">
        <v>221</v>
      </c>
      <c r="O120" s="71">
        <f>SUM(O22,SUMIFS(F$93:F$147,$E$93:$E$147,$N120,$L$93:$L$147,"y"))</f>
        <v>88541.557594423386</v>
      </c>
      <c r="P120" s="71">
        <f>SUM(P22,SUMIFS(G$93:G$147,$E$93:$E$147,$N120,$L$93:$L$147,"y"))</f>
        <v>88541.557594423386</v>
      </c>
      <c r="Q120" s="71">
        <f>SUM(Q22,SUMIFS(H$93:H$147,$E$93:$E$147,$N120,$L$93:$L$147,"y"))</f>
        <v>88541.557594423386</v>
      </c>
      <c r="R120" s="71">
        <f>SUM(R22,SUMIFS(I$93:I$147,$E$93:$E$147,$N120,$L$93:$L$147,"y"))</f>
        <v>88541.557594423386</v>
      </c>
      <c r="S120" s="71">
        <f>SUM(S22,SUMIFS(J$93:J$147,$E$93:$E$147,$N120,$L$93:$L$147,"y"))</f>
        <v>88541.557594423386</v>
      </c>
    </row>
    <row r="121" spans="1:25">
      <c r="A121" t="s">
        <v>516</v>
      </c>
      <c r="B121" s="213">
        <v>46143</v>
      </c>
      <c r="D121" s="21"/>
      <c r="F121" s="183"/>
      <c r="G121" s="23"/>
      <c r="H121" s="23"/>
      <c r="I121" s="23"/>
      <c r="J121" s="23"/>
      <c r="M121" s="30"/>
      <c r="N121" s="72" t="s">
        <v>112</v>
      </c>
      <c r="O121" s="71">
        <f>SUM(O104:O120)</f>
        <v>4891983.7003834629</v>
      </c>
      <c r="P121" s="71">
        <f t="shared" ref="P121:S121" si="28">SUM(P104:P120)</f>
        <v>5202907.7126487223</v>
      </c>
      <c r="Q121" s="71">
        <f t="shared" si="28"/>
        <v>5006442.7231760724</v>
      </c>
      <c r="R121" s="71">
        <f t="shared" si="28"/>
        <v>5025718.8397393618</v>
      </c>
      <c r="S121" s="71">
        <f t="shared" si="28"/>
        <v>4996764.0962988129</v>
      </c>
    </row>
    <row r="122" spans="1:25">
      <c r="B122" s="473"/>
      <c r="K122"/>
      <c r="M122" s="30"/>
      <c r="N122" s="72"/>
      <c r="O122" s="71"/>
      <c r="P122" s="71"/>
      <c r="Q122" s="71"/>
      <c r="R122" s="71"/>
      <c r="S122" s="71"/>
    </row>
    <row r="123" spans="1:25">
      <c r="A123" s="17" t="s">
        <v>9</v>
      </c>
      <c r="M123" s="30"/>
      <c r="N123" s="74" t="s">
        <v>156</v>
      </c>
      <c r="O123" s="11">
        <f>O121-O23</f>
        <v>94422.309558505192</v>
      </c>
      <c r="P123" s="11">
        <f>P121-P23</f>
        <v>336682.25254441239</v>
      </c>
      <c r="Q123" s="11">
        <f>Q121-Q23</f>
        <v>166376.41393160727</v>
      </c>
      <c r="R123" s="11">
        <f>R121-R23</f>
        <v>198372.55991287343</v>
      </c>
      <c r="S123" s="11">
        <f>S121-S23</f>
        <v>219788.7976912586</v>
      </c>
    </row>
    <row r="124" spans="1:25">
      <c r="B124" s="213"/>
      <c r="K124"/>
      <c r="L124" s="296"/>
      <c r="M124" s="30"/>
      <c r="N124" s="11" t="s">
        <v>245</v>
      </c>
      <c r="O124" s="423">
        <f>'Sales Allocations &amp; CCC'!S3</f>
        <v>1E-3</v>
      </c>
      <c r="P124" s="11"/>
      <c r="Q124" s="11"/>
      <c r="R124" s="11"/>
      <c r="S124" s="11"/>
      <c r="U124" s="26"/>
      <c r="V124" s="26"/>
      <c r="W124" s="26"/>
      <c r="X124" s="26"/>
      <c r="Y124" s="26"/>
    </row>
    <row r="125" spans="1:25">
      <c r="D125" s="21"/>
      <c r="F125" s="21"/>
      <c r="G125" s="21"/>
      <c r="H125" s="21"/>
      <c r="I125" s="21"/>
      <c r="J125" s="21"/>
      <c r="K125"/>
      <c r="L125" s="296"/>
      <c r="M125" s="30"/>
      <c r="N125" s="11"/>
      <c r="O125" s="223"/>
      <c r="P125" s="11"/>
      <c r="Q125" s="11"/>
      <c r="R125" s="11"/>
      <c r="S125" s="11"/>
    </row>
    <row r="126" spans="1:25" ht="15.5">
      <c r="B126" s="213"/>
      <c r="D126" s="21"/>
      <c r="F126" s="21"/>
      <c r="G126" s="21"/>
      <c r="H126" s="21"/>
      <c r="I126" s="21"/>
      <c r="J126" s="21"/>
      <c r="K126"/>
      <c r="L126" s="296"/>
      <c r="M126" s="30"/>
      <c r="N126" s="285"/>
      <c r="O126" s="286"/>
      <c r="P126" s="286"/>
      <c r="Q126" s="286"/>
      <c r="R126" s="286"/>
      <c r="S126" s="286"/>
    </row>
    <row r="127" spans="1:25" ht="15.5">
      <c r="B127" s="213"/>
      <c r="D127" s="21"/>
      <c r="F127" s="21"/>
      <c r="G127" s="21"/>
      <c r="H127" s="21"/>
      <c r="I127" s="21"/>
      <c r="J127" s="21"/>
      <c r="K127"/>
      <c r="L127" s="296"/>
      <c r="M127" s="30"/>
      <c r="O127" s="31"/>
      <c r="P127" s="31"/>
      <c r="Q127" s="31"/>
      <c r="R127" s="32"/>
    </row>
    <row r="128" spans="1:25" ht="15.5">
      <c r="L128" s="296"/>
      <c r="M128" s="30"/>
      <c r="O128" s="31"/>
      <c r="P128" s="31"/>
      <c r="Q128" s="31"/>
      <c r="R128" s="32"/>
    </row>
    <row r="129" spans="1:25" ht="15.5">
      <c r="A129" t="s">
        <v>13</v>
      </c>
      <c r="M129" s="30"/>
      <c r="O129" s="31"/>
      <c r="P129" s="31"/>
      <c r="Q129" s="31"/>
      <c r="R129" s="32"/>
    </row>
    <row r="130" spans="1:25" ht="15.5">
      <c r="A130" t="s">
        <v>517</v>
      </c>
      <c r="L130" s="296"/>
      <c r="M130" s="30"/>
      <c r="O130" s="31"/>
      <c r="P130" s="31"/>
      <c r="Q130" s="31"/>
      <c r="R130" s="32"/>
    </row>
    <row r="131" spans="1:25" s="583" customFormat="1">
      <c r="A131" s="583" t="s">
        <v>518</v>
      </c>
      <c r="K131" s="635"/>
      <c r="L131" s="627"/>
      <c r="M131" s="632"/>
      <c r="O131" s="632"/>
      <c r="P131" s="632"/>
      <c r="Q131" s="632"/>
      <c r="R131" s="632"/>
      <c r="S131" s="632"/>
    </row>
    <row r="132" spans="1:25">
      <c r="O132" s="30"/>
      <c r="P132" s="30"/>
      <c r="Q132" s="30"/>
      <c r="R132" s="30"/>
      <c r="S132" s="30"/>
    </row>
    <row r="133" spans="1:25">
      <c r="K133"/>
      <c r="M133" s="30"/>
      <c r="O133" s="30"/>
      <c r="P133" s="30"/>
      <c r="Q133" s="30"/>
      <c r="R133" s="30"/>
      <c r="S133" s="30"/>
    </row>
    <row r="134" spans="1:25" ht="15.5">
      <c r="K134"/>
      <c r="M134" s="30"/>
      <c r="N134" s="31"/>
      <c r="O134" s="30"/>
      <c r="P134" s="30"/>
      <c r="Q134" s="30"/>
      <c r="R134" s="30"/>
      <c r="S134" s="30"/>
      <c r="T134" s="30"/>
    </row>
    <row r="135" spans="1:25" ht="15.5">
      <c r="A135" s="583"/>
      <c r="B135" s="583"/>
      <c r="K135"/>
      <c r="M135" s="30"/>
      <c r="N135" s="31"/>
      <c r="O135" s="30"/>
      <c r="P135" s="30"/>
      <c r="Q135" s="30"/>
      <c r="R135" s="30"/>
      <c r="S135" s="30"/>
      <c r="T135" s="30"/>
    </row>
    <row r="136" spans="1:25" ht="15.5">
      <c r="A136" s="583"/>
      <c r="B136" s="23"/>
      <c r="K136"/>
      <c r="M136" s="30"/>
      <c r="N136" s="31"/>
      <c r="O136" s="30"/>
      <c r="P136" s="30"/>
      <c r="Q136" s="30"/>
      <c r="R136" s="30"/>
      <c r="S136" s="30"/>
      <c r="T136" s="30"/>
    </row>
    <row r="137" spans="1:25">
      <c r="A137" s="583"/>
      <c r="B137" s="23"/>
      <c r="K137"/>
      <c r="M137" s="30"/>
      <c r="N137" s="30"/>
      <c r="O137" s="30"/>
      <c r="P137" s="30"/>
      <c r="Q137" s="30"/>
      <c r="R137" s="30"/>
      <c r="S137" s="30"/>
      <c r="T137" s="30"/>
    </row>
    <row r="138" spans="1:25">
      <c r="A138" s="583"/>
      <c r="B138" s="23"/>
      <c r="K138"/>
      <c r="L138" s="296"/>
      <c r="M138" s="30"/>
      <c r="N138" s="30"/>
      <c r="T138" s="30"/>
      <c r="U138" s="463"/>
      <c r="V138" s="463"/>
      <c r="W138" s="463"/>
      <c r="X138" s="463"/>
      <c r="Y138" s="463"/>
    </row>
    <row r="139" spans="1:25">
      <c r="K139"/>
      <c r="L139" s="296"/>
      <c r="M139" s="30"/>
      <c r="N139" s="30"/>
      <c r="T139" s="30"/>
      <c r="U139" s="26"/>
      <c r="V139" s="26"/>
      <c r="W139" s="26"/>
      <c r="X139" s="26"/>
      <c r="Y139" s="26"/>
    </row>
    <row r="140" spans="1:25">
      <c r="K140"/>
      <c r="L140" s="296"/>
      <c r="M140" s="30"/>
      <c r="N140" s="30"/>
      <c r="T140" s="30"/>
      <c r="U140" s="26"/>
      <c r="V140" s="26"/>
      <c r="W140" s="26"/>
      <c r="X140" s="26"/>
      <c r="Y140" s="26"/>
    </row>
    <row r="141" spans="1:25" ht="15.5">
      <c r="K141"/>
      <c r="L141" s="296"/>
      <c r="M141" s="31"/>
      <c r="N141" s="30"/>
      <c r="T141" s="30"/>
      <c r="U141" s="26"/>
      <c r="V141" s="26"/>
      <c r="W141" s="26"/>
      <c r="X141" s="26"/>
      <c r="Y141" s="26"/>
    </row>
    <row r="142" spans="1:25" ht="15.5">
      <c r="K142"/>
      <c r="L142" s="296"/>
      <c r="M142" s="31"/>
      <c r="N142" s="30"/>
      <c r="T142" s="30"/>
      <c r="U142" s="26"/>
      <c r="V142" s="26"/>
      <c r="W142" s="26"/>
      <c r="X142" s="26"/>
      <c r="Y142" s="26"/>
    </row>
    <row r="143" spans="1:25" ht="15.5">
      <c r="K143"/>
      <c r="L143" s="296"/>
      <c r="M143" s="31"/>
      <c r="N143" s="30"/>
    </row>
    <row r="144" spans="1:25" ht="15.5">
      <c r="K144"/>
      <c r="L144" s="296"/>
      <c r="M144" s="31"/>
      <c r="N144" s="30"/>
    </row>
    <row r="145" spans="11:18">
      <c r="L145" s="296"/>
      <c r="M145" s="12"/>
      <c r="N145" s="30"/>
    </row>
    <row r="146" spans="11:18">
      <c r="L146" s="296"/>
      <c r="M146" s="12"/>
      <c r="N146" s="30"/>
    </row>
    <row r="147" spans="11:18">
      <c r="L147" s="296"/>
      <c r="M147" s="12"/>
    </row>
    <row r="148" spans="11:18">
      <c r="K148"/>
      <c r="L148" s="296"/>
      <c r="M148" s="12"/>
    </row>
    <row r="149" spans="11:18">
      <c r="K149"/>
      <c r="L149" s="296"/>
      <c r="M149" s="12"/>
    </row>
    <row r="150" spans="11:18">
      <c r="K150"/>
      <c r="M150" s="12"/>
    </row>
    <row r="151" spans="11:18" ht="15" customHeight="1">
      <c r="K151"/>
      <c r="M151" s="30"/>
    </row>
    <row r="152" spans="11:18" ht="15" customHeight="1">
      <c r="K152"/>
    </row>
    <row r="153" spans="11:18" ht="15" customHeight="1">
      <c r="K153"/>
      <c r="L153" s="296"/>
    </row>
    <row r="154" spans="11:18" ht="15" customHeight="1">
      <c r="K154"/>
      <c r="L154" s="296"/>
      <c r="O154" s="27"/>
      <c r="P154" s="27"/>
      <c r="Q154" s="27"/>
      <c r="R154" s="33"/>
    </row>
    <row r="155" spans="11:18" ht="15" customHeight="1">
      <c r="K155"/>
      <c r="L155" s="296"/>
      <c r="O155" s="27"/>
      <c r="P155" s="27"/>
      <c r="Q155" s="27"/>
      <c r="R155" s="33"/>
    </row>
    <row r="156" spans="11:18" ht="15" customHeight="1">
      <c r="K156"/>
      <c r="L156" s="296"/>
      <c r="O156" s="27"/>
      <c r="P156" s="27"/>
      <c r="Q156" s="27"/>
      <c r="R156" s="33"/>
    </row>
    <row r="157" spans="11:18">
      <c r="K157"/>
      <c r="L157" s="296"/>
      <c r="O157" s="27"/>
      <c r="P157" s="27"/>
      <c r="Q157" s="27"/>
      <c r="R157" s="33"/>
    </row>
    <row r="158" spans="11:18">
      <c r="K158"/>
      <c r="L158" s="296"/>
      <c r="O158" s="27"/>
      <c r="P158" s="27"/>
      <c r="Q158" s="27"/>
      <c r="R158" s="33"/>
    </row>
    <row r="159" spans="11:18" ht="15" customHeight="1">
      <c r="K159"/>
      <c r="L159" s="296"/>
      <c r="O159" s="27"/>
      <c r="P159" s="27"/>
      <c r="Q159" s="27"/>
      <c r="R159" s="33"/>
    </row>
    <row r="160" spans="11:18" ht="15" customHeight="1">
      <c r="K160"/>
      <c r="L160" s="296"/>
      <c r="O160" s="27"/>
      <c r="P160" s="27"/>
      <c r="Q160" s="27"/>
      <c r="R160" s="33"/>
    </row>
    <row r="161" spans="11:18">
      <c r="K161"/>
      <c r="L161" s="296"/>
      <c r="O161" s="34"/>
      <c r="P161" s="34"/>
      <c r="Q161" s="34"/>
      <c r="R161" s="25"/>
    </row>
    <row r="162" spans="11:18">
      <c r="K162"/>
      <c r="L162" s="296"/>
      <c r="O162" s="34"/>
      <c r="P162" s="34"/>
      <c r="Q162" s="34"/>
      <c r="R162" s="25"/>
    </row>
    <row r="163" spans="11:18">
      <c r="K163"/>
      <c r="L163" s="296"/>
      <c r="N163" s="27"/>
      <c r="O163" s="34"/>
      <c r="P163" s="34"/>
      <c r="Q163" s="34"/>
      <c r="R163" s="25"/>
    </row>
    <row r="164" spans="11:18">
      <c r="K164"/>
      <c r="L164" s="296"/>
      <c r="N164" s="27"/>
      <c r="O164" s="34"/>
      <c r="P164" s="34"/>
      <c r="Q164" s="34"/>
      <c r="R164" s="25"/>
    </row>
    <row r="165" spans="11:18">
      <c r="K165"/>
      <c r="L165" s="296"/>
      <c r="N165" s="27"/>
      <c r="O165" s="20"/>
      <c r="P165" s="20"/>
      <c r="Q165" s="20"/>
      <c r="R165" s="20"/>
    </row>
    <row r="166" spans="11:18">
      <c r="K166"/>
      <c r="L166" s="296"/>
      <c r="N166" s="27"/>
    </row>
    <row r="167" spans="11:18">
      <c r="L167" s="296"/>
      <c r="N167" s="27"/>
    </row>
    <row r="168" spans="11:18">
      <c r="L168" s="296"/>
      <c r="M168" s="27"/>
      <c r="N168" s="27"/>
    </row>
    <row r="169" spans="11:18">
      <c r="L169" s="296"/>
      <c r="M169" s="27"/>
      <c r="N169" s="27"/>
    </row>
    <row r="170" spans="11:18">
      <c r="L170" s="296"/>
      <c r="M170" s="27"/>
      <c r="N170" s="34"/>
    </row>
    <row r="171" spans="11:18">
      <c r="L171" s="296"/>
      <c r="M171" s="27"/>
      <c r="N171" s="34"/>
    </row>
    <row r="172" spans="11:18">
      <c r="M172" s="27"/>
      <c r="N172" s="34"/>
    </row>
    <row r="173" spans="11:18">
      <c r="M173" s="27"/>
      <c r="N173" s="34"/>
    </row>
    <row r="174" spans="11:18">
      <c r="M174" s="27"/>
      <c r="N174" s="35"/>
    </row>
    <row r="175" spans="11:18">
      <c r="M175" s="34"/>
    </row>
    <row r="176" spans="11:18">
      <c r="M176" s="34"/>
    </row>
    <row r="177" spans="13:13">
      <c r="M177" s="34"/>
    </row>
    <row r="178" spans="13:13">
      <c r="M178" s="34"/>
    </row>
  </sheetData>
  <autoFilter ref="A8:K107" xr:uid="{A3486F18-8C03-46B1-A3A4-34B73037874F}">
    <filterColumn colId="5" showButton="0"/>
    <filterColumn colId="6" showButton="0"/>
    <filterColumn colId="7" showButton="0"/>
  </autoFilter>
  <mergeCells count="7">
    <mergeCell ref="A114:K114"/>
    <mergeCell ref="F115:H115"/>
    <mergeCell ref="N7:S7"/>
    <mergeCell ref="F8:I8"/>
    <mergeCell ref="A90:K90"/>
    <mergeCell ref="F91:I91"/>
    <mergeCell ref="A7:L7"/>
  </mergeCells>
  <phoneticPr fontId="40" type="noConversion"/>
  <conditionalFormatting sqref="A34">
    <cfRule type="duplicateValues" dxfId="10" priority="14"/>
  </conditionalFormatting>
  <conditionalFormatting sqref="M86:M87 P80:P86 M91:M94">
    <cfRule type="duplicateValues" dxfId="9" priority="86"/>
  </conditionalFormatting>
  <conditionalFormatting sqref="M145:M150">
    <cfRule type="duplicateValues" dxfId="8" priority="79"/>
  </conditionalFormatting>
  <conditionalFormatting sqref="W92:AA95">
    <cfRule type="cellIs" dxfId="7" priority="3" operator="equal">
      <formula>"NO CHANGE"</formula>
    </cfRule>
    <cfRule type="cellIs" dxfId="6" priority="4" operator="equal">
      <formula>"DECREASE"</formula>
    </cfRule>
    <cfRule type="cellIs" dxfId="5" priority="5" operator="greaterThan">
      <formula>0</formula>
    </cfRule>
    <cfRule type="cellIs" dxfId="4" priority="7" operator="lessThan">
      <formula>0</formula>
    </cfRule>
  </conditionalFormatting>
  <dataValidations disablePrompts="1" count="6">
    <dataValidation type="list" allowBlank="1" showInputMessage="1" showErrorMessage="1" sqref="K92 K116 M152" xr:uid="{F607B283-23EA-41F1-982F-630BAE586EF6}">
      <formula1>"2019,2020,2021,2022,2023,2024,2025"</formula1>
    </dataValidation>
    <dataValidation type="list" allowBlank="1" showInputMessage="1" showErrorMessage="1" sqref="F92 L9 F9" xr:uid="{15C4B3F3-BFFB-4E7F-89A3-71DB0F39ACBD}">
      <formula1>"2022,2023,2024,2025,2026"</formula1>
    </dataValidation>
    <dataValidation type="list" allowBlank="1" showInputMessage="1" showErrorMessage="1" sqref="G9 G92" xr:uid="{F2215657-CD46-4314-873E-0D6ACCFA763E}">
      <formula1>"2022,2023,2024,2025,2026,2027"</formula1>
    </dataValidation>
    <dataValidation type="list" allowBlank="1" showInputMessage="1" showErrorMessage="1" sqref="H9 H92" xr:uid="{B18AC4CE-2262-4725-B729-7180F7C36B1B}">
      <formula1>"2022,2023,2024,2025,2026,2027,2028"</formula1>
    </dataValidation>
    <dataValidation type="list" allowBlank="1" showInputMessage="1" showErrorMessage="1" sqref="A2" xr:uid="{F5EFA4B8-D22D-41F3-9776-CF6036BE8096}">
      <formula1>"Annual Period 2020,Annual Period 2021,Annual Period 2022,Annual Period 2023,Annual Period 2024, Annual Period 2025, Annual Period 2026"</formula1>
    </dataValidation>
    <dataValidation type="list" allowBlank="1" showInputMessage="1" showErrorMessage="1" sqref="A3" xr:uid="{0EACAB9A-A13C-4F9A-A7D7-005AF426D34C}">
      <formula1>"Reporting Date: Quarter Ended March 31,Reporting Date: Quarter Ended June 30,Reporting Date: Quarter Ended September 30,Reporting Date: Quarter Ended December 31"</formula1>
    </dataValidation>
  </dataValidations>
  <pageMargins left="0.7" right="0.7" top="0.75" bottom="0.75" header="0.3" footer="0.3"/>
  <pageSetup paperSize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24B9-277D-4BA8-96CB-4C4B5722B56A}">
  <sheetPr codeName="Sheet3"/>
  <dimension ref="A1:AF84"/>
  <sheetViews>
    <sheetView zoomScale="70" zoomScaleNormal="70" workbookViewId="0"/>
  </sheetViews>
  <sheetFormatPr defaultColWidth="8.81640625" defaultRowHeight="14.5"/>
  <cols>
    <col min="1" max="1" width="3.54296875" style="6" customWidth="1"/>
    <col min="2" max="2" width="23.81640625" style="6" customWidth="1"/>
    <col min="3" max="3" width="19.453125" style="6" customWidth="1"/>
    <col min="4" max="4" width="17.54296875" style="6" customWidth="1"/>
    <col min="5" max="6" width="16.26953125" style="6" customWidth="1"/>
    <col min="7" max="7" width="20.81640625" style="6" customWidth="1"/>
    <col min="8" max="8" width="16.54296875" style="6" customWidth="1"/>
    <col min="9" max="9" width="14.1796875" style="6" customWidth="1"/>
    <col min="10" max="10" width="13.54296875" style="6" customWidth="1"/>
    <col min="11" max="11" width="15.1796875" style="6" customWidth="1"/>
    <col min="12" max="12" width="14.81640625" style="6" customWidth="1"/>
    <col min="13" max="15" width="15.453125" style="6" customWidth="1"/>
    <col min="16" max="16" width="13" style="6" customWidth="1"/>
    <col min="17" max="17" width="15.54296875" style="6" customWidth="1"/>
    <col min="18" max="18" width="17.54296875" style="6" customWidth="1"/>
    <col min="19" max="19" width="14.1796875" style="6" customWidth="1"/>
    <col min="20" max="21" width="14" style="6" customWidth="1"/>
    <col min="22" max="22" width="15" style="6" customWidth="1"/>
    <col min="23" max="23" width="14.1796875" style="6" customWidth="1"/>
    <col min="24" max="24" width="14.81640625" style="6" bestFit="1" customWidth="1"/>
    <col min="25" max="26" width="14.81640625" style="6" customWidth="1"/>
    <col min="27" max="27" width="13.54296875" style="6" customWidth="1"/>
    <col min="28" max="28" width="16.81640625" style="6" customWidth="1"/>
    <col min="29" max="32" width="15.81640625" style="6" customWidth="1"/>
    <col min="33" max="16384" width="8.81640625" style="6"/>
  </cols>
  <sheetData>
    <row r="1" spans="1:32" s="169" customFormat="1" ht="25.5" customHeight="1">
      <c r="A1" s="395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</row>
    <row r="2" spans="1:32" ht="15.5">
      <c r="B2" s="75"/>
      <c r="C2" s="557" t="s">
        <v>157</v>
      </c>
      <c r="D2" s="557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32">
      <c r="B3" s="76"/>
      <c r="C3" s="77" t="s">
        <v>154</v>
      </c>
      <c r="D3" s="77" t="s">
        <v>158</v>
      </c>
      <c r="S3" s="78"/>
      <c r="T3" s="78"/>
      <c r="U3" s="78"/>
      <c r="V3" s="78"/>
      <c r="W3" s="78"/>
      <c r="X3" s="78"/>
      <c r="Y3" s="78"/>
      <c r="Z3" s="78"/>
      <c r="AA3" s="78"/>
    </row>
    <row r="4" spans="1:32" ht="15.5">
      <c r="B4" s="231" t="s">
        <v>3</v>
      </c>
      <c r="C4" s="152">
        <f>INDEX('Incremental Rev Req'!$N$8:$S$23,MATCH(B4,'Incremental Rev Req'!$N$8:$N$23,0),MATCH(Summary!$D$2,'Incremental Rev Req'!$N$8:$S$8,0))</f>
        <v>593786.90867280017</v>
      </c>
      <c r="D4" s="152">
        <f>INDEX('Incremental Rev Req'!$N$103:$S$121,MATCH(B4,'Incremental Rev Req'!$N$103:$N$121,0),MATCH(Summary!$D$2,'Incremental Rev Req'!$N$103:$S$103,0))</f>
        <v>594455.1947555698</v>
      </c>
      <c r="H4" s="563" t="s">
        <v>159</v>
      </c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38"/>
      <c r="W4" s="38"/>
      <c r="X4" s="38"/>
      <c r="Y4" s="38"/>
      <c r="Z4" s="38"/>
      <c r="AA4" s="38"/>
      <c r="AB4" s="38"/>
      <c r="AC4" s="38"/>
      <c r="AD4" s="38"/>
    </row>
    <row r="5" spans="1:32" ht="16.899999999999999" customHeight="1">
      <c r="B5" s="381" t="s">
        <v>373</v>
      </c>
      <c r="C5" s="152">
        <f>INDEX('Incremental Rev Req'!$N$8:$S$23,MATCH(B5,'Incremental Rev Req'!$N$8:$N$23,0),MATCH(Summary!$D$2,'Incremental Rev Req'!$N$8:$S$8,0))</f>
        <v>313.03090980522069</v>
      </c>
      <c r="D5" s="152">
        <f>INDEX('Incremental Rev Req'!$N$103:$S$121,MATCH(B5,'Incremental Rev Req'!$N$103:$N$121,0),MATCH(Summary!$D$2,'Incremental Rev Req'!$N$103:$S$103,0))</f>
        <v>313.03090980522069</v>
      </c>
      <c r="G5" s="1"/>
      <c r="H5" s="81" t="s">
        <v>3</v>
      </c>
      <c r="I5" s="81" t="s">
        <v>373</v>
      </c>
      <c r="J5" s="81" t="s">
        <v>59</v>
      </c>
      <c r="K5" s="81" t="s">
        <v>5</v>
      </c>
      <c r="L5" s="81" t="s">
        <v>98</v>
      </c>
      <c r="M5" s="81" t="s">
        <v>14</v>
      </c>
      <c r="N5" s="81" t="s">
        <v>80</v>
      </c>
      <c r="O5" s="81" t="s">
        <v>99</v>
      </c>
      <c r="P5" s="81" t="s">
        <v>97</v>
      </c>
      <c r="Q5" s="81" t="s">
        <v>78</v>
      </c>
      <c r="R5" s="81" t="s">
        <v>10</v>
      </c>
      <c r="S5" s="81" t="s">
        <v>221</v>
      </c>
      <c r="T5" s="81" t="s">
        <v>87</v>
      </c>
      <c r="U5" s="81" t="s">
        <v>251</v>
      </c>
      <c r="V5" s="6" t="s">
        <v>245</v>
      </c>
      <c r="AC5" s="249"/>
      <c r="AD5" s="44"/>
    </row>
    <row r="6" spans="1:32" ht="15.5">
      <c r="B6" s="382" t="s">
        <v>59</v>
      </c>
      <c r="C6" s="152">
        <f>INDEX('Incremental Rev Req'!$N$8:$S$23,MATCH(B6,'Incremental Rev Req'!$N$8:$N$23,0),MATCH(Summary!$D$2,'Incremental Rev Req'!$N$8:$S$8,0))</f>
        <v>171405.04534484091</v>
      </c>
      <c r="D6" s="152">
        <f>INDEX('Incremental Rev Req'!$N$103:$S$121,MATCH(B6,'Incremental Rev Req'!$N$103:$N$121,0),MATCH(Summary!$D$2,'Incremental Rev Req'!$N$103:$S$103,0))</f>
        <v>171405.04534484091</v>
      </c>
      <c r="G6" s="1" t="s">
        <v>145</v>
      </c>
      <c r="H6" s="82">
        <f>IF(Summary!$D$2=2026,'Sales Allocations &amp; CCC'!D3,'Sales Allocations &amp; CCC'!D4)</f>
        <v>0.40473764964178593</v>
      </c>
      <c r="I6" s="82">
        <f>IF(Summary!$D$2=2026,'Sales Allocations &amp; CCC'!E3,'Sales Allocations &amp; CCC'!E4)</f>
        <v>0.19327545344183236</v>
      </c>
      <c r="J6" s="82">
        <f>IF(Summary!$D$2=2026,'Sales Allocations &amp; CCC'!F3,'Sales Allocations &amp; CCC'!F4)</f>
        <v>0.39851332033456138</v>
      </c>
      <c r="K6" s="82">
        <f>IF(Summary!$D$2=2026,'Sales Allocations &amp; CCC'!G3,'Sales Allocations &amp; CCC'!G4)</f>
        <v>0.43051155139593206</v>
      </c>
      <c r="L6" s="82">
        <f>IF(Summary!$D$2=2026,'Sales Allocations &amp; CCC'!H3,'Sales Allocations &amp; CCC'!H4)</f>
        <v>0.93344443986239845</v>
      </c>
      <c r="M6" s="82">
        <f>IF(Summary!$D$2=2026,'Sales Allocations &amp; CCC'!I3,'Sales Allocations &amp; CCC'!I4)</f>
        <v>0.40427529966097542</v>
      </c>
      <c r="N6" s="82">
        <f>IF(Summary!$D$2=2026,'Sales Allocations &amp; CCC'!J3,'Sales Allocations &amp; CCC'!J4)</f>
        <v>0.37542576794475174</v>
      </c>
      <c r="O6" s="82">
        <f>IF(Summary!$D$2=2026,'Sales Allocations &amp; CCC'!K3,'Sales Allocations &amp; CCC'!K4)</f>
        <v>0.35317862577261211</v>
      </c>
      <c r="P6" s="82">
        <f>IF(Summary!$D$2=2026,'Sales Allocations &amp; CCC'!L3,'Sales Allocations &amp; CCC'!L4)</f>
        <v>0</v>
      </c>
      <c r="Q6" s="82">
        <f>IF(Summary!$D$2=2026,'Sales Allocations &amp; CCC'!M3,'Sales Allocations &amp; CCC'!M4)</f>
        <v>0</v>
      </c>
      <c r="R6" s="82">
        <f>IF(Summary!$D$2=2026,'Sales Allocations &amp; CCC'!N3,'Sales Allocations &amp; CCC'!N4)</f>
        <v>0.45385202964924726</v>
      </c>
      <c r="S6" s="82">
        <f>IF(Summary!$D$2=2026,'Sales Allocations &amp; CCC'!O3,'Sales Allocations &amp; CCC'!O4)</f>
        <v>0.36967490452336516</v>
      </c>
      <c r="T6" s="82">
        <f>IF(Summary!$D$2=2026,'Sales Allocations &amp; CCC'!P3,'Sales Allocations &amp; CCC'!P4)</f>
        <v>0.31719926753039335</v>
      </c>
      <c r="U6" s="82">
        <f>IF(Summary!$D$2=2026,'Sales Allocations &amp; CCC'!Q3,'Sales Allocations &amp; CCC'!Q4)</f>
        <v>0.40678987326763938</v>
      </c>
      <c r="V6" s="225">
        <f>'Sales Allocations &amp; CCC'!S3</f>
        <v>1E-3</v>
      </c>
      <c r="AD6" s="250"/>
    </row>
    <row r="7" spans="1:32" ht="15.5">
      <c r="B7" s="232" t="s">
        <v>5</v>
      </c>
      <c r="C7" s="152">
        <f>INDEX('Incremental Rev Req'!$N$8:$S$23,MATCH(B7,'Incremental Rev Req'!$N$8:$N$23,0),MATCH(Summary!$D$2,'Incremental Rev Req'!$N$8:$S$8,0))</f>
        <v>2334325.4627643549</v>
      </c>
      <c r="D7" s="152">
        <f>INDEX('Incremental Rev Req'!$N$103:$S$121,MATCH(B7,'Incremental Rev Req'!$N$103:$N$121,0),MATCH(Summary!$D$2,'Incremental Rev Req'!$N$103:$S$103,0))</f>
        <v>2552615.7390374891</v>
      </c>
      <c r="G7" s="1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AD7" s="221"/>
    </row>
    <row r="8" spans="1:32" ht="15.65" customHeight="1">
      <c r="B8" s="232" t="s">
        <v>98</v>
      </c>
      <c r="C8" s="152">
        <f>INDEX('Incremental Rev Req'!$N$8:$S$23,MATCH(B8,'Incremental Rev Req'!$N$8:$N$23,0),MATCH(Summary!$D$2,'Incremental Rev Req'!$N$8:$S$8,0))</f>
        <v>-149108.549279297</v>
      </c>
      <c r="D8" s="152">
        <f>INDEX('Incremental Rev Req'!$N$103:$S$121,MATCH(B8,'Incremental Rev Req'!$N$103:$N$121,0),MATCH(Summary!$D$2,'Incremental Rev Req'!$N$103:$S$103,0))</f>
        <v>-149108.549279297</v>
      </c>
      <c r="G8" s="84"/>
      <c r="H8" s="563" t="s">
        <v>160</v>
      </c>
      <c r="I8" s="563"/>
      <c r="J8" s="563"/>
      <c r="K8" s="563"/>
      <c r="L8" s="563"/>
      <c r="M8" s="563"/>
      <c r="N8" s="563"/>
      <c r="O8" s="563"/>
      <c r="P8" s="563"/>
      <c r="Q8" s="563"/>
      <c r="R8" s="563"/>
      <c r="S8" s="563"/>
      <c r="T8" s="563"/>
      <c r="U8" s="563"/>
      <c r="AD8" s="221"/>
    </row>
    <row r="9" spans="1:32" ht="15.75" customHeight="1">
      <c r="B9" s="232" t="s">
        <v>14</v>
      </c>
      <c r="C9" s="152">
        <f>INDEX('Incremental Rev Req'!$N$8:$S$23,MATCH(B9,'Incremental Rev Req'!$N$8:$N$23,0),MATCH(Summary!$D$2,'Incremental Rev Req'!$N$8:$S$8,0))</f>
        <v>-1314.4084937329058</v>
      </c>
      <c r="D9" s="152">
        <f>INDEX('Incremental Rev Req'!$N$103:$S$121,MATCH(B9,'Incremental Rev Req'!$N$103:$N$121,0),MATCH(Summary!$D$2,'Incremental Rev Req'!$N$103:$S$103,0))</f>
        <v>-1314.4084937329058</v>
      </c>
      <c r="G9" s="85" t="s">
        <v>154</v>
      </c>
      <c r="H9" s="81" t="s">
        <v>3</v>
      </c>
      <c r="I9" s="81" t="s">
        <v>373</v>
      </c>
      <c r="J9" s="81" t="s">
        <v>59</v>
      </c>
      <c r="K9" s="81" t="s">
        <v>5</v>
      </c>
      <c r="L9" s="81" t="s">
        <v>98</v>
      </c>
      <c r="M9" s="81" t="s">
        <v>14</v>
      </c>
      <c r="N9" s="81" t="s">
        <v>80</v>
      </c>
      <c r="O9" s="81" t="s">
        <v>99</v>
      </c>
      <c r="P9" s="81" t="s">
        <v>97</v>
      </c>
      <c r="Q9" s="81" t="s">
        <v>78</v>
      </c>
      <c r="R9" s="81" t="s">
        <v>10</v>
      </c>
      <c r="S9" s="81" t="s">
        <v>221</v>
      </c>
      <c r="T9" s="81" t="s">
        <v>87</v>
      </c>
      <c r="U9" s="81" t="s">
        <v>251</v>
      </c>
      <c r="V9" s="44" t="s">
        <v>112</v>
      </c>
      <c r="X9" s="704" t="s">
        <v>455</v>
      </c>
      <c r="AD9" s="221"/>
    </row>
    <row r="10" spans="1:32" ht="15.5">
      <c r="B10" s="232" t="s">
        <v>80</v>
      </c>
      <c r="C10" s="152">
        <f>INDEX('Incremental Rev Req'!$N$8:$S$23,MATCH(B10,'Incremental Rev Req'!$N$8:$N$23,0),MATCH(Summary!$D$2,'Incremental Rev Req'!$N$8:$S$8,0))</f>
        <v>-64.002330000000001</v>
      </c>
      <c r="D10" s="152">
        <f>INDEX('Incremental Rev Req'!$N$103:$S$121,MATCH(B10,'Incremental Rev Req'!$N$103:$N$121,0),MATCH(Summary!$D$2,'Incremental Rev Req'!$N$103:$S$103,0))</f>
        <v>-64.002330000000001</v>
      </c>
      <c r="G10" s="1" t="s">
        <v>145</v>
      </c>
      <c r="H10" s="86">
        <f>H6*H11</f>
        <v>240327.91780429095</v>
      </c>
      <c r="I10" s="86">
        <f>I6*I11</f>
        <v>60.501191033913358</v>
      </c>
      <c r="J10" s="86">
        <f>J6*J11</f>
        <v>68307.193742468604</v>
      </c>
      <c r="K10" s="86">
        <f>K6*K11</f>
        <v>1004954.0764377095</v>
      </c>
      <c r="L10" s="86">
        <f t="shared" ref="L10:T10" si="0">L6*L11</f>
        <v>-139184.54626070822</v>
      </c>
      <c r="M10" s="86">
        <f t="shared" si="0"/>
        <v>-531.38288768080179</v>
      </c>
      <c r="N10" s="86">
        <f t="shared" si="0"/>
        <v>-24.028123890503423</v>
      </c>
      <c r="O10" s="86">
        <f t="shared" si="0"/>
        <v>109550.21434705246</v>
      </c>
      <c r="P10" s="86">
        <f t="shared" si="0"/>
        <v>0</v>
      </c>
      <c r="Q10" s="86">
        <f t="shared" si="0"/>
        <v>0</v>
      </c>
      <c r="R10" s="86">
        <f t="shared" si="0"/>
        <v>497769.61727405101</v>
      </c>
      <c r="S10" s="86">
        <f>S6*S11</f>
        <v>32731.591850068504</v>
      </c>
      <c r="T10" s="86">
        <f t="shared" si="0"/>
        <v>268.97843882864026</v>
      </c>
      <c r="U10" s="86">
        <f>U6*U11</f>
        <v>134766.38123165644</v>
      </c>
      <c r="V10" s="86">
        <f>SUM(H10:U10)</f>
        <v>1948996.5150448803</v>
      </c>
      <c r="W10" s="175"/>
      <c r="X10" s="179">
        <f>V10-AD18</f>
        <v>1702072.4088605666</v>
      </c>
      <c r="AB10" s="96"/>
      <c r="AD10" s="221"/>
    </row>
    <row r="11" spans="1:32" ht="15.5">
      <c r="B11" s="233" t="s">
        <v>99</v>
      </c>
      <c r="C11" s="152">
        <f>INDEX('Incremental Rev Req'!$N$8:$S$23,MATCH(B11,'Incremental Rev Req'!$N$8:$N$23,0),MATCH(Summary!$D$2,'Incremental Rev Req'!$N$8:$S$8,0))</f>
        <v>310183.59083141247</v>
      </c>
      <c r="D11" s="152">
        <f>INDEX('Incremental Rev Req'!$N$103:$S$121,MATCH(B11,'Incremental Rev Req'!$N$103:$N$121,0),MATCH(Summary!$D$2,'Incremental Rev Req'!$N$103:$S$103,0))</f>
        <v>309018.4533180375</v>
      </c>
      <c r="G11" s="1" t="s">
        <v>161</v>
      </c>
      <c r="H11" s="87">
        <f>C4</f>
        <v>593786.90867280017</v>
      </c>
      <c r="I11" s="87">
        <f>C5</f>
        <v>313.03090980522069</v>
      </c>
      <c r="J11" s="87">
        <f>C6</f>
        <v>171405.04534484091</v>
      </c>
      <c r="K11" s="87">
        <f>C7</f>
        <v>2334325.4627643549</v>
      </c>
      <c r="L11" s="87">
        <f>C8</f>
        <v>-149108.549279297</v>
      </c>
      <c r="M11" s="87">
        <f>C9</f>
        <v>-1314.4084937329058</v>
      </c>
      <c r="N11" s="87">
        <f>C10</f>
        <v>-64.002330000000001</v>
      </c>
      <c r="O11" s="87">
        <f>C11</f>
        <v>310183.59083141247</v>
      </c>
      <c r="P11" s="87">
        <f>C12</f>
        <v>0</v>
      </c>
      <c r="Q11" s="87">
        <f>C16</f>
        <v>0</v>
      </c>
      <c r="R11" s="87">
        <f>C14</f>
        <v>1096766.3131500036</v>
      </c>
      <c r="S11" s="87">
        <f>C17</f>
        <v>88541.557594423386</v>
      </c>
      <c r="T11" s="87">
        <f>C15</f>
        <v>847.9793819286399</v>
      </c>
      <c r="U11" s="87">
        <f>C13</f>
        <v>331292.37006101565</v>
      </c>
      <c r="V11" s="86">
        <f>SUM(H11:U11)</f>
        <v>4776975.2986075543</v>
      </c>
      <c r="W11" s="174"/>
      <c r="X11" s="179">
        <f>V11-AD18</f>
        <v>4530051.1924232403</v>
      </c>
      <c r="AB11" s="96"/>
      <c r="AC11" s="96"/>
    </row>
    <row r="12" spans="1:32" ht="15.5">
      <c r="B12" s="232" t="s">
        <v>97</v>
      </c>
      <c r="C12" s="152">
        <f>INDEX('Incremental Rev Req'!$N$8:$S$23,MATCH(B12,'Incremental Rev Req'!$N$8:$N$23,0),MATCH(Summary!$D$2,'Incremental Rev Req'!$N$8:$S$8,0))</f>
        <v>0</v>
      </c>
      <c r="D12" s="152">
        <f>INDEX('Incremental Rev Req'!$N$103:$S$121,MATCH(B12,'Incremental Rev Req'!$N$103:$N$121,0),MATCH(Summary!$D$2,'Incremental Rev Req'!$N$103:$S$103,0))</f>
        <v>0</v>
      </c>
      <c r="G12" s="85" t="s">
        <v>162</v>
      </c>
      <c r="V12" s="86"/>
      <c r="X12" s="179"/>
      <c r="AC12" s="179"/>
      <c r="AD12" s="165"/>
    </row>
    <row r="13" spans="1:32" ht="15.75" customHeight="1">
      <c r="B13" s="232" t="s">
        <v>251</v>
      </c>
      <c r="C13" s="152">
        <f>INDEX('Incremental Rev Req'!$N$8:$S$23,MATCH(B13,'Incremental Rev Req'!$N$8:$N$23,0),MATCH(Summary!$D$2,'Incremental Rev Req'!$N$8:$S$8,0))</f>
        <v>331292.37006101565</v>
      </c>
      <c r="D13" s="152">
        <f>INDEX('Incremental Rev Req'!$N$103:$S$121,MATCH(B13,'Incremental Rev Req'!$N$103:$N$121,0),MATCH(Summary!$D$2,'Incremental Rev Req'!$N$103:$S$103,0))</f>
        <v>333287.74290974526</v>
      </c>
      <c r="G13" s="1" t="s">
        <v>145</v>
      </c>
      <c r="H13" s="86">
        <f>H6*H14</f>
        <v>240598.39834271945</v>
      </c>
      <c r="I13" s="86">
        <f>I6*I14</f>
        <v>60.501191033913358</v>
      </c>
      <c r="J13" s="86">
        <f t="shared" ref="J13:T13" si="1">J6*J14</f>
        <v>68307.193742468604</v>
      </c>
      <c r="K13" s="86">
        <f t="shared" si="1"/>
        <v>1098930.561930703</v>
      </c>
      <c r="L13" s="86">
        <f t="shared" si="1"/>
        <v>-139184.54626070822</v>
      </c>
      <c r="M13" s="86">
        <f t="shared" si="1"/>
        <v>-531.38288768080179</v>
      </c>
      <c r="N13" s="86">
        <f t="shared" si="1"/>
        <v>-24.028123890503423</v>
      </c>
      <c r="O13" s="86">
        <f t="shared" si="1"/>
        <v>109138.71268124257</v>
      </c>
      <c r="P13" s="86">
        <f t="shared" si="1"/>
        <v>0</v>
      </c>
      <c r="Q13" s="86">
        <f t="shared" si="1"/>
        <v>0</v>
      </c>
      <c r="R13" s="86">
        <f t="shared" si="1"/>
        <v>497769.61727405101</v>
      </c>
      <c r="S13" s="86">
        <f>S6*S14</f>
        <v>32731.591850068504</v>
      </c>
      <c r="T13" s="86">
        <f t="shared" si="1"/>
        <v>268.97843882864026</v>
      </c>
      <c r="U13" s="86">
        <f>U6*U14</f>
        <v>135578.07869991285</v>
      </c>
      <c r="V13" s="86">
        <f>SUM(H13:U13)</f>
        <v>2043643.6768787489</v>
      </c>
      <c r="W13" s="175"/>
      <c r="X13" s="179">
        <f>V13-AE18</f>
        <v>1796719.5706944352</v>
      </c>
      <c r="AC13" s="96"/>
      <c r="AD13" s="96"/>
    </row>
    <row r="14" spans="1:32" ht="15.75" customHeight="1">
      <c r="B14" s="232" t="s">
        <v>10</v>
      </c>
      <c r="C14" s="152">
        <f>INDEX('Incremental Rev Req'!$N$8:$S$23,MATCH(B14,'Incremental Rev Req'!$N$8:$N$23,0),MATCH(Summary!$D$2,'Incremental Rev Req'!$N$8:$S$8,0))</f>
        <v>1096766.3131500036</v>
      </c>
      <c r="D14" s="152">
        <f>INDEX('Incremental Rev Req'!$N$103:$S$121,MATCH(B14,'Incremental Rev Req'!$N$103:$N$121,0),MATCH(Summary!$D$2,'Incremental Rev Req'!$N$103:$S$103,0))</f>
        <v>1096766.3131500036</v>
      </c>
      <c r="G14" s="1" t="s">
        <v>161</v>
      </c>
      <c r="H14" s="87">
        <f>D4</f>
        <v>594455.1947555698</v>
      </c>
      <c r="I14" s="87">
        <f>D5</f>
        <v>313.03090980522069</v>
      </c>
      <c r="J14" s="87">
        <f>D6</f>
        <v>171405.04534484091</v>
      </c>
      <c r="K14" s="87">
        <f>D7</f>
        <v>2552615.7390374891</v>
      </c>
      <c r="L14" s="87">
        <f>D8</f>
        <v>-149108.549279297</v>
      </c>
      <c r="M14" s="87">
        <f>D9</f>
        <v>-1314.4084937329058</v>
      </c>
      <c r="N14" s="87">
        <f>D10</f>
        <v>-64.002330000000001</v>
      </c>
      <c r="O14" s="87">
        <f>D11</f>
        <v>309018.4533180375</v>
      </c>
      <c r="P14" s="87">
        <f>D12</f>
        <v>0</v>
      </c>
      <c r="Q14" s="87">
        <f>D16</f>
        <v>0</v>
      </c>
      <c r="R14" s="87">
        <f>D14</f>
        <v>1096766.3131500036</v>
      </c>
      <c r="S14" s="87">
        <f>D17</f>
        <v>88541.557594423386</v>
      </c>
      <c r="T14" s="87">
        <f>D15</f>
        <v>847.9793819286399</v>
      </c>
      <c r="U14" s="87">
        <f>D13</f>
        <v>333287.74290974526</v>
      </c>
      <c r="V14" s="86">
        <f>SUM(H14:U14)</f>
        <v>4996764.0962988129</v>
      </c>
      <c r="W14" s="174"/>
      <c r="X14" s="179">
        <f>V14-AE18</f>
        <v>4749839.9901144989</v>
      </c>
      <c r="AC14" s="96"/>
    </row>
    <row r="15" spans="1:32" ht="15.5">
      <c r="B15" s="232" t="s">
        <v>87</v>
      </c>
      <c r="C15" s="152">
        <f>INDEX('Incremental Rev Req'!$N$8:$S$23,MATCH(B15,'Incremental Rev Req'!$N$8:$N$23,0),MATCH(Summary!$D$2,'Incremental Rev Req'!$N$8:$S$8,0))</f>
        <v>847.9793819286399</v>
      </c>
      <c r="D15" s="152">
        <f>INDEX('Incremental Rev Req'!$N$103:$S$121,MATCH(B15,'Incremental Rev Req'!$N$103:$N$121,0),MATCH(Summary!$D$2,'Incremental Rev Req'!$N$103:$S$103,0))</f>
        <v>847.9793819286399</v>
      </c>
      <c r="G15" s="88"/>
      <c r="H15" s="36"/>
      <c r="I15" s="36"/>
      <c r="J15" s="36"/>
      <c r="K15" s="36"/>
      <c r="L15" s="84"/>
      <c r="AC15" s="1"/>
      <c r="AD15" s="89" t="s">
        <v>154</v>
      </c>
      <c r="AE15" s="89" t="s">
        <v>162</v>
      </c>
    </row>
    <row r="16" spans="1:32" ht="15.5">
      <c r="B16" s="232" t="s">
        <v>78</v>
      </c>
      <c r="C16" s="152">
        <f>INDEX('Incremental Rev Req'!$N$8:$S$23,MATCH(B16,'Incremental Rev Req'!$N$8:$N$23,0),MATCH(Summary!$D$2,'Incremental Rev Req'!$N$8:$S$8,0))</f>
        <v>0</v>
      </c>
      <c r="D16" s="152">
        <f>INDEX('Incremental Rev Req'!$N$103:$S$121,MATCH(B16,'Incremental Rev Req'!$N$103:$N$121,0),MATCH(Summary!$D$2,'Incremental Rev Req'!$N$103:$S$103,0))</f>
        <v>0</v>
      </c>
      <c r="V16" s="547" t="s">
        <v>257</v>
      </c>
      <c r="W16" s="548"/>
      <c r="X16" s="547" t="s">
        <v>253</v>
      </c>
      <c r="Y16" s="548"/>
      <c r="Z16" s="558" t="s">
        <v>254</v>
      </c>
      <c r="AA16" s="558" t="s">
        <v>255</v>
      </c>
      <c r="AC16" s="90" t="s">
        <v>163</v>
      </c>
      <c r="AD16" s="164">
        <v>0.19523472913777831</v>
      </c>
      <c r="AE16" s="82">
        <f>AD16</f>
        <v>0.19523472913777831</v>
      </c>
      <c r="AF16" s="165"/>
    </row>
    <row r="17" spans="2:32" ht="15.5">
      <c r="B17" s="1" t="s">
        <v>221</v>
      </c>
      <c r="C17" s="152">
        <f>INDEX('Incremental Rev Req'!$N$8:$S$23,MATCH(B17,'Incremental Rev Req'!$N$8:$N$23,0),MATCH(Summary!$D$2,'Incremental Rev Req'!$N$8:$S$8,0))</f>
        <v>88541.557594423386</v>
      </c>
      <c r="D17" s="152">
        <f>INDEX('Incremental Rev Req'!$N$103:$S$121,MATCH(B17,'Incremental Rev Req'!$N$103:$N$121,0),MATCH(Summary!$D$2,'Incremental Rev Req'!$N$103:$S$103,0))</f>
        <v>88541.557594423386</v>
      </c>
      <c r="G17" s="84"/>
      <c r="H17" s="554" t="s">
        <v>249</v>
      </c>
      <c r="I17" s="554"/>
      <c r="J17" s="554"/>
      <c r="K17" s="554"/>
      <c r="L17" s="554"/>
      <c r="M17" s="554"/>
      <c r="N17" s="554"/>
      <c r="O17" s="554"/>
      <c r="P17" s="554"/>
      <c r="Q17" s="554"/>
      <c r="R17" s="554"/>
      <c r="S17" s="554"/>
      <c r="T17" s="554"/>
      <c r="U17" s="550"/>
      <c r="V17" s="549" t="s">
        <v>165</v>
      </c>
      <c r="W17" s="550"/>
      <c r="X17" s="549" t="s">
        <v>165</v>
      </c>
      <c r="Y17" s="550"/>
      <c r="Z17" s="559"/>
      <c r="AA17" s="559"/>
      <c r="AC17" s="90" t="s">
        <v>452</v>
      </c>
      <c r="AD17" s="82">
        <v>0.35</v>
      </c>
      <c r="AE17" s="82">
        <f>AD17</f>
        <v>0.35</v>
      </c>
    </row>
    <row r="18" spans="2:32" ht="31">
      <c r="B18" s="2" t="s">
        <v>256</v>
      </c>
      <c r="C18" s="79">
        <f>SUM(C4:C17)</f>
        <v>4776975.2986075543</v>
      </c>
      <c r="D18" s="79">
        <f>SUM(D4:D17)</f>
        <v>4996764.0962988129</v>
      </c>
      <c r="F18" s="270"/>
      <c r="H18" s="81" t="s">
        <v>3</v>
      </c>
      <c r="I18" s="81" t="s">
        <v>373</v>
      </c>
      <c r="J18" s="81" t="s">
        <v>59</v>
      </c>
      <c r="K18" s="81" t="s">
        <v>5</v>
      </c>
      <c r="L18" s="81" t="s">
        <v>98</v>
      </c>
      <c r="M18" s="81" t="s">
        <v>14</v>
      </c>
      <c r="N18" s="81" t="s">
        <v>80</v>
      </c>
      <c r="O18" s="81" t="s">
        <v>99</v>
      </c>
      <c r="P18" s="81" t="s">
        <v>97</v>
      </c>
      <c r="Q18" s="81" t="s">
        <v>78</v>
      </c>
      <c r="R18" s="81" t="s">
        <v>10</v>
      </c>
      <c r="S18" s="81" t="s">
        <v>221</v>
      </c>
      <c r="T18" s="81" t="s">
        <v>87</v>
      </c>
      <c r="U18" s="81" t="s">
        <v>251</v>
      </c>
      <c r="V18" s="91" t="s">
        <v>112</v>
      </c>
      <c r="W18" s="703" t="s">
        <v>455</v>
      </c>
      <c r="X18" s="92" t="s">
        <v>112</v>
      </c>
      <c r="Y18" s="703" t="s">
        <v>455</v>
      </c>
      <c r="Z18" s="91" t="s">
        <v>3</v>
      </c>
      <c r="AA18" s="229" t="s">
        <v>3</v>
      </c>
      <c r="AC18" s="205" t="s">
        <v>456</v>
      </c>
      <c r="AD18" s="87">
        <f>IF(Summary!$D$2=2026,C31,C32)</f>
        <v>246924.10618431377</v>
      </c>
      <c r="AE18" s="87">
        <f>AD18</f>
        <v>246924.10618431377</v>
      </c>
      <c r="AF18" s="96"/>
    </row>
    <row r="19" spans="2:32" ht="15.5">
      <c r="C19" s="179"/>
      <c r="D19" s="179"/>
      <c r="E19" s="270"/>
      <c r="G19" s="1" t="s">
        <v>145</v>
      </c>
      <c r="H19" s="82">
        <v>1</v>
      </c>
      <c r="I19" s="82">
        <v>0</v>
      </c>
      <c r="J19" s="82">
        <v>1</v>
      </c>
      <c r="K19" s="82">
        <v>1</v>
      </c>
      <c r="L19" s="82">
        <v>1</v>
      </c>
      <c r="M19" s="82">
        <v>1</v>
      </c>
      <c r="N19" s="82">
        <v>1</v>
      </c>
      <c r="O19" s="82">
        <v>1</v>
      </c>
      <c r="P19" s="82">
        <v>1</v>
      </c>
      <c r="Q19" s="82">
        <v>1</v>
      </c>
      <c r="R19" s="82">
        <v>1</v>
      </c>
      <c r="S19" s="82">
        <v>1</v>
      </c>
      <c r="T19" s="82">
        <v>1</v>
      </c>
      <c r="U19" s="82">
        <v>0</v>
      </c>
      <c r="V19" s="93">
        <f>SUMPRODUCT(J10:T10,J19:T19)</f>
        <v>1573841.714817899</v>
      </c>
      <c r="W19" s="97">
        <f>V19-((AD18)*IF(Summary!$D$2=2026,D31,D32))</f>
        <v>1365476.7295309487</v>
      </c>
      <c r="X19" s="93">
        <f>SUMPRODUCT(J13:T13,J19:T19)</f>
        <v>1667406.6986450825</v>
      </c>
      <c r="Y19" s="94">
        <f>X19-((AE18)*IF(Summary!$D$2=2026,D31,D32))</f>
        <v>1459041.7133581322</v>
      </c>
      <c r="Z19" s="93">
        <f>SUMPRODUCT(H10,H19)</f>
        <v>240327.91780429095</v>
      </c>
      <c r="AA19" s="230">
        <f>SUMPRODUCT(H13,H19)</f>
        <v>240598.39834271945</v>
      </c>
      <c r="AC19" s="205"/>
      <c r="AD19" s="86"/>
      <c r="AE19" s="86"/>
    </row>
    <row r="20" spans="2:32" ht="15.5">
      <c r="B20" s="2" t="s">
        <v>245</v>
      </c>
      <c r="C20" s="224">
        <f>'Sales Allocations &amp; CCC'!S3</f>
        <v>1E-3</v>
      </c>
      <c r="D20" s="224">
        <f>'Sales Allocations &amp; CCC'!S3</f>
        <v>1E-3</v>
      </c>
      <c r="G20" s="1" t="s">
        <v>161</v>
      </c>
      <c r="H20" s="82">
        <v>1</v>
      </c>
      <c r="I20" s="82">
        <v>0</v>
      </c>
      <c r="J20" s="82">
        <v>1</v>
      </c>
      <c r="K20" s="82">
        <v>1</v>
      </c>
      <c r="L20" s="82">
        <v>1</v>
      </c>
      <c r="M20" s="82">
        <v>1</v>
      </c>
      <c r="N20" s="82">
        <v>1</v>
      </c>
      <c r="O20" s="82">
        <v>1</v>
      </c>
      <c r="P20" s="82">
        <v>1</v>
      </c>
      <c r="Q20" s="82">
        <v>1</v>
      </c>
      <c r="R20" s="82">
        <v>1</v>
      </c>
      <c r="S20" s="82">
        <v>1</v>
      </c>
      <c r="T20" s="82">
        <v>1</v>
      </c>
      <c r="U20" s="82">
        <v>0</v>
      </c>
      <c r="V20" s="93">
        <f>SUMPRODUCT(J11:T11,J20:T20)</f>
        <v>3851582.9889639332</v>
      </c>
      <c r="W20" s="97">
        <f>V20-AD18</f>
        <v>3604658.8827796197</v>
      </c>
      <c r="X20" s="93">
        <f>SUMPRODUCT(J14:T14,J20:T20)</f>
        <v>4068708.1277236925</v>
      </c>
      <c r="Y20" s="94">
        <f>X20-AE18</f>
        <v>3821784.0215393789</v>
      </c>
      <c r="Z20" s="93">
        <f>SUMPRODUCT(H11,H20)</f>
        <v>593786.90867280017</v>
      </c>
      <c r="AA20" s="230">
        <f>SUMPRODUCT(H14,H20)</f>
        <v>594455.1947555698</v>
      </c>
      <c r="AB20" s="226"/>
      <c r="AC20" s="227" t="s">
        <v>213</v>
      </c>
      <c r="AD20" s="218">
        <v>0.32778680848344788</v>
      </c>
      <c r="AE20" s="218">
        <f>AD20</f>
        <v>0.32778680848344788</v>
      </c>
      <c r="AF20" s="1"/>
    </row>
    <row r="21" spans="2:32" ht="15.5">
      <c r="B21" s="2"/>
      <c r="C21" s="224"/>
      <c r="D21" s="224"/>
      <c r="G21" s="1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97"/>
      <c r="V21" s="97"/>
      <c r="W21" s="97"/>
      <c r="X21" s="97"/>
      <c r="Y21" s="97"/>
      <c r="Z21" s="97"/>
      <c r="AB21" s="205"/>
      <c r="AC21" s="299"/>
      <c r="AD21" s="299"/>
      <c r="AE21" s="1"/>
    </row>
    <row r="22" spans="2:32" ht="15.5">
      <c r="B22" s="2"/>
      <c r="C22" s="224"/>
      <c r="D22" s="224"/>
      <c r="G22" s="551" t="s">
        <v>168</v>
      </c>
      <c r="H22" s="552"/>
      <c r="I22" s="552"/>
      <c r="J22" s="552"/>
      <c r="K22" s="552"/>
      <c r="L22" s="553"/>
      <c r="P22" s="1"/>
      <c r="Q22" s="551" t="s">
        <v>169</v>
      </c>
      <c r="R22" s="552"/>
      <c r="S22" s="552"/>
      <c r="T22" s="552"/>
      <c r="U22" s="552"/>
      <c r="V22" s="552"/>
      <c r="W22" s="553"/>
      <c r="X22" s="103"/>
      <c r="AB22" s="90"/>
      <c r="AC22" s="87"/>
      <c r="AD22" s="87"/>
      <c r="AE22" s="166"/>
    </row>
    <row r="23" spans="2:32" ht="46.5">
      <c r="C23" s="560" t="s">
        <v>466</v>
      </c>
      <c r="D23" s="561"/>
      <c r="E23" s="562"/>
      <c r="F23" s="80"/>
      <c r="G23" s="80" t="str">
        <f>Summary!D2&amp;" SALES DETERMINANTS BUNDLED"</f>
        <v>2030 SALES DETERMINANTS BUNDLED</v>
      </c>
      <c r="H23" s="699" t="str">
        <f>Summary!I2&amp;" Avg Rates"&amp;"(sales adj.)"</f>
        <v>1/1/26 Avg Rates(sales adj.)</v>
      </c>
      <c r="I23" s="699" t="s">
        <v>170</v>
      </c>
      <c r="J23" s="699" t="s">
        <v>171</v>
      </c>
      <c r="K23" s="80" t="s">
        <v>172</v>
      </c>
      <c r="L23" s="80" t="s">
        <v>173</v>
      </c>
      <c r="Q23" s="1"/>
      <c r="R23" s="80" t="str">
        <f>C24</f>
        <v>SYSTEM NET</v>
      </c>
      <c r="S23" s="699" t="str">
        <f>H23</f>
        <v>1/1/26 Avg Rates(sales adj.)</v>
      </c>
      <c r="T23" s="80" t="s">
        <v>170</v>
      </c>
      <c r="U23" s="80" t="s">
        <v>171</v>
      </c>
      <c r="V23" s="80" t="s">
        <v>172</v>
      </c>
      <c r="W23" s="80" t="s">
        <v>173</v>
      </c>
      <c r="X23" s="103"/>
      <c r="AB23" s="49"/>
      <c r="AC23" s="406" t="str">
        <f>Summary!D31</f>
        <v>10/1/2025</v>
      </c>
      <c r="AD23" s="406" t="str">
        <f>Summary!E31</f>
        <v>1/1/26</v>
      </c>
      <c r="AE23" s="406" t="str">
        <f>AC23</f>
        <v>10/1/2025</v>
      </c>
      <c r="AF23" s="406" t="str">
        <f>AD23</f>
        <v>1/1/26</v>
      </c>
    </row>
    <row r="24" spans="2:32" ht="31">
      <c r="B24" s="1"/>
      <c r="C24" s="80" t="s">
        <v>333</v>
      </c>
      <c r="D24" s="80" t="s">
        <v>334</v>
      </c>
      <c r="E24" s="80" t="s">
        <v>335</v>
      </c>
      <c r="F24" s="104" t="s">
        <v>145</v>
      </c>
      <c r="G24" s="702">
        <f>IF(Summary!$D$2=2026,E25,E38)</f>
        <v>1313398.550759305</v>
      </c>
      <c r="H24" s="700">
        <f>IF(Summary!$I$8="N",AF26,AD26)</f>
        <v>43.182000000000002</v>
      </c>
      <c r="I24" s="443">
        <f>IF(Summary!$I$8="N",SUM($H30,$J30:$K30,$M30:$T30),SUM($H30,$J30:$T30))</f>
        <v>42.368811092787212</v>
      </c>
      <c r="J24" s="443">
        <f>IF(Summary!$I$8="N",SUM($H36,$J36:$K36,$M36:$T36),SUM($H36,$J36:$T36))</f>
        <v>44.083403218696787</v>
      </c>
      <c r="K24" s="105">
        <f>I24/H24-1</f>
        <v>-1.8831663823185352E-2</v>
      </c>
      <c r="L24" s="105">
        <f>J24/H24-1</f>
        <v>2.0874512961344571E-2</v>
      </c>
      <c r="M24" s="439"/>
      <c r="O24" s="275"/>
      <c r="Q24" s="104" t="s">
        <v>145</v>
      </c>
      <c r="R24" s="95">
        <f>IF(Summary!$D$2=2026,C25,C38)</f>
        <v>5529244.7570373612</v>
      </c>
      <c r="S24" s="701">
        <v>46.597864677489412</v>
      </c>
      <c r="T24" s="443">
        <f>I24+($U10/(IF(Summary!$D$2=2026,$C25,$C38)-IF(Summary!$D$2=2026,$E25,$E38))*100)+($I10/(IF(Summary!$D$2=2026,$C25,$C38)-IF(Summary!$D$2=2026,$E25,$E38))*100)</f>
        <v>45.566908837005485</v>
      </c>
      <c r="U24" s="443">
        <f>J24+($U13/(IF(Summary!$D$2=2026,$C25,$C38)-IF(Summary!$D$2=2026,$E25,$E38))*100)+($I13/(IF(Summary!$D$2=2026,$C25,$C38)-IF(Summary!$D$2=2026,$E25,$E38))*100)</f>
        <v>47.300754451504083</v>
      </c>
      <c r="V24" s="105">
        <f>T24/S24-1</f>
        <v>-2.21245296886311E-2</v>
      </c>
      <c r="W24" s="105">
        <f>U24/S24-1</f>
        <v>1.5084162737487583E-2</v>
      </c>
      <c r="X24" s="103"/>
      <c r="Y24" s="1"/>
      <c r="Z24" s="1"/>
      <c r="AB24" s="49"/>
      <c r="AC24" s="545" t="s">
        <v>432</v>
      </c>
      <c r="AD24" s="545"/>
      <c r="AE24" s="545" t="s">
        <v>431</v>
      </c>
      <c r="AF24" s="545"/>
    </row>
    <row r="25" spans="2:32" ht="15.5">
      <c r="B25" s="104" t="s">
        <v>145</v>
      </c>
      <c r="C25" s="228">
        <v>5529244.7570373612</v>
      </c>
      <c r="D25" s="228">
        <v>7311830.3174004517</v>
      </c>
      <c r="E25" s="4">
        <v>1313398.550759305</v>
      </c>
      <c r="F25" s="104" t="s">
        <v>161</v>
      </c>
      <c r="G25" s="702">
        <f>IF(Summary!$D$2=2026,E26,E39)</f>
        <v>3218717.0926473769</v>
      </c>
      <c r="H25" s="700">
        <f>IF(Summary!$I$8="N",AF27,AD27)</f>
        <v>39.322999999999993</v>
      </c>
      <c r="I25" s="443">
        <f>IF(Summary!$I$8="N",SUM($H31,$J31:$K31,$M31:$T31),SUM($H31,$J31:$T31))</f>
        <v>38.887670178796292</v>
      </c>
      <c r="J25" s="443">
        <f>IF(Summary!$I$8="N",SUM($H37,$J37:$K37,$M37:$T37),SUM($H37,$J37:$T37))</f>
        <v>40.154730270753888</v>
      </c>
      <c r="K25" s="105">
        <f>I25/H25-1</f>
        <v>-1.1070615700829123E-2</v>
      </c>
      <c r="L25" s="105">
        <f>J25/H25-1</f>
        <v>2.1151241531772502E-2</v>
      </c>
      <c r="M25" s="439"/>
      <c r="Q25" s="104" t="s">
        <v>161</v>
      </c>
      <c r="R25" s="95">
        <f>IF(Summary!$D$2=2026,C26,C39)</f>
        <v>17431428.835748378</v>
      </c>
      <c r="S25" s="701">
        <v>41.814953036913295</v>
      </c>
      <c r="T25" s="443">
        <f>I25+($U11/(IF(Summary!$D$2=2026,$C26,$C39)-IF(Summary!$D$2=2026,$E26,$E39))*100)+($I11/(IF(Summary!$D$2=2026,$C26,$C39)-IF(Summary!$D$2=2026,$E26,$E39))*100)</f>
        <v>41.220830851894341</v>
      </c>
      <c r="U25" s="443">
        <f>J25+($U14/(IF(Summary!$D$2=2026,$C26,$C39)-IF(Summary!$D$2=2026,$E26,$E39))*100)+($I14/(IF(Summary!$D$2=2026,$C26,$C39)-IF(Summary!$D$2=2026,$E26,$E39))*100)</f>
        <v>42.501930297388384</v>
      </c>
      <c r="V25" s="105">
        <f>T25/S25-1</f>
        <v>-1.4208366669561379E-2</v>
      </c>
      <c r="W25" s="105">
        <f>U25/S25-1</f>
        <v>1.6428985580078104E-2</v>
      </c>
      <c r="X25" s="107"/>
      <c r="Y25" s="100"/>
      <c r="Z25" s="100"/>
      <c r="AB25" s="49" t="s">
        <v>335</v>
      </c>
      <c r="AC25" s="49"/>
      <c r="AD25" s="49"/>
      <c r="AE25" s="49"/>
      <c r="AF25" s="49"/>
    </row>
    <row r="26" spans="2:32" ht="15.5">
      <c r="B26" s="104" t="s">
        <v>161</v>
      </c>
      <c r="C26" s="228">
        <v>17431428.835748378</v>
      </c>
      <c r="D26" s="228">
        <v>19476455.217814039</v>
      </c>
      <c r="E26" s="4">
        <v>3218717.0926473769</v>
      </c>
      <c r="F26" s="19"/>
      <c r="I26" s="439"/>
      <c r="J26" s="439"/>
      <c r="S26" s="318"/>
      <c r="T26" s="1"/>
      <c r="U26" s="101"/>
      <c r="V26" s="102"/>
      <c r="W26" s="101"/>
      <c r="X26" s="103"/>
      <c r="Y26" s="102"/>
      <c r="Z26" s="102"/>
      <c r="AB26" s="49" t="s">
        <v>145</v>
      </c>
      <c r="AC26" s="441">
        <v>37.26</v>
      </c>
      <c r="AD26" s="49">
        <v>43.182000000000002</v>
      </c>
      <c r="AE26" s="49">
        <v>41.024999999999999</v>
      </c>
      <c r="AF26" s="49">
        <v>45.698999999999998</v>
      </c>
    </row>
    <row r="27" spans="2:32" ht="15.5">
      <c r="B27" s="273"/>
      <c r="C27" s="228"/>
      <c r="D27" s="228"/>
      <c r="E27" s="4"/>
      <c r="F27" s="1"/>
      <c r="H27" s="4"/>
      <c r="I27" s="4"/>
      <c r="J27" s="168"/>
      <c r="Q27" s="1"/>
      <c r="R27" s="1"/>
      <c r="S27" s="1"/>
      <c r="T27" s="1"/>
      <c r="U27" s="1"/>
      <c r="V27" s="1"/>
      <c r="W27" s="1"/>
      <c r="X27" s="107"/>
      <c r="Y27" s="103"/>
      <c r="Z27" s="103"/>
      <c r="AB27" s="49" t="s">
        <v>161</v>
      </c>
      <c r="AC27" s="442">
        <v>35.117000000000004</v>
      </c>
      <c r="AD27" s="49">
        <v>39.322999999999993</v>
      </c>
      <c r="AE27" s="49">
        <v>36.465000000000003</v>
      </c>
      <c r="AF27" s="49">
        <v>40.177999999999997</v>
      </c>
    </row>
    <row r="28" spans="2:32" ht="15.5">
      <c r="D28" s="1"/>
      <c r="E28" s="1"/>
      <c r="F28" s="1"/>
      <c r="G28" s="486"/>
      <c r="H28" s="555" t="s">
        <v>498</v>
      </c>
      <c r="I28" s="555"/>
      <c r="J28" s="555"/>
      <c r="K28" s="555"/>
      <c r="L28" s="555"/>
      <c r="M28" s="555"/>
      <c r="N28" s="555"/>
      <c r="O28" s="555"/>
      <c r="P28" s="555"/>
      <c r="Q28" s="555"/>
      <c r="R28" s="555"/>
      <c r="S28" s="555"/>
      <c r="T28" s="555"/>
      <c r="U28" s="556"/>
      <c r="V28" s="1"/>
      <c r="W28" s="1"/>
      <c r="X28" s="107"/>
      <c r="Y28" s="103"/>
      <c r="Z28" s="103"/>
      <c r="AC28" s="228"/>
      <c r="AD28" s="1"/>
      <c r="AE28" s="1"/>
    </row>
    <row r="29" spans="2:32" ht="29">
      <c r="B29" s="424" t="s">
        <v>454</v>
      </c>
      <c r="C29" s="3"/>
      <c r="D29" s="1"/>
      <c r="E29" s="1"/>
      <c r="G29" s="487"/>
      <c r="H29" s="488" t="s">
        <v>3</v>
      </c>
      <c r="I29" s="489" t="s">
        <v>373</v>
      </c>
      <c r="J29" s="489" t="s">
        <v>59</v>
      </c>
      <c r="K29" s="489" t="s">
        <v>5</v>
      </c>
      <c r="L29" s="489" t="s">
        <v>98</v>
      </c>
      <c r="M29" s="489" t="s">
        <v>14</v>
      </c>
      <c r="N29" s="489" t="s">
        <v>80</v>
      </c>
      <c r="O29" s="489" t="s">
        <v>99</v>
      </c>
      <c r="P29" s="489" t="s">
        <v>97</v>
      </c>
      <c r="Q29" s="489" t="s">
        <v>78</v>
      </c>
      <c r="R29" s="489" t="s">
        <v>10</v>
      </c>
      <c r="S29" s="489" t="s">
        <v>221</v>
      </c>
      <c r="T29" s="489" t="s">
        <v>87</v>
      </c>
      <c r="U29" s="490" t="s">
        <v>251</v>
      </c>
      <c r="V29" s="1"/>
      <c r="W29" s="1"/>
      <c r="X29" s="103"/>
      <c r="Y29" s="103"/>
      <c r="Z29" s="103"/>
      <c r="AC29" s="3"/>
      <c r="AD29" s="1"/>
      <c r="AE29" s="1"/>
    </row>
    <row r="30" spans="2:32" ht="15.5">
      <c r="B30" s="19"/>
      <c r="C30" s="428" t="s">
        <v>147</v>
      </c>
      <c r="D30" s="429" t="s">
        <v>457</v>
      </c>
      <c r="E30" s="428"/>
      <c r="G30" s="491" t="s">
        <v>145</v>
      </c>
      <c r="H30" s="493">
        <f>H10/IF(Summary!$D$2=2026,$E25,$E38)*100</f>
        <v>18.298171386389303</v>
      </c>
      <c r="I30" s="493">
        <f>I10/IF(Summary!$D$2=2026,$C25-$E25,$C38-$E38)*100</f>
        <v>1.4350900880543886E-3</v>
      </c>
      <c r="J30" s="493">
        <f>J10/IF(Summary!$D$2=2026,$C25,$C38)*100</f>
        <v>1.2353801783784384</v>
      </c>
      <c r="K30" s="493">
        <f>(K10-($AD$18*IF(Summary!$D$2=2026,D31,D32)))/IF(Summary!$D$2=2026,$C25,$C38)*100</f>
        <v>14.406833593989454</v>
      </c>
      <c r="L30" s="493">
        <f>L10/IF(Summary!$D$2=2026,$C25,$C38)*100</f>
        <v>-2.5172433555877718</v>
      </c>
      <c r="M30" s="493">
        <f>M10/IF(Summary!$D$2=2026,$D25,$D38)*100</f>
        <v>-7.2674400883761536E-3</v>
      </c>
      <c r="N30" s="493">
        <f>N10/IF(Summary!$D$2=2026,$D25,$D38)*100</f>
        <v>-3.2861982359358216E-4</v>
      </c>
      <c r="O30" s="493">
        <f>O10/IF(Summary!$D$2=2026,$D25,$D38)*100</f>
        <v>1.4982598007826915</v>
      </c>
      <c r="P30" s="493">
        <f>P10/IF(Summary!$D$2=2026,$D25,$D38)*100</f>
        <v>0</v>
      </c>
      <c r="Q30" s="493">
        <f>Q10/IF(Summary!$D$2=2026,$C25,$C38)*100</f>
        <v>0</v>
      </c>
      <c r="R30" s="493">
        <f>R10/IF(Summary!$D$2=2026,$C25,$C38)*100</f>
        <v>9.0024883894046006</v>
      </c>
      <c r="S30" s="493">
        <f>S10/IF(Summary!$D$2=2026,$D25,$D38)*100</f>
        <v>0.44765250873197843</v>
      </c>
      <c r="T30" s="493">
        <f>T10/IF(Summary!$D$2=2026,$C25,$C38)*100</f>
        <v>4.8646506104888416E-3</v>
      </c>
      <c r="U30" s="495">
        <f>U10/IF(Summary!$D$2=2026,$C25-$E25,$C38-$E38)*100</f>
        <v>3.1966626541302237</v>
      </c>
      <c r="V30" s="1"/>
      <c r="W30" s="1"/>
      <c r="X30" s="100"/>
      <c r="Y30" s="107"/>
      <c r="Z30" s="107"/>
      <c r="AE30" s="80"/>
    </row>
    <row r="31" spans="2:32" ht="15.5">
      <c r="B31" s="19" t="s">
        <v>453</v>
      </c>
      <c r="C31" s="426">
        <v>246924.10618431377</v>
      </c>
      <c r="D31" s="427">
        <v>0.84384221737920806</v>
      </c>
      <c r="E31" s="426"/>
      <c r="G31" s="492" t="s">
        <v>161</v>
      </c>
      <c r="H31" s="494">
        <f>H11/IF(Summary!$D$2=2026,$E26,$E39)*100</f>
        <v>18.447937224094886</v>
      </c>
      <c r="I31" s="494">
        <f>I11/IF(Summary!$D$2=2026,$C26-$E26,$C39-$E39)*100</f>
        <v>2.2024713894388884E-3</v>
      </c>
      <c r="J31" s="494">
        <f>J11/IF(Summary!$D$2=2026,$C26,$C39)*100</f>
        <v>0.98331035831855274</v>
      </c>
      <c r="K31" s="494">
        <f>(K11-$AD$18)/IF(Summary!$D$2=2026,$C26,$C39)*100</f>
        <v>11.974929744710302</v>
      </c>
      <c r="L31" s="494">
        <f>L11/IF(Summary!$D$2=2026,$C26,$C39)*100</f>
        <v>-0.85540061393880218</v>
      </c>
      <c r="M31" s="494">
        <f>M11/IF(Summary!$D$2=2026,$D26,$D39)*100</f>
        <v>-6.7487049313300542E-3</v>
      </c>
      <c r="N31" s="494">
        <f>N11/IF(Summary!$D$2=2026,$D26,$D39)*100</f>
        <v>-3.2861385341548493E-4</v>
      </c>
      <c r="O31" s="494">
        <f>O11/IF(Summary!$D$2=2026,$D26,$D39)*100</f>
        <v>1.592608035509997</v>
      </c>
      <c r="P31" s="494">
        <f>P11/IF(Summary!$D$2=2026,$D26,$D39)*100</f>
        <v>0</v>
      </c>
      <c r="Q31" s="494">
        <f>Q11/IF(Summary!$D$2=2026,$C26,$C39)*100</f>
        <v>0</v>
      </c>
      <c r="R31" s="494">
        <f>R11/IF(Summary!$D$2=2026,$C26,$C39)*100</f>
        <v>6.2918899161080528</v>
      </c>
      <c r="S31" s="494">
        <f>S11/IF(Summary!$D$2=2026,$D26,$D39)*100</f>
        <v>0.45460817486664262</v>
      </c>
      <c r="T31" s="494">
        <f>T11/IF(Summary!$D$2=2026,$C26,$C39)*100</f>
        <v>4.8646579114019822E-3</v>
      </c>
      <c r="U31" s="496">
        <f>U11/IF(Summary!$D$2=2026,$C26-$E26,$C39-$E39)*100</f>
        <v>2.330958201708611</v>
      </c>
      <c r="V31" s="1"/>
      <c r="W31" s="1"/>
      <c r="X31" s="103"/>
      <c r="Y31" s="103"/>
      <c r="Z31" s="103"/>
      <c r="AE31" s="80"/>
    </row>
    <row r="32" spans="2:32" ht="15.5">
      <c r="B32" s="425" t="s">
        <v>174</v>
      </c>
      <c r="C32" s="426">
        <v>246924.10618431377</v>
      </c>
      <c r="D32" s="427">
        <v>0.84384221737920806</v>
      </c>
      <c r="E32" s="426"/>
      <c r="I32" s="5"/>
      <c r="J32" s="19"/>
      <c r="K32" s="4"/>
      <c r="L32" s="19"/>
      <c r="M32" s="1"/>
      <c r="N32" s="1"/>
      <c r="O32" s="497"/>
      <c r="P32" s="1"/>
      <c r="Q32" s="1"/>
      <c r="R32" s="497"/>
      <c r="S32" s="2"/>
      <c r="T32" s="2"/>
      <c r="U32" s="2"/>
      <c r="V32" s="2"/>
      <c r="W32" s="2"/>
      <c r="X32" s="2"/>
      <c r="Y32" s="107"/>
      <c r="Z32" s="107"/>
      <c r="AA32" s="107"/>
    </row>
    <row r="33" spans="2:28" ht="15.5">
      <c r="B33" s="1"/>
      <c r="C33" s="86"/>
      <c r="D33" s="44"/>
      <c r="I33" s="5"/>
      <c r="J33" s="19"/>
      <c r="K33" s="19"/>
      <c r="L33" s="19"/>
      <c r="M33" s="1"/>
      <c r="N33" s="1"/>
      <c r="O33" s="497"/>
      <c r="P33" s="1"/>
      <c r="Q33" s="1"/>
      <c r="R33" s="497"/>
      <c r="S33" s="2"/>
      <c r="T33" s="2"/>
      <c r="U33" s="2"/>
      <c r="V33" s="2"/>
      <c r="W33" s="2"/>
      <c r="X33" s="2"/>
      <c r="Y33" s="107"/>
      <c r="Z33" s="107"/>
      <c r="AA33" s="107"/>
      <c r="AB33" s="103"/>
    </row>
    <row r="34" spans="2:28" ht="15.5">
      <c r="D34" s="1"/>
      <c r="E34" s="1"/>
      <c r="G34" s="486"/>
      <c r="H34" s="555" t="s">
        <v>499</v>
      </c>
      <c r="I34" s="555"/>
      <c r="J34" s="555"/>
      <c r="K34" s="555"/>
      <c r="L34" s="555"/>
      <c r="M34" s="555"/>
      <c r="N34" s="555"/>
      <c r="O34" s="555"/>
      <c r="P34" s="555"/>
      <c r="Q34" s="555"/>
      <c r="R34" s="555"/>
      <c r="S34" s="555"/>
      <c r="T34" s="555"/>
      <c r="U34" s="556"/>
      <c r="V34" s="2"/>
      <c r="W34" s="2"/>
      <c r="X34" s="2"/>
      <c r="Y34" s="103"/>
      <c r="Z34" s="103"/>
      <c r="AA34" s="107"/>
      <c r="AB34" s="103"/>
    </row>
    <row r="35" spans="2:28" ht="29">
      <c r="D35" s="1"/>
      <c r="E35" s="19"/>
      <c r="G35" s="487"/>
      <c r="H35" s="488" t="s">
        <v>3</v>
      </c>
      <c r="I35" s="489" t="s">
        <v>373</v>
      </c>
      <c r="J35" s="489" t="s">
        <v>59</v>
      </c>
      <c r="K35" s="489" t="s">
        <v>5</v>
      </c>
      <c r="L35" s="489" t="s">
        <v>98</v>
      </c>
      <c r="M35" s="489" t="s">
        <v>14</v>
      </c>
      <c r="N35" s="489" t="s">
        <v>80</v>
      </c>
      <c r="O35" s="489" t="s">
        <v>99</v>
      </c>
      <c r="P35" s="489" t="s">
        <v>97</v>
      </c>
      <c r="Q35" s="489" t="s">
        <v>78</v>
      </c>
      <c r="R35" s="489" t="s">
        <v>10</v>
      </c>
      <c r="S35" s="489" t="s">
        <v>221</v>
      </c>
      <c r="T35" s="489" t="s">
        <v>87</v>
      </c>
      <c r="U35" s="490" t="s">
        <v>251</v>
      </c>
      <c r="V35" s="2"/>
      <c r="W35" s="2"/>
      <c r="X35" s="2"/>
      <c r="Y35" s="100"/>
      <c r="Z35" s="100"/>
      <c r="AA35" s="107"/>
      <c r="AB35" s="103"/>
    </row>
    <row r="36" spans="2:28" ht="15.5">
      <c r="C36" s="560" t="s">
        <v>500</v>
      </c>
      <c r="D36" s="561"/>
      <c r="E36" s="562"/>
      <c r="F36" s="104"/>
      <c r="G36" s="491" t="s">
        <v>145</v>
      </c>
      <c r="H36" s="493">
        <f>H13/IF(Summary!$D$2=2026,$E25,$E38)*100</f>
        <v>18.318765328591549</v>
      </c>
      <c r="I36" s="493">
        <f>I13/IF(Summary!$D$2=2026,$C25-$E25,$C38-$E38)*100</f>
        <v>1.4350900880543886E-3</v>
      </c>
      <c r="J36" s="493">
        <f>J13/IF(Summary!$D$2=2026,$C25,$C38)*100</f>
        <v>1.2353801783784384</v>
      </c>
      <c r="K36" s="493">
        <f>(K13-($AD$18*IF(Summary!$D$2=2026,D31,D32)))/IF(Summary!$D$2=2026,$C25,$C38)*100</f>
        <v>16.106459666309451</v>
      </c>
      <c r="L36" s="493">
        <f>L13/IF(Summary!$D$2=2026,$C25,$C38)*100</f>
        <v>-2.5172433555877718</v>
      </c>
      <c r="M36" s="493">
        <f>M13/IF(Summary!$D$2=2026,$D25,$D38)*100</f>
        <v>-7.2674400883761536E-3</v>
      </c>
      <c r="N36" s="493">
        <f>N13/IF(Summary!$D$2=2026,$D25,$D38)*100</f>
        <v>-3.2861982359358216E-4</v>
      </c>
      <c r="O36" s="493">
        <f>O13/IF(Summary!$D$2=2026,$D25,$D38)*100</f>
        <v>1.4926319121700333</v>
      </c>
      <c r="P36" s="493">
        <f>P13/IF(Summary!$D$2=2026,$D25,$D38)*100</f>
        <v>0</v>
      </c>
      <c r="Q36" s="493">
        <f>Q13/IF(Summary!$D$2=2026,$C25,$C38)*100</f>
        <v>0</v>
      </c>
      <c r="R36" s="493">
        <f>R13/IF(Summary!$D$2=2026,$C25,$C38)*100</f>
        <v>9.0024883894046006</v>
      </c>
      <c r="S36" s="493">
        <f>S13/IF(Summary!$D$2=2026,$D25,$D38)*100</f>
        <v>0.44765250873197843</v>
      </c>
      <c r="T36" s="493">
        <f>T13/IF(Summary!$D$2=2026,$C25,$C38)*100</f>
        <v>4.8646506104888416E-3</v>
      </c>
      <c r="U36" s="495">
        <f>U13/IF(Summary!$D$2=2026,$C25-$E25,$C38-$E38)*100</f>
        <v>3.215916142719244</v>
      </c>
      <c r="V36" s="2"/>
      <c r="W36" s="2"/>
      <c r="X36" s="2"/>
      <c r="Y36" s="103"/>
      <c r="Z36" s="103"/>
      <c r="AA36" s="107"/>
      <c r="AB36" s="107"/>
    </row>
    <row r="37" spans="2:28" ht="31">
      <c r="B37" s="1"/>
      <c r="C37" s="80" t="s">
        <v>333</v>
      </c>
      <c r="D37" s="80" t="s">
        <v>334</v>
      </c>
      <c r="E37" s="80" t="s">
        <v>335</v>
      </c>
      <c r="F37" s="104"/>
      <c r="G37" s="492" t="s">
        <v>161</v>
      </c>
      <c r="H37" s="494">
        <f>H14/IF(Summary!$D$2=2026,$E26,$E39)*100</f>
        <v>18.4686997224299</v>
      </c>
      <c r="I37" s="494">
        <f>I14/IF(Summary!$D$2=2026,$C26-$E26,$C39-$E39)*100</f>
        <v>2.2024713894388884E-3</v>
      </c>
      <c r="J37" s="494">
        <f>J14/IF(Summary!$D$2=2026,$C26,$C39)*100</f>
        <v>0.98331035831855274</v>
      </c>
      <c r="K37" s="494">
        <f>(K14-$AD$18)/IF(Summary!$D$2=2026,$C26,$C39)*100</f>
        <v>13.227209625665697</v>
      </c>
      <c r="L37" s="494">
        <f>L14/IF(Summary!$D$2=2026,$C26,$C39)*100</f>
        <v>-0.85540061393880218</v>
      </c>
      <c r="M37" s="494">
        <f>M14/IF(Summary!$D$2=2026,$D26,$D39)*100</f>
        <v>-6.7487049313300542E-3</v>
      </c>
      <c r="N37" s="494">
        <f>N14/IF(Summary!$D$2=2026,$D26,$D39)*100</f>
        <v>-3.2861385341548493E-4</v>
      </c>
      <c r="O37" s="494">
        <f>O14/IF(Summary!$D$2=2026,$D26,$D39)*100</f>
        <v>1.5866257481771906</v>
      </c>
      <c r="P37" s="494">
        <f>P14/IF(Summary!$D$2=2026,$D26,$D39)*100</f>
        <v>0</v>
      </c>
      <c r="Q37" s="494">
        <f>Q14/IF(Summary!$D$2=2026,$C26,$C39)*100</f>
        <v>0</v>
      </c>
      <c r="R37" s="494">
        <f>R14/IF(Summary!$D$2=2026,$C26,$C39)*100</f>
        <v>6.2918899161080528</v>
      </c>
      <c r="S37" s="494">
        <f>S14/IF(Summary!$D$2=2026,$D26,$D39)*100</f>
        <v>0.45460817486664262</v>
      </c>
      <c r="T37" s="494">
        <f>T14/IF(Summary!$D$2=2026,$C26,$C39)*100</f>
        <v>4.8646579114019822E-3</v>
      </c>
      <c r="U37" s="496">
        <f>U14/IF(Summary!$D$2=2026,$C26-$E26,$C39-$E39)*100</f>
        <v>2.3449975552450546</v>
      </c>
      <c r="V37" s="2"/>
      <c r="W37" s="2"/>
      <c r="X37" s="2"/>
      <c r="Y37" s="2"/>
      <c r="Z37" s="102"/>
      <c r="AA37" s="102"/>
      <c r="AB37" s="103"/>
    </row>
    <row r="38" spans="2:28" ht="15.5">
      <c r="B38" s="104" t="s">
        <v>145</v>
      </c>
      <c r="C38" s="228">
        <v>5529244.7570373612</v>
      </c>
      <c r="D38" s="228">
        <v>7311830.3174004517</v>
      </c>
      <c r="E38" s="4">
        <v>1313398.550759305</v>
      </c>
      <c r="F38" s="1"/>
      <c r="G38" s="19"/>
      <c r="H38" s="19"/>
      <c r="I38" s="19"/>
      <c r="J38" s="19"/>
      <c r="K38" s="19"/>
      <c r="L38" s="19"/>
      <c r="M38" s="1"/>
      <c r="N38" s="1"/>
      <c r="O38" s="1"/>
      <c r="P38" s="1"/>
      <c r="Q38" s="1"/>
      <c r="R38" s="2"/>
      <c r="S38" s="2"/>
      <c r="T38" s="2"/>
      <c r="U38" s="2"/>
      <c r="V38" s="2"/>
      <c r="W38" s="2"/>
      <c r="X38" s="2"/>
      <c r="Y38" s="2"/>
      <c r="Z38" s="102"/>
      <c r="AA38" s="107"/>
      <c r="AB38" s="102"/>
    </row>
    <row r="39" spans="2:28" ht="15.5">
      <c r="B39" s="104" t="s">
        <v>161</v>
      </c>
      <c r="C39" s="228">
        <v>17431428.835748378</v>
      </c>
      <c r="D39" s="228">
        <v>19476455.217814039</v>
      </c>
      <c r="E39" s="4">
        <v>3218717.0926473769</v>
      </c>
      <c r="F39" s="1"/>
      <c r="G39" s="19"/>
      <c r="H39" s="19"/>
      <c r="I39" s="19"/>
      <c r="J39" s="19"/>
      <c r="K39" s="19"/>
      <c r="L39" s="19"/>
      <c r="M39" s="1"/>
      <c r="N39" s="1"/>
      <c r="O39" s="1"/>
      <c r="P39" s="1"/>
      <c r="Q39" s="1"/>
      <c r="R39" s="2"/>
      <c r="S39" s="2"/>
      <c r="T39" s="2"/>
      <c r="U39" s="2"/>
      <c r="V39" s="2"/>
      <c r="W39" s="2"/>
      <c r="X39" s="2"/>
      <c r="Y39" s="2"/>
      <c r="Z39" s="107"/>
      <c r="AA39" s="103"/>
      <c r="AB39" s="103"/>
    </row>
    <row r="40" spans="2:28" ht="15.5">
      <c r="B40" s="2"/>
      <c r="C40" s="2"/>
      <c r="E40" s="1"/>
      <c r="F40" s="1"/>
      <c r="G40" s="19"/>
      <c r="H40" s="19"/>
      <c r="I40" s="19"/>
      <c r="J40" s="19"/>
      <c r="K40" s="19"/>
      <c r="L40" s="19"/>
      <c r="M40" s="1"/>
      <c r="N40" s="1"/>
      <c r="O40" s="1"/>
      <c r="P40" s="1"/>
      <c r="Q40" s="1"/>
      <c r="R40" s="2"/>
      <c r="S40" s="2"/>
      <c r="T40" s="2"/>
      <c r="U40" s="2"/>
      <c r="V40" s="2"/>
      <c r="W40" s="2"/>
      <c r="X40" s="2"/>
      <c r="Y40" s="2"/>
      <c r="Z40" s="107"/>
      <c r="AA40" s="107"/>
      <c r="AB40" s="103"/>
    </row>
    <row r="41" spans="2:28" ht="15.5">
      <c r="B41" s="2"/>
      <c r="C41" s="2"/>
      <c r="E41" s="1"/>
      <c r="F41" s="1"/>
      <c r="G41" s="19"/>
      <c r="H41" s="19"/>
      <c r="I41" s="19"/>
      <c r="J41" s="19"/>
      <c r="K41" s="19"/>
      <c r="L41" s="19"/>
      <c r="M41" s="1"/>
      <c r="N41" s="1"/>
      <c r="O41" s="1"/>
      <c r="P41" s="1"/>
      <c r="Q41" s="1"/>
      <c r="R41" s="2"/>
      <c r="S41" s="2"/>
      <c r="T41" s="2"/>
      <c r="U41" s="2"/>
      <c r="V41" s="2"/>
      <c r="W41" s="2"/>
      <c r="X41" s="2"/>
      <c r="Y41" s="2"/>
      <c r="Z41" s="107"/>
      <c r="AA41" s="107"/>
      <c r="AB41" s="107"/>
    </row>
    <row r="42" spans="2:28" ht="15.5">
      <c r="B42" s="2"/>
      <c r="C42" s="2"/>
      <c r="E42" s="1"/>
      <c r="F42" s="1"/>
      <c r="G42" s="19"/>
      <c r="H42" s="19"/>
      <c r="I42" s="19"/>
      <c r="J42" s="19"/>
      <c r="K42" s="19"/>
      <c r="L42" s="19"/>
      <c r="M42" s="1"/>
      <c r="N42" s="1"/>
      <c r="O42" s="1"/>
      <c r="P42" s="1"/>
      <c r="Q42" s="1"/>
      <c r="R42" s="1"/>
      <c r="S42" s="1"/>
      <c r="T42" s="1"/>
      <c r="U42" s="101"/>
      <c r="V42" s="102"/>
      <c r="W42" s="102"/>
      <c r="X42" s="102"/>
      <c r="Y42" s="2"/>
      <c r="Z42" s="107"/>
      <c r="AA42" s="103"/>
      <c r="AB42" s="103"/>
    </row>
    <row r="43" spans="2:28" ht="15.5">
      <c r="B43" s="2"/>
      <c r="C43" s="2"/>
      <c r="D43" s="1"/>
      <c r="E43" s="1"/>
      <c r="F43" s="1"/>
      <c r="G43" s="19"/>
      <c r="H43" s="19"/>
      <c r="I43" s="19"/>
      <c r="J43" s="19"/>
      <c r="K43" s="19"/>
      <c r="L43" s="19"/>
      <c r="M43" s="1"/>
      <c r="N43" s="1"/>
      <c r="O43" s="1"/>
      <c r="P43" s="1"/>
      <c r="Q43" s="1"/>
      <c r="R43" s="1"/>
      <c r="S43" s="1"/>
      <c r="T43" s="1"/>
      <c r="U43" s="101"/>
      <c r="V43" s="546"/>
      <c r="W43" s="546"/>
      <c r="X43" s="102"/>
      <c r="Y43" s="2"/>
      <c r="Z43" s="107"/>
      <c r="AA43" s="100"/>
      <c r="AB43" s="103"/>
    </row>
    <row r="44" spans="2:28" ht="15.5">
      <c r="B44" s="2"/>
      <c r="C44" s="2"/>
      <c r="D44" s="1"/>
      <c r="E44" s="1"/>
      <c r="F44" s="1"/>
      <c r="G44" s="19"/>
      <c r="H44" s="19"/>
      <c r="I44" s="19"/>
      <c r="J44" s="19"/>
      <c r="K44" s="19"/>
      <c r="L44" s="19"/>
      <c r="M44" s="1"/>
      <c r="N44" s="1"/>
      <c r="O44" s="1"/>
      <c r="P44" s="1"/>
      <c r="Q44" s="1"/>
      <c r="R44" s="1"/>
      <c r="S44" s="1"/>
      <c r="T44" s="1"/>
      <c r="U44" s="101"/>
      <c r="V44" s="102"/>
      <c r="W44" s="101"/>
      <c r="X44" s="107"/>
      <c r="Y44" s="2"/>
      <c r="Z44" s="107"/>
      <c r="AA44" s="103"/>
      <c r="AB44" s="100"/>
    </row>
    <row r="45" spans="2:28" ht="15.5">
      <c r="B45" s="2"/>
      <c r="C45" s="2"/>
      <c r="D45" s="1"/>
      <c r="E45" s="1"/>
      <c r="F45" s="1"/>
      <c r="G45" s="19"/>
      <c r="H45" s="19"/>
      <c r="I45" s="19"/>
      <c r="J45" s="19"/>
      <c r="K45" s="19"/>
      <c r="L45" s="19"/>
      <c r="M45" s="1"/>
      <c r="N45" s="1"/>
      <c r="O45" s="1"/>
      <c r="P45" s="1"/>
      <c r="Q45" s="1"/>
      <c r="R45" s="1"/>
      <c r="S45" s="1"/>
      <c r="T45" s="1"/>
      <c r="U45" s="101"/>
      <c r="V45" s="102"/>
      <c r="W45" s="101"/>
      <c r="X45" s="107"/>
      <c r="Y45" s="2"/>
      <c r="Z45" s="100"/>
      <c r="AA45" s="102"/>
      <c r="AB45" s="103"/>
    </row>
    <row r="46" spans="2:28" ht="15.5">
      <c r="B46" s="2"/>
      <c r="C46" s="2"/>
      <c r="D46" s="1"/>
      <c r="E46" s="1"/>
      <c r="F46" s="1"/>
      <c r="G46" s="19"/>
      <c r="H46" s="19"/>
      <c r="I46" s="19"/>
      <c r="J46" s="19"/>
      <c r="K46" s="19"/>
      <c r="L46" s="19"/>
      <c r="M46" s="1"/>
      <c r="N46" s="1"/>
      <c r="O46" s="1"/>
      <c r="P46" s="1"/>
      <c r="Q46" s="1"/>
      <c r="R46" s="1"/>
      <c r="S46" s="1"/>
      <c r="T46" s="1"/>
      <c r="U46" s="101"/>
      <c r="V46" s="102"/>
      <c r="W46" s="102"/>
      <c r="X46" s="100"/>
      <c r="Y46" s="2"/>
      <c r="Z46" s="107"/>
      <c r="AA46" s="102"/>
      <c r="AB46" s="102"/>
    </row>
    <row r="47" spans="2:28" ht="15.5">
      <c r="B47" s="2"/>
      <c r="C47" s="2"/>
      <c r="D47" s="1"/>
      <c r="E47" s="1"/>
      <c r="F47" s="1"/>
      <c r="G47" s="19"/>
      <c r="H47" s="19"/>
      <c r="I47" s="19"/>
      <c r="J47" s="19"/>
      <c r="K47" s="19"/>
      <c r="L47" s="19"/>
      <c r="M47" s="1"/>
      <c r="N47" s="1"/>
      <c r="O47" s="1"/>
      <c r="P47" s="1"/>
      <c r="Q47" s="1"/>
      <c r="R47" s="1"/>
      <c r="S47" s="1"/>
      <c r="T47" s="1"/>
      <c r="U47" s="101"/>
      <c r="V47" s="102"/>
      <c r="W47" s="101"/>
      <c r="X47" s="107"/>
      <c r="Y47" s="102"/>
      <c r="Z47" s="102"/>
      <c r="AA47" s="103"/>
      <c r="AB47" s="102"/>
    </row>
    <row r="48" spans="2:28" ht="15.5">
      <c r="B48" s="2"/>
      <c r="C48" s="2"/>
      <c r="D48" s="1"/>
      <c r="E48" s="1"/>
      <c r="F48" s="1"/>
      <c r="G48" s="19"/>
      <c r="H48" s="19"/>
      <c r="I48" s="19"/>
      <c r="J48" s="19"/>
      <c r="K48" s="19"/>
      <c r="L48" s="19"/>
      <c r="M48" s="1"/>
      <c r="N48" s="1"/>
      <c r="O48" s="1"/>
      <c r="P48" s="1"/>
      <c r="Q48" s="1"/>
      <c r="R48" s="1"/>
      <c r="S48" s="1"/>
      <c r="T48" s="1"/>
      <c r="U48" s="101"/>
      <c r="V48" s="102"/>
      <c r="W48" s="102"/>
      <c r="X48" s="102"/>
      <c r="Y48" s="102"/>
      <c r="Z48" s="102"/>
      <c r="AA48" s="103"/>
      <c r="AB48" s="103"/>
    </row>
    <row r="49" spans="2:28" ht="15.5">
      <c r="B49" s="2"/>
      <c r="C49" s="2"/>
      <c r="D49" s="1"/>
      <c r="E49" s="1"/>
      <c r="F49" s="1"/>
      <c r="G49" s="19"/>
      <c r="H49" s="19"/>
      <c r="I49" s="19"/>
      <c r="J49" s="19"/>
      <c r="K49" s="19"/>
      <c r="L49" s="19"/>
      <c r="M49" s="1"/>
      <c r="N49" s="1"/>
      <c r="O49" s="1"/>
      <c r="P49" s="1"/>
      <c r="Q49" s="1"/>
      <c r="R49" s="1"/>
      <c r="S49" s="1"/>
      <c r="T49" s="1"/>
      <c r="U49" s="101"/>
      <c r="V49" s="546"/>
      <c r="W49" s="546"/>
      <c r="X49" s="102"/>
      <c r="Y49" s="107"/>
      <c r="Z49" s="107"/>
      <c r="AA49" s="103"/>
      <c r="AB49" s="103"/>
    </row>
    <row r="50" spans="2:28" ht="15.5">
      <c r="B50" s="2"/>
      <c r="C50" s="2"/>
      <c r="D50" s="1"/>
      <c r="E50" s="1"/>
      <c r="F50" s="1"/>
      <c r="G50" s="19"/>
      <c r="H50" s="19"/>
      <c r="I50" s="19"/>
      <c r="J50" s="19"/>
      <c r="K50" s="19"/>
      <c r="L50" s="19"/>
      <c r="M50" s="1"/>
      <c r="N50" s="1"/>
      <c r="O50" s="1"/>
      <c r="P50" s="1"/>
      <c r="Q50" s="1"/>
      <c r="R50" s="1"/>
      <c r="S50" s="1"/>
      <c r="T50" s="1"/>
      <c r="U50" s="101"/>
      <c r="V50" s="102"/>
      <c r="W50" s="101"/>
      <c r="X50" s="107"/>
      <c r="Y50" s="107"/>
      <c r="Z50" s="107"/>
      <c r="AA50" s="107"/>
      <c r="AB50" s="103"/>
    </row>
    <row r="51" spans="2:28" ht="15.5">
      <c r="B51" s="2"/>
      <c r="C51" s="2"/>
      <c r="D51" s="1"/>
      <c r="E51" s="1"/>
      <c r="F51" s="1"/>
      <c r="G51" s="19"/>
      <c r="H51" s="19"/>
      <c r="I51" s="19"/>
      <c r="J51" s="19"/>
      <c r="K51" s="19"/>
      <c r="L51" s="19"/>
      <c r="M51" s="1"/>
      <c r="N51" s="1"/>
      <c r="O51" s="1"/>
      <c r="P51" s="1"/>
      <c r="Q51" s="1"/>
      <c r="R51" s="1"/>
      <c r="S51" s="1"/>
      <c r="T51" s="1"/>
      <c r="U51" s="101"/>
      <c r="V51" s="102"/>
      <c r="W51" s="101"/>
      <c r="X51" s="107"/>
      <c r="Y51" s="100"/>
      <c r="Z51" s="100"/>
      <c r="AA51" s="107"/>
      <c r="AB51" s="103"/>
    </row>
    <row r="52" spans="2:28" ht="15.5">
      <c r="B52" s="2"/>
      <c r="C52" s="2"/>
      <c r="D52" s="1"/>
      <c r="E52" s="1"/>
      <c r="F52" s="1"/>
      <c r="G52" s="19"/>
      <c r="H52" s="19"/>
      <c r="I52" s="19"/>
      <c r="J52" s="19"/>
      <c r="K52" s="19"/>
      <c r="L52" s="19"/>
      <c r="M52" s="1"/>
      <c r="N52" s="1"/>
      <c r="O52" s="1"/>
      <c r="P52" s="1"/>
      <c r="Q52" s="1"/>
      <c r="R52" s="1"/>
      <c r="S52" s="1"/>
      <c r="T52" s="1"/>
      <c r="U52" s="101"/>
      <c r="V52" s="102"/>
      <c r="W52" s="101"/>
      <c r="X52" s="103"/>
      <c r="Y52" s="107"/>
      <c r="Z52" s="107"/>
      <c r="AA52" s="103"/>
      <c r="AB52" s="103"/>
    </row>
    <row r="53" spans="2:28" ht="15.5">
      <c r="B53" s="2"/>
      <c r="C53" s="2"/>
      <c r="D53" s="1"/>
      <c r="E53" s="1"/>
      <c r="F53" s="1"/>
      <c r="G53" s="19"/>
      <c r="H53" s="19"/>
      <c r="I53" s="19"/>
      <c r="J53" s="19"/>
      <c r="K53" s="19"/>
      <c r="L53" s="19"/>
      <c r="M53" s="1"/>
      <c r="N53" s="1"/>
      <c r="O53" s="1"/>
      <c r="P53" s="1"/>
      <c r="Q53" s="1"/>
      <c r="R53" s="1"/>
      <c r="S53" s="1"/>
      <c r="T53" s="1"/>
      <c r="U53" s="101"/>
      <c r="V53" s="102"/>
      <c r="W53" s="101"/>
      <c r="X53" s="107"/>
      <c r="Y53" s="102"/>
      <c r="Z53" s="102"/>
      <c r="AA53" s="100"/>
      <c r="AB53" s="103"/>
    </row>
    <row r="54" spans="2:28" ht="15.5">
      <c r="B54" s="2"/>
      <c r="C54" s="2"/>
      <c r="D54" s="1"/>
      <c r="E54" s="1"/>
      <c r="F54" s="1"/>
      <c r="G54" s="19"/>
      <c r="H54" s="19"/>
      <c r="I54" s="19"/>
      <c r="J54" s="19"/>
      <c r="K54" s="19"/>
      <c r="L54" s="19"/>
      <c r="M54" s="1"/>
      <c r="N54" s="1"/>
      <c r="O54" s="1"/>
      <c r="P54" s="1"/>
      <c r="Q54" s="1"/>
      <c r="R54" s="1"/>
      <c r="S54" s="1"/>
      <c r="T54" s="1"/>
      <c r="U54" s="101"/>
      <c r="V54" s="102"/>
      <c r="W54" s="101"/>
      <c r="X54" s="107"/>
      <c r="Y54" s="102"/>
      <c r="Z54" s="102"/>
      <c r="AA54" s="103"/>
      <c r="AB54" s="100"/>
    </row>
    <row r="55" spans="2:28" ht="15.5">
      <c r="B55" s="2"/>
      <c r="C55" s="2"/>
      <c r="D55" s="1"/>
      <c r="E55" s="1"/>
      <c r="F55" s="1"/>
      <c r="G55" s="19"/>
      <c r="H55" s="19"/>
      <c r="I55" s="19"/>
      <c r="J55" s="19"/>
      <c r="K55" s="19"/>
      <c r="L55" s="19"/>
      <c r="M55" s="1"/>
      <c r="N55" s="1"/>
      <c r="O55" s="1"/>
      <c r="P55" s="1"/>
      <c r="Q55" s="1"/>
      <c r="R55" s="1"/>
      <c r="S55" s="1"/>
      <c r="T55" s="1"/>
      <c r="U55" s="101"/>
      <c r="V55" s="102"/>
      <c r="W55" s="102"/>
      <c r="X55" s="100"/>
      <c r="Y55" s="107"/>
      <c r="Z55" s="107"/>
      <c r="AA55" s="102"/>
      <c r="AB55" s="103"/>
    </row>
    <row r="56" spans="2:28" ht="15.5">
      <c r="B56" s="1"/>
      <c r="C56" s="1"/>
      <c r="D56" s="1"/>
      <c r="E56" s="1"/>
      <c r="F56" s="1"/>
      <c r="G56" s="19"/>
      <c r="H56" s="19"/>
      <c r="I56" s="19"/>
      <c r="J56" s="19"/>
      <c r="K56" s="19"/>
      <c r="L56" s="19"/>
      <c r="M56" s="1"/>
      <c r="N56" s="1"/>
      <c r="O56" s="1"/>
      <c r="P56" s="1"/>
      <c r="Q56" s="1"/>
      <c r="R56" s="1"/>
      <c r="S56" s="1"/>
      <c r="T56" s="1"/>
      <c r="U56" s="101"/>
      <c r="V56" s="102"/>
      <c r="W56" s="101"/>
      <c r="X56" s="103"/>
      <c r="Y56" s="107"/>
      <c r="Z56" s="107"/>
      <c r="AA56" s="102"/>
      <c r="AB56" s="102"/>
    </row>
    <row r="57" spans="2:28" ht="15.5">
      <c r="B57" s="1"/>
      <c r="C57" s="1"/>
      <c r="D57" s="1"/>
      <c r="E57" s="1"/>
      <c r="F57" s="1"/>
      <c r="G57" s="19"/>
      <c r="H57" s="19"/>
      <c r="I57" s="19"/>
      <c r="J57" s="19"/>
      <c r="K57" s="19"/>
      <c r="L57" s="19"/>
      <c r="M57" s="1"/>
      <c r="N57" s="1"/>
      <c r="O57" s="1"/>
      <c r="P57" s="1"/>
      <c r="Q57" s="1"/>
      <c r="R57" s="1"/>
      <c r="S57" s="1"/>
      <c r="T57" s="1"/>
      <c r="U57" s="101"/>
      <c r="V57" s="102"/>
      <c r="W57" s="102"/>
      <c r="X57" s="102"/>
      <c r="Y57" s="103"/>
      <c r="Z57" s="103"/>
      <c r="AA57" s="107"/>
      <c r="AB57" s="102"/>
    </row>
    <row r="58" spans="2:28" ht="15.5">
      <c r="B58" s="1"/>
      <c r="C58" s="1"/>
      <c r="D58" s="1"/>
      <c r="E58" s="1"/>
      <c r="F58" s="1"/>
      <c r="G58" s="19"/>
      <c r="H58" s="19"/>
      <c r="I58" s="19"/>
      <c r="J58" s="19"/>
      <c r="K58" s="19"/>
      <c r="L58" s="19"/>
      <c r="M58" s="1"/>
      <c r="N58" s="1"/>
      <c r="O58" s="1"/>
      <c r="P58" s="1"/>
      <c r="Q58" s="1"/>
      <c r="R58" s="1"/>
      <c r="S58" s="1"/>
      <c r="T58" s="1"/>
      <c r="U58" s="101"/>
      <c r="V58" s="102"/>
      <c r="W58" s="102"/>
      <c r="X58" s="102"/>
      <c r="Y58" s="107"/>
      <c r="Z58" s="107"/>
      <c r="AA58" s="107"/>
      <c r="AB58" s="103"/>
    </row>
    <row r="59" spans="2:28" ht="15.5">
      <c r="B59" s="1"/>
      <c r="C59" s="1"/>
      <c r="D59" s="1"/>
      <c r="E59" s="1"/>
      <c r="F59" s="1"/>
      <c r="G59" s="19"/>
      <c r="H59" s="19"/>
      <c r="I59" s="19"/>
      <c r="J59" s="19"/>
      <c r="K59" s="19"/>
      <c r="L59" s="19"/>
      <c r="M59" s="1"/>
      <c r="N59" s="1"/>
      <c r="O59" s="1"/>
      <c r="P59" s="1"/>
      <c r="Q59" s="1"/>
      <c r="R59" s="1"/>
      <c r="S59" s="1"/>
      <c r="T59" s="1"/>
      <c r="U59" s="101"/>
      <c r="V59" s="102"/>
      <c r="W59" s="101"/>
      <c r="X59" s="103"/>
      <c r="Y59" s="107"/>
      <c r="Z59" s="107"/>
      <c r="AA59" s="100"/>
      <c r="AB59" s="103"/>
    </row>
    <row r="60" spans="2:28" ht="15.5">
      <c r="B60" s="1"/>
      <c r="C60" s="1"/>
      <c r="D60" s="1"/>
      <c r="E60" s="1"/>
      <c r="F60" s="1"/>
      <c r="G60" s="19"/>
      <c r="H60" s="19"/>
      <c r="I60" s="19"/>
      <c r="J60" s="19"/>
      <c r="K60" s="19"/>
      <c r="L60" s="19"/>
      <c r="M60" s="1"/>
      <c r="N60" s="1"/>
      <c r="O60" s="1"/>
      <c r="P60" s="1"/>
      <c r="Q60" s="1"/>
      <c r="R60" s="1"/>
      <c r="S60" s="1"/>
      <c r="T60" s="1"/>
      <c r="U60" s="101"/>
      <c r="V60" s="102"/>
      <c r="W60" s="102"/>
      <c r="X60" s="100"/>
      <c r="Y60" s="100"/>
      <c r="Z60" s="100"/>
      <c r="AA60" s="107"/>
      <c r="AB60" s="100"/>
    </row>
    <row r="61" spans="2:28" ht="15.5">
      <c r="B61" s="1"/>
      <c r="C61" s="1"/>
      <c r="D61" s="1"/>
      <c r="E61" s="1"/>
      <c r="F61" s="1"/>
      <c r="G61" s="19"/>
      <c r="H61" s="19"/>
      <c r="I61" s="19"/>
      <c r="J61" s="19"/>
      <c r="K61" s="19"/>
      <c r="L61" s="19"/>
      <c r="M61" s="1"/>
      <c r="N61" s="1"/>
      <c r="O61" s="1"/>
      <c r="P61" s="1"/>
      <c r="Q61" s="1"/>
      <c r="R61" s="1"/>
      <c r="S61" s="1"/>
      <c r="T61" s="1"/>
      <c r="U61" s="101"/>
      <c r="V61" s="546"/>
      <c r="W61" s="546"/>
      <c r="X61" s="102"/>
      <c r="Y61" s="103"/>
      <c r="Z61" s="103"/>
      <c r="AA61" s="102"/>
      <c r="AB61" s="103"/>
    </row>
    <row r="62" spans="2:28" ht="15.5">
      <c r="B62" s="1"/>
      <c r="C62" s="1"/>
      <c r="D62" s="1"/>
      <c r="E62" s="1"/>
      <c r="F62" s="1"/>
      <c r="G62" s="19"/>
      <c r="H62" s="19"/>
      <c r="I62" s="19"/>
      <c r="J62" s="19"/>
      <c r="K62" s="19"/>
      <c r="L62" s="19"/>
      <c r="M62" s="1"/>
      <c r="N62" s="1"/>
      <c r="O62" s="1"/>
      <c r="P62" s="1"/>
      <c r="Q62" s="1"/>
      <c r="R62" s="1"/>
      <c r="S62" s="1"/>
      <c r="T62" s="1"/>
      <c r="U62" s="101"/>
      <c r="V62" s="102"/>
      <c r="W62" s="102"/>
      <c r="X62" s="102"/>
      <c r="Y62" s="102"/>
      <c r="Z62" s="102"/>
      <c r="AA62" s="102"/>
      <c r="AB62" s="102"/>
    </row>
    <row r="63" spans="2:28" ht="15.5">
      <c r="B63" s="1"/>
      <c r="C63" s="1"/>
      <c r="D63" s="1"/>
      <c r="E63" s="1"/>
      <c r="F63" s="1"/>
      <c r="G63" s="19"/>
      <c r="H63" s="19"/>
      <c r="I63" s="19"/>
      <c r="J63" s="19"/>
      <c r="K63" s="19"/>
      <c r="L63" s="19"/>
      <c r="M63" s="1"/>
      <c r="N63" s="1"/>
      <c r="O63" s="1"/>
      <c r="P63" s="1"/>
      <c r="Q63" s="1"/>
      <c r="R63" s="1"/>
      <c r="S63" s="1"/>
      <c r="T63" s="1"/>
      <c r="U63" s="101"/>
      <c r="V63" s="102"/>
      <c r="W63" s="101"/>
      <c r="X63" s="102"/>
      <c r="Y63" s="102"/>
      <c r="Z63" s="102"/>
      <c r="AA63" s="107"/>
      <c r="AB63" s="102"/>
    </row>
    <row r="64" spans="2:28" ht="15.5">
      <c r="B64" s="1"/>
      <c r="C64" s="1"/>
      <c r="D64" s="1"/>
      <c r="E64" s="1"/>
      <c r="F64" s="1"/>
      <c r="G64" s="19"/>
      <c r="H64" s="19"/>
      <c r="I64" s="19"/>
      <c r="J64" s="19"/>
      <c r="K64" s="19"/>
      <c r="L64" s="19"/>
      <c r="M64" s="1"/>
      <c r="N64" s="1"/>
      <c r="O64" s="1"/>
      <c r="P64" s="1"/>
      <c r="Q64" s="1"/>
      <c r="R64" s="1"/>
      <c r="S64" s="1"/>
      <c r="T64" s="1"/>
      <c r="U64" s="101"/>
      <c r="V64" s="102"/>
      <c r="W64" s="102"/>
      <c r="X64" s="100"/>
      <c r="Y64" s="103"/>
      <c r="Z64" s="103"/>
      <c r="AA64" s="107"/>
      <c r="AB64" s="103"/>
    </row>
    <row r="65" spans="2:28" ht="15.5">
      <c r="B65" s="1"/>
      <c r="C65" s="1"/>
      <c r="D65" s="1"/>
      <c r="E65" s="1"/>
      <c r="F65" s="1"/>
      <c r="G65" s="19"/>
      <c r="H65" s="19"/>
      <c r="I65" s="19"/>
      <c r="J65" s="19"/>
      <c r="K65" s="19"/>
      <c r="L65" s="19"/>
      <c r="M65" s="1"/>
      <c r="N65" s="1"/>
      <c r="O65" s="1"/>
      <c r="P65" s="1"/>
      <c r="Q65" s="1"/>
      <c r="R65" s="1"/>
      <c r="S65" s="1"/>
      <c r="T65" s="1"/>
      <c r="U65" s="101"/>
      <c r="V65" s="102"/>
      <c r="W65" s="101"/>
      <c r="X65" s="102"/>
      <c r="Y65" s="100"/>
      <c r="Z65" s="100"/>
      <c r="AA65" s="107"/>
      <c r="AB65" s="103"/>
    </row>
    <row r="66" spans="2:28" ht="15.5">
      <c r="B66" s="1"/>
      <c r="C66" s="1"/>
      <c r="D66" s="1"/>
      <c r="E66" s="1"/>
      <c r="F66" s="1"/>
      <c r="G66" s="19"/>
      <c r="H66" s="19"/>
      <c r="I66" s="19"/>
      <c r="J66" s="19"/>
      <c r="K66" s="19"/>
      <c r="L66" s="19"/>
      <c r="M66" s="1"/>
      <c r="N66" s="1"/>
      <c r="O66" s="1"/>
      <c r="P66" s="1"/>
      <c r="Q66" s="1"/>
      <c r="R66" s="1"/>
      <c r="S66" s="1"/>
      <c r="T66" s="1"/>
      <c r="U66" s="101"/>
      <c r="V66" s="102"/>
      <c r="W66" s="102"/>
      <c r="X66" s="102"/>
      <c r="Y66" s="102"/>
      <c r="Z66" s="102"/>
      <c r="AA66" s="107"/>
      <c r="AB66" s="103"/>
    </row>
    <row r="67" spans="2:28" ht="15.5">
      <c r="B67" s="1"/>
      <c r="C67" s="1"/>
      <c r="D67" s="1"/>
      <c r="E67" s="1"/>
      <c r="F67" s="1"/>
      <c r="G67" s="19"/>
      <c r="H67" s="19"/>
      <c r="I67" s="19"/>
      <c r="J67" s="19"/>
      <c r="K67" s="19"/>
      <c r="L67" s="19"/>
      <c r="M67" s="1"/>
      <c r="N67" s="1"/>
      <c r="O67" s="1"/>
      <c r="P67" s="1"/>
      <c r="Q67" s="1"/>
      <c r="R67" s="1"/>
      <c r="S67" s="1"/>
      <c r="T67" s="1"/>
      <c r="U67" s="101"/>
      <c r="V67" s="102"/>
      <c r="W67" s="102"/>
      <c r="X67" s="100"/>
      <c r="Y67" s="102"/>
      <c r="Z67" s="102"/>
      <c r="AA67" s="107"/>
      <c r="AB67" s="107"/>
    </row>
    <row r="68" spans="2:28" ht="15.5">
      <c r="B68" s="1"/>
      <c r="C68" s="1"/>
      <c r="D68" s="1"/>
      <c r="E68" s="1"/>
      <c r="F68" s="1"/>
      <c r="G68" s="19"/>
      <c r="H68" s="19"/>
      <c r="I68" s="19"/>
      <c r="J68" s="19"/>
      <c r="K68" s="19"/>
      <c r="L68" s="19"/>
      <c r="M68" s="1"/>
      <c r="N68" s="1"/>
      <c r="O68" s="1"/>
      <c r="P68" s="1"/>
      <c r="Q68" s="1"/>
      <c r="R68" s="1"/>
      <c r="S68" s="1"/>
      <c r="T68" s="1"/>
      <c r="U68" s="101"/>
      <c r="V68" s="546"/>
      <c r="W68" s="546"/>
      <c r="X68" s="103"/>
      <c r="Y68" s="102"/>
      <c r="Z68" s="102"/>
      <c r="AA68" s="100"/>
      <c r="AB68" s="107"/>
    </row>
    <row r="69" spans="2:28" ht="15.5">
      <c r="B69" s="1"/>
      <c r="C69" s="1"/>
      <c r="D69" s="1"/>
      <c r="E69" s="1"/>
      <c r="F69" s="1"/>
      <c r="G69" s="19"/>
      <c r="H69" s="19"/>
      <c r="I69" s="19"/>
      <c r="J69" s="19"/>
      <c r="K69" s="19"/>
      <c r="L69" s="1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00"/>
      <c r="Z69" s="100"/>
      <c r="AA69" s="107"/>
      <c r="AB69" s="100"/>
    </row>
    <row r="70" spans="2:28" ht="15.5">
      <c r="B70" s="1"/>
      <c r="C70" s="1"/>
      <c r="D70" s="1"/>
      <c r="E70" s="1"/>
      <c r="F70" s="1"/>
      <c r="Y70" s="102"/>
      <c r="Z70" s="102"/>
      <c r="AA70" s="102"/>
      <c r="AB70" s="103"/>
    </row>
    <row r="71" spans="2:28" ht="15.5">
      <c r="B71" s="1"/>
      <c r="C71" s="1"/>
      <c r="D71" s="1"/>
      <c r="E71" s="1"/>
      <c r="F71" s="1"/>
      <c r="Y71" s="102"/>
      <c r="Z71" s="102"/>
      <c r="AA71" s="102"/>
      <c r="AB71" s="102"/>
    </row>
    <row r="72" spans="2:28" ht="15.5">
      <c r="B72" s="1"/>
      <c r="C72" s="1"/>
      <c r="D72" s="1"/>
      <c r="E72" s="1"/>
      <c r="F72" s="1"/>
      <c r="Y72" s="100"/>
      <c r="Z72" s="100"/>
      <c r="AA72" s="103"/>
      <c r="AB72" s="102"/>
    </row>
    <row r="73" spans="2:28" ht="15.5">
      <c r="B73" s="1"/>
      <c r="C73" s="1"/>
      <c r="D73" s="1"/>
      <c r="E73" s="1"/>
      <c r="F73" s="1"/>
      <c r="Y73" s="103"/>
      <c r="Z73" s="103"/>
      <c r="AA73" s="100"/>
      <c r="AB73" s="103"/>
    </row>
    <row r="74" spans="2:28" ht="15.5">
      <c r="B74" s="1"/>
      <c r="C74" s="1"/>
      <c r="D74" s="1"/>
      <c r="E74" s="1"/>
      <c r="F74" s="1"/>
      <c r="Y74" s="1"/>
      <c r="Z74" s="1"/>
      <c r="AA74" s="102"/>
      <c r="AB74" s="100"/>
    </row>
    <row r="75" spans="2:28" ht="15.5">
      <c r="B75" s="1"/>
      <c r="C75" s="1"/>
      <c r="D75" s="1"/>
      <c r="E75" s="1"/>
      <c r="AA75" s="102"/>
      <c r="AB75" s="102"/>
    </row>
    <row r="76" spans="2:28" ht="15.5">
      <c r="B76" s="1"/>
      <c r="C76" s="1"/>
      <c r="D76" s="1"/>
      <c r="AA76" s="102"/>
      <c r="AB76" s="102"/>
    </row>
    <row r="77" spans="2:28" ht="15.5">
      <c r="B77" s="1"/>
      <c r="C77" s="1"/>
      <c r="D77" s="1"/>
      <c r="AA77" s="100"/>
      <c r="AB77" s="102"/>
    </row>
    <row r="78" spans="2:28" ht="15.5">
      <c r="B78" s="1"/>
      <c r="C78" s="1"/>
      <c r="D78" s="1"/>
      <c r="AA78" s="102"/>
      <c r="AB78" s="100"/>
    </row>
    <row r="79" spans="2:28" ht="15.5">
      <c r="B79" s="1"/>
      <c r="C79" s="1"/>
      <c r="D79" s="1"/>
      <c r="AA79" s="102"/>
      <c r="AB79" s="102"/>
    </row>
    <row r="80" spans="2:28" ht="15.5">
      <c r="B80" s="1"/>
      <c r="C80" s="1"/>
      <c r="D80" s="1"/>
      <c r="AA80" s="100"/>
      <c r="AB80" s="102"/>
    </row>
    <row r="81" spans="2:28" ht="15.5">
      <c r="B81" s="1"/>
      <c r="C81" s="1"/>
      <c r="D81" s="1"/>
      <c r="AA81" s="103"/>
      <c r="AB81" s="100"/>
    </row>
    <row r="82" spans="2:28" ht="15.5">
      <c r="B82" s="1"/>
      <c r="C82" s="1"/>
      <c r="D82" s="1"/>
      <c r="AA82" s="1"/>
      <c r="AB82" s="103"/>
    </row>
    <row r="83" spans="2:28" ht="15.5">
      <c r="B83" s="1"/>
      <c r="C83" s="1"/>
      <c r="D83" s="1"/>
      <c r="AB83" s="1"/>
    </row>
    <row r="84" spans="2:28" ht="15.5">
      <c r="B84" s="1"/>
      <c r="C84" s="1"/>
      <c r="D84" s="1"/>
    </row>
  </sheetData>
  <autoFilter ref="A1:AE83" xr:uid="{D2A1145E-5B3D-42A6-AF79-8205DD936E8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hiddenButton="1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</autoFilter>
  <mergeCells count="22">
    <mergeCell ref="C2:D2"/>
    <mergeCell ref="G22:L22"/>
    <mergeCell ref="V61:W61"/>
    <mergeCell ref="Z16:Z17"/>
    <mergeCell ref="AA16:AA17"/>
    <mergeCell ref="C36:E36"/>
    <mergeCell ref="C23:E23"/>
    <mergeCell ref="H4:U4"/>
    <mergeCell ref="H8:U8"/>
    <mergeCell ref="AC24:AD24"/>
    <mergeCell ref="AE24:AF24"/>
    <mergeCell ref="V68:W68"/>
    <mergeCell ref="V16:W16"/>
    <mergeCell ref="V17:W17"/>
    <mergeCell ref="X16:Y16"/>
    <mergeCell ref="X17:Y17"/>
    <mergeCell ref="Q22:W22"/>
    <mergeCell ref="V43:W43"/>
    <mergeCell ref="V49:W49"/>
    <mergeCell ref="H17:U17"/>
    <mergeCell ref="H28:U28"/>
    <mergeCell ref="H34:U3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290B4-6E4B-4488-BF2A-C7F7FCF27B6C}">
  <sheetPr codeName="Sheet4"/>
  <dimension ref="A1:AI97"/>
  <sheetViews>
    <sheetView zoomScale="55" zoomScaleNormal="55" workbookViewId="0"/>
  </sheetViews>
  <sheetFormatPr defaultColWidth="8.81640625" defaultRowHeight="14.5"/>
  <cols>
    <col min="1" max="1" width="7.453125" style="6" customWidth="1"/>
    <col min="2" max="2" width="18.7265625" style="6" customWidth="1"/>
    <col min="3" max="3" width="13" style="6" customWidth="1"/>
    <col min="4" max="4" width="13.453125" style="6" bestFit="1" customWidth="1"/>
    <col min="5" max="5" width="18" style="6" bestFit="1" customWidth="1"/>
    <col min="6" max="6" width="13.54296875" style="6" customWidth="1"/>
    <col min="7" max="7" width="15" style="6" bestFit="1" customWidth="1"/>
    <col min="8" max="8" width="14.1796875" style="6" customWidth="1"/>
    <col min="9" max="9" width="15" style="6" customWidth="1"/>
    <col min="10" max="10" width="14" style="6" customWidth="1"/>
    <col min="11" max="11" width="15" style="6" bestFit="1" customWidth="1"/>
    <col min="12" max="12" width="13" style="6" customWidth="1"/>
    <col min="13" max="14" width="14.1796875" style="6" customWidth="1"/>
    <col min="15" max="15" width="14.54296875" style="6" customWidth="1"/>
    <col min="16" max="16" width="20.1796875" style="6" customWidth="1"/>
    <col min="17" max="17" width="13" style="6" customWidth="1"/>
    <col min="18" max="18" width="13.54296875" style="6" customWidth="1"/>
    <col min="19" max="19" width="14" style="6" customWidth="1"/>
    <col min="20" max="20" width="15.54296875" style="6" customWidth="1"/>
    <col min="21" max="21" width="16.54296875" style="6" customWidth="1"/>
    <col min="22" max="23" width="14" style="6" customWidth="1"/>
    <col min="24" max="24" width="29.1796875" style="6" bestFit="1" customWidth="1"/>
    <col min="25" max="25" width="14.81640625" style="6" bestFit="1" customWidth="1"/>
    <col min="26" max="26" width="16.1796875" style="6" customWidth="1"/>
    <col min="27" max="27" width="13.54296875" style="6" customWidth="1"/>
    <col min="28" max="28" width="16.81640625" style="6" customWidth="1"/>
    <col min="29" max="31" width="20.54296875" style="6" customWidth="1"/>
    <col min="32" max="33" width="12.54296875" style="6" customWidth="1"/>
    <col min="34" max="16384" width="8.81640625" style="6"/>
  </cols>
  <sheetData>
    <row r="1" spans="1:31" s="169" customFormat="1" ht="25.5" customHeight="1">
      <c r="A1" s="395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</row>
    <row r="2" spans="1:31">
      <c r="A2" s="84"/>
      <c r="B2" s="569"/>
      <c r="C2" s="569"/>
      <c r="D2" s="569"/>
      <c r="F2" s="84"/>
    </row>
    <row r="3" spans="1:31">
      <c r="E3" s="570" t="s">
        <v>208</v>
      </c>
      <c r="F3" s="570"/>
      <c r="G3" s="570"/>
      <c r="H3" s="570"/>
      <c r="I3" s="570"/>
      <c r="J3" s="570"/>
      <c r="K3" s="570"/>
      <c r="M3" s="108"/>
      <c r="N3" s="108"/>
      <c r="O3" s="108"/>
      <c r="P3" s="570" t="s">
        <v>209</v>
      </c>
      <c r="Q3" s="570"/>
      <c r="R3" s="570"/>
      <c r="S3" s="570"/>
      <c r="T3" s="570"/>
      <c r="U3" s="570"/>
      <c r="V3" s="570"/>
    </row>
    <row r="4" spans="1:31" ht="15.75" customHeight="1">
      <c r="D4" s="146"/>
      <c r="E4" s="146">
        <f>'Sales Allocations &amp; CCC'!$C$3</f>
        <v>2026</v>
      </c>
      <c r="F4" s="705">
        <v>46023</v>
      </c>
      <c r="G4" s="705">
        <f>F4</f>
        <v>46023</v>
      </c>
      <c r="H4" s="706" t="s">
        <v>174</v>
      </c>
      <c r="I4" s="109" t="s">
        <v>174</v>
      </c>
      <c r="J4" s="109" t="s">
        <v>174</v>
      </c>
      <c r="K4" s="109" t="s">
        <v>174</v>
      </c>
      <c r="L4" s="19"/>
      <c r="O4" s="1"/>
      <c r="P4" s="146">
        <v>2025</v>
      </c>
      <c r="Q4" s="176">
        <f>F4</f>
        <v>46023</v>
      </c>
      <c r="R4" s="176">
        <f>F4</f>
        <v>46023</v>
      </c>
      <c r="S4" s="109" t="s">
        <v>174</v>
      </c>
      <c r="T4" s="109" t="s">
        <v>174</v>
      </c>
      <c r="U4" s="109" t="s">
        <v>174</v>
      </c>
      <c r="V4" s="109" t="s">
        <v>174</v>
      </c>
    </row>
    <row r="5" spans="1:31" ht="30.75" customHeight="1">
      <c r="E5" s="109" t="s">
        <v>261</v>
      </c>
      <c r="F5" s="109" t="s">
        <v>175</v>
      </c>
      <c r="G5" s="109" t="s">
        <v>176</v>
      </c>
      <c r="H5" s="109" t="s">
        <v>177</v>
      </c>
      <c r="I5" s="109" t="s">
        <v>178</v>
      </c>
      <c r="J5" s="109" t="s">
        <v>179</v>
      </c>
      <c r="K5" s="109" t="s">
        <v>180</v>
      </c>
      <c r="L5" s="80"/>
      <c r="M5" s="110"/>
      <c r="N5" s="110"/>
      <c r="O5" s="80"/>
      <c r="P5" s="109" t="s">
        <v>126</v>
      </c>
      <c r="Q5" s="109" t="s">
        <v>175</v>
      </c>
      <c r="R5" s="109" t="s">
        <v>176</v>
      </c>
      <c r="S5" s="109" t="s">
        <v>177</v>
      </c>
      <c r="T5" s="109" t="s">
        <v>178</v>
      </c>
      <c r="U5" s="109" t="s">
        <v>179</v>
      </c>
      <c r="V5" s="109" t="s">
        <v>180</v>
      </c>
    </row>
    <row r="6" spans="1:31" ht="42" customHeight="1">
      <c r="B6" s="111"/>
      <c r="D6" s="111"/>
      <c r="E6" s="1"/>
      <c r="F6" s="1"/>
      <c r="G6" s="1"/>
      <c r="J6" s="19"/>
      <c r="K6" s="19"/>
      <c r="L6" s="19"/>
      <c r="O6" s="111"/>
      <c r="P6" s="1"/>
      <c r="Q6" s="1"/>
      <c r="R6" s="1"/>
      <c r="U6" s="19"/>
      <c r="V6" s="19"/>
      <c r="AD6" s="44"/>
      <c r="AE6" s="44"/>
    </row>
    <row r="7" spans="1:31" ht="15.4" customHeight="1">
      <c r="D7" s="112" t="s">
        <v>181</v>
      </c>
      <c r="E7" s="241">
        <v>116485106.94088674</v>
      </c>
      <c r="F7" s="113">
        <v>0.4208350234396428</v>
      </c>
      <c r="G7" s="114">
        <f t="shared" ref="G7:G12" si="0">F7*E7</f>
        <v>49021012.70983737</v>
      </c>
      <c r="H7" s="171">
        <f t="shared" ref="H7:H12" si="1">F7+(F7*$AD$16)</f>
        <v>0.41334873358049345</v>
      </c>
      <c r="I7" s="114">
        <f t="shared" ref="I7:I12" si="2">E7*H7</f>
        <v>48148971.435003877</v>
      </c>
      <c r="J7" s="171">
        <f t="shared" ref="J7:J12" si="3">F7+(F7*$AE$16)</f>
        <v>0.42913814729844324</v>
      </c>
      <c r="K7" s="114">
        <f t="shared" ref="K7:K12" si="4">E7*J7</f>
        <v>49988202.980473168</v>
      </c>
      <c r="L7" s="115"/>
      <c r="O7" s="112" t="s">
        <v>181</v>
      </c>
      <c r="P7" s="241">
        <v>58116210.602119073</v>
      </c>
      <c r="Q7" s="113">
        <v>0.26408999999999999</v>
      </c>
      <c r="R7" s="114">
        <f t="shared" ref="R7:R12" si="5">Q7*P7</f>
        <v>15347910.057913626</v>
      </c>
      <c r="S7" s="171">
        <f>H7*(1+(Q7/F7-1))</f>
        <v>0.25939206808182563</v>
      </c>
      <c r="T7" s="114">
        <f t="shared" ref="T7:T12" si="6">P7*S7</f>
        <v>15074884.057162587</v>
      </c>
      <c r="U7" s="171">
        <f>J7*(1+(Q7/F7-1))</f>
        <v>0.26930052635293578</v>
      </c>
      <c r="V7" s="114">
        <f t="shared" ref="V7:V12" si="7">P7*U7</f>
        <v>15650726.104788734</v>
      </c>
      <c r="W7" s="115"/>
      <c r="X7" s="6" t="s">
        <v>182</v>
      </c>
      <c r="Y7" s="264" t="s">
        <v>112</v>
      </c>
      <c r="Z7" s="264" t="s">
        <v>324</v>
      </c>
      <c r="AA7" s="264" t="s">
        <v>3</v>
      </c>
      <c r="AC7" s="44"/>
      <c r="AD7" s="44"/>
      <c r="AE7" s="44"/>
    </row>
    <row r="8" spans="1:31" ht="15.5">
      <c r="D8" s="116" t="s">
        <v>183</v>
      </c>
      <c r="E8" s="241">
        <v>154152455.51785704</v>
      </c>
      <c r="F8" s="113">
        <v>0.4208350234396428</v>
      </c>
      <c r="G8" s="114">
        <f t="shared" si="0"/>
        <v>64872752.23113586</v>
      </c>
      <c r="H8" s="171">
        <f t="shared" si="1"/>
        <v>0.41334873358049345</v>
      </c>
      <c r="I8" s="114">
        <f t="shared" si="2"/>
        <v>63718722.266629562</v>
      </c>
      <c r="J8" s="171">
        <f t="shared" si="3"/>
        <v>0.42913814729844324</v>
      </c>
      <c r="K8" s="114">
        <f t="shared" si="4"/>
        <v>66152699.162438855</v>
      </c>
      <c r="L8" s="115"/>
      <c r="O8" s="116" t="s">
        <v>183</v>
      </c>
      <c r="P8" s="241">
        <v>78094743.784878477</v>
      </c>
      <c r="Q8" s="113">
        <v>0.26408999999999999</v>
      </c>
      <c r="R8" s="114">
        <f t="shared" si="5"/>
        <v>20624040.886148557</v>
      </c>
      <c r="S8" s="171">
        <f>H8*(1+(Q8/F8-1))</f>
        <v>0.25939206808182563</v>
      </c>
      <c r="T8" s="114">
        <f t="shared" si="6"/>
        <v>20257157.096679926</v>
      </c>
      <c r="U8" s="171">
        <f>J8*(1+(Q8/F8-1))</f>
        <v>0.26930052635293578</v>
      </c>
      <c r="V8" s="114">
        <f t="shared" si="7"/>
        <v>21030955.606665432</v>
      </c>
      <c r="W8" s="115"/>
      <c r="X8" s="6" t="s">
        <v>184</v>
      </c>
      <c r="Y8" s="715">
        <v>1686164600</v>
      </c>
      <c r="Z8" s="715">
        <v>1455893922</v>
      </c>
      <c r="AA8" s="715">
        <v>230270678</v>
      </c>
      <c r="AC8" s="96"/>
      <c r="AD8" s="96"/>
      <c r="AE8" s="96"/>
    </row>
    <row r="9" spans="1:31" ht="15.5">
      <c r="D9" s="112" t="s">
        <v>210</v>
      </c>
      <c r="E9" s="241">
        <v>89068921.568368956</v>
      </c>
      <c r="F9" s="113">
        <v>0.52988360789167288</v>
      </c>
      <c r="G9" s="114">
        <f t="shared" si="0"/>
        <v>47196161.511667781</v>
      </c>
      <c r="H9" s="171">
        <f t="shared" si="1"/>
        <v>0.52045743834935143</v>
      </c>
      <c r="I9" s="114">
        <f t="shared" si="2"/>
        <v>46356582.756012604</v>
      </c>
      <c r="J9" s="171">
        <f t="shared" si="3"/>
        <v>0.54033827297898496</v>
      </c>
      <c r="K9" s="114">
        <f t="shared" si="4"/>
        <v>48127347.256353147</v>
      </c>
      <c r="L9" s="115"/>
      <c r="O9" s="112" t="s">
        <v>210</v>
      </c>
      <c r="P9" s="241">
        <v>30578684.714064509</v>
      </c>
      <c r="Q9" s="113">
        <v>0.33495999999999998</v>
      </c>
      <c r="R9" s="114">
        <f t="shared" si="5"/>
        <v>10242636.231823048</v>
      </c>
      <c r="S9" s="171">
        <f>H9*(1+(Q9/F9-1))</f>
        <v>0.32900135228402561</v>
      </c>
      <c r="T9" s="114">
        <f t="shared" si="6"/>
        <v>10060428.621994086</v>
      </c>
      <c r="U9" s="171">
        <f>J9*(1+(Q9/F9-1))</f>
        <v>0.3415687996788192</v>
      </c>
      <c r="V9" s="114">
        <f t="shared" si="7"/>
        <v>10444724.633540072</v>
      </c>
      <c r="W9" s="115"/>
      <c r="X9" s="6" t="s">
        <v>186</v>
      </c>
      <c r="Y9" s="170">
        <f>SUM('SAR and RAR'!W19+'SAR and RAR'!Z19-'SAR and RAR'!L10)*1000-Y8</f>
        <v>58824593.595947981</v>
      </c>
      <c r="Z9" s="170">
        <f>(('SAR and RAR'!W19-'SAR and RAR'!L10)*1000)-Z8</f>
        <v>48767353.791656971</v>
      </c>
      <c r="AA9" s="170">
        <f>('SAR and RAR'!Z19*1000)-AA8</f>
        <v>10057239.80429095</v>
      </c>
      <c r="AD9" s="44"/>
      <c r="AE9" s="44"/>
    </row>
    <row r="10" spans="1:31" ht="15.5">
      <c r="D10" s="116" t="s">
        <v>183</v>
      </c>
      <c r="E10" s="241">
        <v>84528618.696129948</v>
      </c>
      <c r="F10" s="113">
        <v>0.52988360789167288</v>
      </c>
      <c r="G10" s="114">
        <f t="shared" si="0"/>
        <v>44790329.444804847</v>
      </c>
      <c r="H10" s="171">
        <f t="shared" si="1"/>
        <v>0.52045743834935143</v>
      </c>
      <c r="I10" s="114">
        <f t="shared" si="2"/>
        <v>43993548.353796884</v>
      </c>
      <c r="J10" s="171">
        <f t="shared" si="3"/>
        <v>0.54033827297898496</v>
      </c>
      <c r="K10" s="114">
        <f t="shared" si="4"/>
        <v>45674047.843565993</v>
      </c>
      <c r="L10" s="115"/>
      <c r="O10" s="116" t="s">
        <v>183</v>
      </c>
      <c r="P10" s="241">
        <v>31395953.493242923</v>
      </c>
      <c r="Q10" s="113">
        <v>0.33495999999999998</v>
      </c>
      <c r="R10" s="114">
        <f t="shared" si="5"/>
        <v>10516388.582096649</v>
      </c>
      <c r="S10" s="171">
        <f>H10*(1+(Q10/F10-1))</f>
        <v>0.32900135228402561</v>
      </c>
      <c r="T10" s="114">
        <f t="shared" si="6"/>
        <v>10329311.1555233</v>
      </c>
      <c r="U10" s="171">
        <f>J10*(1+(Q10/F10-1))</f>
        <v>0.3415687996788192</v>
      </c>
      <c r="V10" s="114">
        <f t="shared" si="7"/>
        <v>10723878.149459016</v>
      </c>
      <c r="W10" s="115"/>
      <c r="X10" s="6" t="s">
        <v>187</v>
      </c>
      <c r="Y10" s="117">
        <f>Y8+Y9</f>
        <v>1744989193.595948</v>
      </c>
      <c r="Z10" s="117">
        <f>Z8+Z9</f>
        <v>1504661275.791657</v>
      </c>
      <c r="AA10" s="117">
        <f>AA8+AA9</f>
        <v>240327917.80429095</v>
      </c>
      <c r="AC10" s="44"/>
      <c r="AD10" s="44"/>
      <c r="AE10" s="44"/>
    </row>
    <row r="11" spans="1:31" ht="15.5">
      <c r="D11" s="112" t="s">
        <v>188</v>
      </c>
      <c r="E11" s="241">
        <v>0</v>
      </c>
      <c r="F11" s="113">
        <v>0</v>
      </c>
      <c r="G11" s="114">
        <f t="shared" si="0"/>
        <v>0</v>
      </c>
      <c r="H11" s="171">
        <f t="shared" si="1"/>
        <v>0</v>
      </c>
      <c r="I11" s="114">
        <f t="shared" si="2"/>
        <v>0</v>
      </c>
      <c r="J11" s="171">
        <f t="shared" si="3"/>
        <v>0</v>
      </c>
      <c r="K11" s="114">
        <f t="shared" si="4"/>
        <v>0</v>
      </c>
      <c r="L11" s="115"/>
      <c r="O11" s="112" t="s">
        <v>188</v>
      </c>
      <c r="P11" s="241">
        <v>0</v>
      </c>
      <c r="Q11" s="113">
        <v>0</v>
      </c>
      <c r="R11" s="114">
        <f t="shared" si="5"/>
        <v>0</v>
      </c>
      <c r="S11" s="171">
        <f>Q11+(Q11*$AD$16)</f>
        <v>0</v>
      </c>
      <c r="T11" s="114">
        <f t="shared" si="6"/>
        <v>0</v>
      </c>
      <c r="U11" s="171">
        <f>S11+(S11*$AD$16)</f>
        <v>0</v>
      </c>
      <c r="V11" s="114">
        <f t="shared" si="7"/>
        <v>0</v>
      </c>
      <c r="W11" s="115"/>
      <c r="X11" s="6" t="s">
        <v>189</v>
      </c>
      <c r="Y11" s="212">
        <f>SUM('SAR and RAR'!Y19+'SAR and RAR'!AA19-'SAR and RAR'!L13)*1000-Y8</f>
        <v>152660057.96156001</v>
      </c>
      <c r="Z11" s="212">
        <f>(('SAR and RAR'!Y19-'SAR and RAR'!L13)*1000)-Z8</f>
        <v>142332337.61884046</v>
      </c>
      <c r="AA11" s="212">
        <f>('SAR and RAR'!AA19*1000)-AA8</f>
        <v>10327720.342719436</v>
      </c>
      <c r="AC11" s="96"/>
      <c r="AD11" s="266"/>
      <c r="AE11" s="267"/>
    </row>
    <row r="12" spans="1:31" ht="15.5">
      <c r="D12" s="116" t="s">
        <v>183</v>
      </c>
      <c r="E12" s="241">
        <v>0</v>
      </c>
      <c r="F12" s="113">
        <v>0</v>
      </c>
      <c r="G12" s="114">
        <f t="shared" si="0"/>
        <v>0</v>
      </c>
      <c r="H12" s="171">
        <f t="shared" si="1"/>
        <v>0</v>
      </c>
      <c r="I12" s="114">
        <f t="shared" si="2"/>
        <v>0</v>
      </c>
      <c r="J12" s="171">
        <f t="shared" si="3"/>
        <v>0</v>
      </c>
      <c r="K12" s="114">
        <f t="shared" si="4"/>
        <v>0</v>
      </c>
      <c r="L12" s="115"/>
      <c r="O12" s="116" t="s">
        <v>183</v>
      </c>
      <c r="P12" s="241">
        <v>0</v>
      </c>
      <c r="Q12" s="113">
        <v>0</v>
      </c>
      <c r="R12" s="114">
        <f t="shared" si="5"/>
        <v>0</v>
      </c>
      <c r="S12" s="171">
        <f>Q12+(Q12*$AD$16)</f>
        <v>0</v>
      </c>
      <c r="T12" s="114">
        <f t="shared" si="6"/>
        <v>0</v>
      </c>
      <c r="U12" s="171">
        <f>S12+(S12*$AD$16)</f>
        <v>0</v>
      </c>
      <c r="V12" s="114">
        <f t="shared" si="7"/>
        <v>0</v>
      </c>
      <c r="W12" s="115"/>
      <c r="X12" s="6" t="s">
        <v>190</v>
      </c>
      <c r="Y12" s="117">
        <f>Y8+Y11</f>
        <v>1838824657.96156</v>
      </c>
      <c r="Z12" s="117">
        <f>Z8+Z11</f>
        <v>1598226259.6188405</v>
      </c>
      <c r="AA12" s="117">
        <f>AA8+AA11</f>
        <v>240598398.34271944</v>
      </c>
    </row>
    <row r="13" spans="1:31" ht="15.5">
      <c r="D13" s="116"/>
      <c r="E13" s="118"/>
      <c r="F13" s="119"/>
      <c r="G13" s="120"/>
      <c r="H13" s="1"/>
      <c r="I13" s="121"/>
      <c r="J13" s="1"/>
      <c r="K13" s="121"/>
      <c r="L13" s="115"/>
      <c r="O13" s="116"/>
      <c r="P13" s="120"/>
      <c r="Q13" s="119"/>
      <c r="R13" s="120"/>
      <c r="S13" s="1"/>
      <c r="T13" s="121"/>
      <c r="U13" s="1"/>
      <c r="V13" s="121"/>
      <c r="Z13" s="303"/>
    </row>
    <row r="14" spans="1:31" ht="15.5">
      <c r="D14" s="116"/>
      <c r="E14" s="707" t="s">
        <v>471</v>
      </c>
      <c r="F14" s="113">
        <v>0.79342999999999997</v>
      </c>
      <c r="G14" s="119"/>
      <c r="H14" s="171"/>
      <c r="I14" s="120"/>
      <c r="J14" s="120"/>
      <c r="K14" s="120"/>
      <c r="L14" s="115"/>
      <c r="O14" s="116"/>
      <c r="P14" s="707" t="s">
        <v>471</v>
      </c>
      <c r="Q14" s="113">
        <v>0.19713</v>
      </c>
      <c r="R14" s="119"/>
      <c r="S14" s="114"/>
      <c r="T14" s="120"/>
      <c r="U14" s="120"/>
      <c r="V14" s="120"/>
      <c r="X14" s="6" t="s">
        <v>362</v>
      </c>
      <c r="Y14" s="264" t="s">
        <v>112</v>
      </c>
      <c r="Z14" s="264" t="s">
        <v>324</v>
      </c>
      <c r="AA14" s="264" t="s">
        <v>3</v>
      </c>
      <c r="AD14" s="44" t="s">
        <v>326</v>
      </c>
      <c r="AE14" s="44" t="s">
        <v>328</v>
      </c>
    </row>
    <row r="15" spans="1:31" ht="15.5">
      <c r="D15" s="116"/>
      <c r="E15" s="707" t="s">
        <v>472</v>
      </c>
      <c r="F15" s="708">
        <f>F14*30</f>
        <v>23.802899999999998</v>
      </c>
      <c r="G15" s="462" t="s">
        <v>473</v>
      </c>
      <c r="I15" s="120"/>
      <c r="J15" s="239"/>
      <c r="K15" s="120"/>
      <c r="L15" s="115"/>
      <c r="O15" s="122"/>
      <c r="P15" s="707" t="s">
        <v>472</v>
      </c>
      <c r="Q15" s="708">
        <f>Q14*30</f>
        <v>5.9138999999999999</v>
      </c>
      <c r="R15" s="462" t="s">
        <v>473</v>
      </c>
      <c r="T15" s="120"/>
      <c r="U15" s="120"/>
      <c r="V15" s="120"/>
      <c r="X15" s="6" t="s">
        <v>363</v>
      </c>
      <c r="Y15" s="303">
        <f>+Z15+AA15</f>
        <v>45.698999999999998</v>
      </c>
      <c r="Z15" s="303">
        <v>28.167000000000002</v>
      </c>
      <c r="AA15" s="303">
        <v>17.532</v>
      </c>
      <c r="AC15" s="131" t="s">
        <v>325</v>
      </c>
      <c r="AD15" s="264" t="s">
        <v>327</v>
      </c>
      <c r="AE15" s="264" t="s">
        <v>327</v>
      </c>
    </row>
    <row r="16" spans="1:31" ht="15.5">
      <c r="E16" s="242"/>
      <c r="P16" s="120"/>
      <c r="Q16" s="119"/>
      <c r="X16" s="6" t="s">
        <v>187</v>
      </c>
      <c r="Y16" s="303">
        <f>+Z16+AA16</f>
        <v>44.886054448374985</v>
      </c>
      <c r="Z16" s="303">
        <f>SUM('SAR and RAR'!J30:K30,'SAR and RAR'!M30:T30)</f>
        <v>26.587883061985682</v>
      </c>
      <c r="AA16" s="303">
        <f>'SAR and RAR'!H30</f>
        <v>18.298171386389303</v>
      </c>
      <c r="AC16" s="6">
        <f>'SAR and RAR'!$AF$26/100</f>
        <v>0.45699000000000001</v>
      </c>
      <c r="AD16" s="305">
        <f>$Y17/100/$AC$16</f>
        <v>-1.7789132182870811E-2</v>
      </c>
      <c r="AE16" s="305">
        <f>$Y19/100/$AC$16</f>
        <v>1.9730116070035879E-2</v>
      </c>
    </row>
    <row r="17" spans="1:31">
      <c r="O17" s="123"/>
      <c r="X17" s="6" t="s">
        <v>186</v>
      </c>
      <c r="Y17" s="432">
        <f>+Y16-Y15</f>
        <v>-0.81294555162501325</v>
      </c>
      <c r="Z17" s="303">
        <f>+Z16-Z15</f>
        <v>-1.5791169380143195</v>
      </c>
      <c r="AA17" s="303">
        <f>+AA16-AA15</f>
        <v>0.76617138638930271</v>
      </c>
      <c r="AD17" s="431"/>
      <c r="AE17" s="431"/>
    </row>
    <row r="18" spans="1:31">
      <c r="X18" s="6" t="s">
        <v>190</v>
      </c>
      <c r="Y18" s="303">
        <f>+Z18+AA18</f>
        <v>46.600646574284568</v>
      </c>
      <c r="Z18" s="303">
        <f>SUM('SAR and RAR'!J36:K36,'SAR and RAR'!M36:T36)</f>
        <v>28.281881245693018</v>
      </c>
      <c r="AA18" s="303">
        <f>'SAR and RAR'!H36</f>
        <v>18.318765328591549</v>
      </c>
      <c r="AD18" s="165"/>
      <c r="AE18" s="165"/>
    </row>
    <row r="19" spans="1:31">
      <c r="B19" s="7"/>
      <c r="P19" s="709" t="s">
        <v>519</v>
      </c>
      <c r="X19" s="6" t="s">
        <v>189</v>
      </c>
      <c r="Y19" s="432">
        <f>+Y18-Y15</f>
        <v>0.90164657428456962</v>
      </c>
      <c r="Z19" s="303">
        <f>+Z18-Z15</f>
        <v>0.11488124569301661</v>
      </c>
      <c r="AA19" s="303">
        <f>+AA18-AA15</f>
        <v>0.78676532859154946</v>
      </c>
      <c r="AD19" s="165"/>
      <c r="AE19" s="165"/>
    </row>
    <row r="20" spans="1:31">
      <c r="B20" s="124" t="s">
        <v>211</v>
      </c>
      <c r="C20" s="124"/>
      <c r="E20" s="125" t="s">
        <v>174</v>
      </c>
      <c r="F20" s="125" t="s">
        <v>174</v>
      </c>
      <c r="H20" s="124" t="s">
        <v>271</v>
      </c>
      <c r="I20" s="124"/>
      <c r="J20" s="124"/>
      <c r="K20" s="124" t="s">
        <v>272</v>
      </c>
      <c r="L20" s="124"/>
      <c r="M20" s="124"/>
      <c r="N20" s="124"/>
      <c r="P20" s="126" t="s">
        <v>191</v>
      </c>
      <c r="Q20" s="127" t="s">
        <v>192</v>
      </c>
      <c r="R20" s="127" t="s">
        <v>193</v>
      </c>
      <c r="S20" s="127" t="s">
        <v>192</v>
      </c>
      <c r="T20" s="127" t="s">
        <v>193</v>
      </c>
      <c r="U20" s="710" t="s">
        <v>196</v>
      </c>
      <c r="V20" s="711"/>
      <c r="Y20" s="175"/>
      <c r="AD20" s="165"/>
      <c r="AE20" s="165"/>
    </row>
    <row r="21" spans="1:31" ht="15.5">
      <c r="B21" s="128" t="s">
        <v>175</v>
      </c>
      <c r="C21" s="129" t="str">
        <f>Summary!D31</f>
        <v>10/1/2025</v>
      </c>
      <c r="D21" s="323" t="str">
        <f>Summary!E31</f>
        <v>1/1/26</v>
      </c>
      <c r="E21" s="130" t="s">
        <v>154</v>
      </c>
      <c r="F21" s="130" t="s">
        <v>162</v>
      </c>
      <c r="H21" s="131" t="s">
        <v>191</v>
      </c>
      <c r="I21" s="131" t="s">
        <v>192</v>
      </c>
      <c r="J21" s="131" t="s">
        <v>193</v>
      </c>
      <c r="K21" s="131" t="s">
        <v>191</v>
      </c>
      <c r="L21" s="131" t="s">
        <v>192</v>
      </c>
      <c r="M21" s="131" t="s">
        <v>193</v>
      </c>
      <c r="P21" s="49"/>
      <c r="Q21" s="560" t="s">
        <v>149</v>
      </c>
      <c r="R21" s="562"/>
      <c r="S21" s="560" t="s">
        <v>150</v>
      </c>
      <c r="T21" s="562"/>
      <c r="U21" s="584" t="s">
        <v>149</v>
      </c>
      <c r="V21" s="584" t="s">
        <v>150</v>
      </c>
      <c r="Y21" s="433"/>
      <c r="Z21" s="301"/>
      <c r="AA21" s="301"/>
      <c r="AB21" s="44"/>
      <c r="AC21" s="44"/>
      <c r="AD21" s="44"/>
    </row>
    <row r="22" spans="1:31" ht="15.5">
      <c r="A22" s="6" t="s">
        <v>192</v>
      </c>
      <c r="B22" s="132" t="s">
        <v>194</v>
      </c>
      <c r="C22" s="219">
        <v>0.3739683403997679</v>
      </c>
      <c r="D22" s="134">
        <f>F7</f>
        <v>0.4208350234396428</v>
      </c>
      <c r="E22" s="135">
        <f>H7</f>
        <v>0.41334873358049345</v>
      </c>
      <c r="F22" s="135">
        <f>J7</f>
        <v>0.42913814729844324</v>
      </c>
      <c r="H22" s="6" t="s">
        <v>125</v>
      </c>
      <c r="I22" s="153">
        <v>351</v>
      </c>
      <c r="J22" s="153">
        <v>359</v>
      </c>
      <c r="K22" s="6" t="s">
        <v>125</v>
      </c>
      <c r="L22" s="153">
        <v>235</v>
      </c>
      <c r="M22" s="153">
        <v>343</v>
      </c>
      <c r="N22" s="117"/>
      <c r="P22" s="209" t="s">
        <v>223</v>
      </c>
      <c r="Q22" s="137">
        <v>334.36541599999998</v>
      </c>
      <c r="R22" s="137">
        <v>309.27334100000002</v>
      </c>
      <c r="S22" s="137">
        <v>329.33632999999998</v>
      </c>
      <c r="T22" s="137">
        <v>300.562815</v>
      </c>
      <c r="U22" s="712">
        <v>0.59302976011933228</v>
      </c>
      <c r="V22" s="712">
        <v>0.5004157582517873</v>
      </c>
      <c r="Y22" s="434"/>
      <c r="Z22" s="509"/>
      <c r="AA22" s="509"/>
      <c r="AB22" s="509"/>
      <c r="AC22" s="509"/>
      <c r="AD22" s="302"/>
    </row>
    <row r="23" spans="1:31" ht="15.5">
      <c r="B23" s="132" t="s">
        <v>195</v>
      </c>
      <c r="C23" s="133">
        <v>0.47087262801621554</v>
      </c>
      <c r="D23" s="134">
        <f>F9</f>
        <v>0.52988360789167288</v>
      </c>
      <c r="E23" s="135">
        <f>H9</f>
        <v>0.52045743834935143</v>
      </c>
      <c r="F23" s="135">
        <f>J9</f>
        <v>0.54033827297898496</v>
      </c>
      <c r="H23" s="6" t="s">
        <v>197</v>
      </c>
      <c r="I23" s="153">
        <v>530</v>
      </c>
      <c r="J23" s="153">
        <v>503</v>
      </c>
      <c r="K23" s="6" t="s">
        <v>197</v>
      </c>
      <c r="L23" s="153">
        <v>593</v>
      </c>
      <c r="M23" s="153">
        <v>863</v>
      </c>
      <c r="N23" s="117"/>
      <c r="P23" s="210" t="s">
        <v>225</v>
      </c>
      <c r="Q23" s="137">
        <v>370.89176200000003</v>
      </c>
      <c r="R23" s="137">
        <v>320.932299</v>
      </c>
      <c r="S23" s="137">
        <v>595.62742000000003</v>
      </c>
      <c r="T23" s="137">
        <v>535.42582900000002</v>
      </c>
      <c r="U23" s="712">
        <v>8.43340424866614E-3</v>
      </c>
      <c r="V23" s="712">
        <v>7.9450387872027576E-3</v>
      </c>
      <c r="Z23" s="509"/>
      <c r="AA23" s="509"/>
      <c r="AB23" s="509"/>
      <c r="AC23" s="509"/>
      <c r="AD23" s="302"/>
    </row>
    <row r="24" spans="1:31" ht="15.5">
      <c r="B24" s="132"/>
      <c r="C24" s="133"/>
      <c r="D24" s="134"/>
      <c r="E24" s="135"/>
      <c r="F24" s="135"/>
      <c r="H24" s="6" t="s">
        <v>198</v>
      </c>
      <c r="I24" s="154">
        <v>620</v>
      </c>
      <c r="J24" s="153">
        <v>425</v>
      </c>
      <c r="K24" s="6" t="s">
        <v>198</v>
      </c>
      <c r="L24" s="154">
        <v>662</v>
      </c>
      <c r="M24" s="153">
        <v>667</v>
      </c>
      <c r="N24" s="117"/>
      <c r="P24" s="210" t="s">
        <v>222</v>
      </c>
      <c r="Q24" s="137">
        <v>400.96965999999998</v>
      </c>
      <c r="R24" s="137">
        <v>153.73130499999999</v>
      </c>
      <c r="S24" s="137">
        <v>651.39212799999996</v>
      </c>
      <c r="T24" s="137">
        <v>320.86506100000003</v>
      </c>
      <c r="U24" s="712">
        <v>1.1233729911021911E-3</v>
      </c>
      <c r="V24" s="712">
        <v>1.5362774425797293E-3</v>
      </c>
      <c r="W24" s="445"/>
      <c r="X24" s="445"/>
      <c r="Z24" s="509"/>
      <c r="AA24" s="509"/>
      <c r="AB24" s="509"/>
      <c r="AC24" s="509"/>
      <c r="AD24" s="302"/>
      <c r="AE24" s="302"/>
    </row>
    <row r="25" spans="1:31" ht="15.5">
      <c r="A25" s="167" t="s">
        <v>193</v>
      </c>
      <c r="B25" s="172" t="s">
        <v>194</v>
      </c>
      <c r="C25" s="173">
        <v>0.3739683403997679</v>
      </c>
      <c r="D25" s="173">
        <f>F8</f>
        <v>0.4208350234396428</v>
      </c>
      <c r="E25" s="173">
        <f>H8</f>
        <v>0.41334873358049345</v>
      </c>
      <c r="F25" s="173">
        <f>J8</f>
        <v>0.42913814729844324</v>
      </c>
      <c r="H25" s="6" t="s">
        <v>199</v>
      </c>
      <c r="I25" s="153">
        <v>406</v>
      </c>
      <c r="J25" s="153">
        <v>374</v>
      </c>
      <c r="K25" s="6" t="s">
        <v>199</v>
      </c>
      <c r="L25" s="153">
        <v>341</v>
      </c>
      <c r="M25" s="153">
        <v>475</v>
      </c>
      <c r="N25" s="117"/>
      <c r="P25" s="211" t="s">
        <v>224</v>
      </c>
      <c r="Q25" s="143">
        <v>325.12078600000001</v>
      </c>
      <c r="R25" s="143">
        <v>273.16046899999998</v>
      </c>
      <c r="S25" s="143">
        <v>427.16779600000001</v>
      </c>
      <c r="T25" s="143">
        <v>342.00768900000003</v>
      </c>
      <c r="U25" s="712">
        <v>0.39741346264089933</v>
      </c>
      <c r="V25" s="712">
        <v>0.49010292551843027</v>
      </c>
      <c r="Z25" s="509"/>
      <c r="AA25" s="509"/>
      <c r="AB25" s="509"/>
      <c r="AC25" s="509"/>
    </row>
    <row r="26" spans="1:31">
      <c r="A26" s="167"/>
      <c r="B26" s="172" t="s">
        <v>195</v>
      </c>
      <c r="C26" s="173">
        <v>0.47087262801621554</v>
      </c>
      <c r="D26" s="173">
        <f>F10</f>
        <v>0.52988360789167288</v>
      </c>
      <c r="E26" s="173">
        <f>H10</f>
        <v>0.52045743834935143</v>
      </c>
      <c r="F26" s="173">
        <f>J10</f>
        <v>0.54033827297898496</v>
      </c>
      <c r="I26" s="117"/>
      <c r="J26" s="117"/>
      <c r="M26" s="117"/>
      <c r="N26" s="117"/>
      <c r="Q26" s="147"/>
      <c r="R26" s="147"/>
      <c r="S26" s="147"/>
      <c r="T26" s="147"/>
      <c r="U26" s="138"/>
      <c r="V26" s="138"/>
    </row>
    <row r="27" spans="1:31">
      <c r="A27" s="167"/>
      <c r="B27" s="172"/>
      <c r="C27" s="173"/>
      <c r="D27" s="173"/>
      <c r="E27" s="173"/>
      <c r="F27" s="173"/>
      <c r="I27" s="117"/>
      <c r="J27" s="117"/>
      <c r="M27" s="117"/>
      <c r="N27" s="117"/>
      <c r="Q27" s="147"/>
      <c r="R27" s="147"/>
      <c r="S27" s="147"/>
      <c r="T27" s="147"/>
      <c r="U27" s="138"/>
      <c r="V27" s="138"/>
    </row>
    <row r="28" spans="1:31">
      <c r="I28" s="117"/>
      <c r="J28" s="117"/>
      <c r="M28" s="117"/>
      <c r="N28" s="117"/>
      <c r="P28" s="709" t="s">
        <v>520</v>
      </c>
      <c r="U28" s="709"/>
      <c r="V28" s="709"/>
    </row>
    <row r="29" spans="1:31">
      <c r="B29" s="124" t="s">
        <v>247</v>
      </c>
      <c r="C29" s="124"/>
      <c r="D29" s="124"/>
      <c r="E29" s="125" t="s">
        <v>174</v>
      </c>
      <c r="F29" s="125" t="s">
        <v>174</v>
      </c>
      <c r="H29" s="124" t="s">
        <v>267</v>
      </c>
      <c r="I29" s="124"/>
      <c r="J29" s="124"/>
      <c r="K29" s="124" t="s">
        <v>266</v>
      </c>
      <c r="L29" s="124"/>
      <c r="M29" s="124"/>
      <c r="N29" s="124"/>
      <c r="P29" s="126" t="s">
        <v>191</v>
      </c>
      <c r="Q29" s="127" t="s">
        <v>192</v>
      </c>
      <c r="R29" s="127" t="s">
        <v>193</v>
      </c>
      <c r="S29" s="127" t="s">
        <v>192</v>
      </c>
      <c r="T29" s="127" t="s">
        <v>193</v>
      </c>
      <c r="U29" s="710" t="s">
        <v>196</v>
      </c>
      <c r="V29" s="711"/>
    </row>
    <row r="30" spans="1:31">
      <c r="B30" s="128" t="s">
        <v>175</v>
      </c>
      <c r="C30" s="129" t="str">
        <f>C21</f>
        <v>10/1/2025</v>
      </c>
      <c r="D30" s="129" t="str">
        <f>D21</f>
        <v>1/1/26</v>
      </c>
      <c r="E30" s="130" t="s">
        <v>154</v>
      </c>
      <c r="F30" s="130" t="s">
        <v>162</v>
      </c>
      <c r="H30" s="131" t="s">
        <v>191</v>
      </c>
      <c r="I30" s="131" t="s">
        <v>192</v>
      </c>
      <c r="J30" s="131" t="s">
        <v>193</v>
      </c>
      <c r="K30" s="131" t="s">
        <v>191</v>
      </c>
      <c r="L30" s="131" t="s">
        <v>192</v>
      </c>
      <c r="M30" s="131" t="s">
        <v>193</v>
      </c>
      <c r="P30" s="49"/>
      <c r="Q30" s="560" t="s">
        <v>149</v>
      </c>
      <c r="R30" s="562"/>
      <c r="S30" s="560" t="s">
        <v>150</v>
      </c>
      <c r="T30" s="562"/>
      <c r="U30" s="584" t="s">
        <v>149</v>
      </c>
      <c r="V30" s="584" t="s">
        <v>150</v>
      </c>
    </row>
    <row r="31" spans="1:31" ht="15.5">
      <c r="A31" s="6" t="s">
        <v>192</v>
      </c>
      <c r="B31" s="132" t="s">
        <v>194</v>
      </c>
      <c r="C31" s="133">
        <v>0.23921000000000001</v>
      </c>
      <c r="D31" s="134">
        <f>Q7</f>
        <v>0.26408999999999999</v>
      </c>
      <c r="E31" s="135">
        <f>S7</f>
        <v>0.25939206808182563</v>
      </c>
      <c r="F31" s="135">
        <f>U7</f>
        <v>0.26930052635293578</v>
      </c>
      <c r="G31" s="151"/>
      <c r="H31" s="6" t="s">
        <v>125</v>
      </c>
      <c r="I31" s="153">
        <v>270</v>
      </c>
      <c r="J31" s="153">
        <v>276</v>
      </c>
      <c r="K31" s="6" t="s">
        <v>125</v>
      </c>
      <c r="L31" s="153">
        <v>181</v>
      </c>
      <c r="M31" s="153">
        <v>264</v>
      </c>
      <c r="N31" s="117"/>
      <c r="P31" s="209" t="s">
        <v>223</v>
      </c>
      <c r="Q31" s="137">
        <v>283.425005</v>
      </c>
      <c r="R31" s="137">
        <v>272.60744599999998</v>
      </c>
      <c r="S31" s="137">
        <v>293.30439200000001</v>
      </c>
      <c r="T31" s="137">
        <v>284.82109400000002</v>
      </c>
      <c r="U31" s="712">
        <v>0.58383763710758863</v>
      </c>
      <c r="V31" s="712">
        <v>0.44804334178157046</v>
      </c>
      <c r="Z31" s="509"/>
      <c r="AA31" s="509"/>
      <c r="AB31" s="509"/>
      <c r="AC31" s="509"/>
    </row>
    <row r="32" spans="1:31" ht="15.5">
      <c r="B32" s="132" t="s">
        <v>195</v>
      </c>
      <c r="C32" s="133">
        <v>0.30220000000000002</v>
      </c>
      <c r="D32" s="134">
        <f>Q9</f>
        <v>0.33495999999999998</v>
      </c>
      <c r="E32" s="135">
        <f>S9</f>
        <v>0.32900135228402561</v>
      </c>
      <c r="F32" s="135">
        <f>U9</f>
        <v>0.3415687996788192</v>
      </c>
      <c r="G32" s="151"/>
      <c r="H32" s="6" t="s">
        <v>197</v>
      </c>
      <c r="I32" s="153">
        <v>408</v>
      </c>
      <c r="J32" s="153">
        <v>387</v>
      </c>
      <c r="K32" s="6" t="s">
        <v>197</v>
      </c>
      <c r="L32" s="153">
        <v>456</v>
      </c>
      <c r="M32" s="153">
        <v>664</v>
      </c>
      <c r="N32" s="117"/>
      <c r="P32" s="210" t="s">
        <v>225</v>
      </c>
      <c r="Q32" s="137">
        <v>393.67990800000001</v>
      </c>
      <c r="R32" s="137">
        <v>457.21679599999999</v>
      </c>
      <c r="S32" s="137">
        <v>614.42968800000006</v>
      </c>
      <c r="T32" s="137">
        <v>691.41233199999999</v>
      </c>
      <c r="U32" s="712">
        <v>2.0596224598562734E-2</v>
      </c>
      <c r="V32" s="712">
        <v>1.4334875717906388E-2</v>
      </c>
      <c r="Z32" s="509"/>
      <c r="AA32" s="509"/>
      <c r="AB32" s="509"/>
      <c r="AC32" s="509"/>
    </row>
    <row r="33" spans="1:35" ht="15.5">
      <c r="B33" s="132"/>
      <c r="C33" s="133"/>
      <c r="D33" s="134"/>
      <c r="E33" s="135"/>
      <c r="F33" s="135"/>
      <c r="H33" s="6" t="s">
        <v>198</v>
      </c>
      <c r="I33" s="154">
        <v>477</v>
      </c>
      <c r="J33" s="153">
        <v>327</v>
      </c>
      <c r="K33" s="6" t="s">
        <v>198</v>
      </c>
      <c r="L33" s="154">
        <v>509</v>
      </c>
      <c r="M33" s="153">
        <v>513</v>
      </c>
      <c r="N33" s="117"/>
      <c r="P33" s="210" t="s">
        <v>222</v>
      </c>
      <c r="Q33" s="137">
        <v>347.61028700000003</v>
      </c>
      <c r="R33" s="137">
        <v>178.718932</v>
      </c>
      <c r="S33" s="137">
        <v>706.90564700000004</v>
      </c>
      <c r="T33" s="137">
        <v>394.63204200000001</v>
      </c>
      <c r="U33" s="712">
        <v>5.596052676821511E-3</v>
      </c>
      <c r="V33" s="712">
        <v>3.7086985839514496E-3</v>
      </c>
      <c r="Z33" s="509"/>
      <c r="AA33" s="509"/>
      <c r="AB33" s="509"/>
      <c r="AC33" s="509"/>
    </row>
    <row r="34" spans="1:35" ht="15.5">
      <c r="A34" s="167" t="s">
        <v>193</v>
      </c>
      <c r="B34" s="172" t="s">
        <v>194</v>
      </c>
      <c r="C34" s="173">
        <v>0.23921000000000001</v>
      </c>
      <c r="D34" s="173">
        <f>Q8</f>
        <v>0.26408999999999999</v>
      </c>
      <c r="E34" s="173">
        <f>S8</f>
        <v>0.25939206808182563</v>
      </c>
      <c r="F34" s="173">
        <f>U8</f>
        <v>0.26930052635293578</v>
      </c>
      <c r="G34" s="151"/>
      <c r="H34" s="6" t="s">
        <v>199</v>
      </c>
      <c r="I34" s="153">
        <v>312</v>
      </c>
      <c r="J34" s="153">
        <v>288</v>
      </c>
      <c r="K34" s="6" t="s">
        <v>199</v>
      </c>
      <c r="L34" s="153">
        <v>262</v>
      </c>
      <c r="M34" s="153">
        <v>365</v>
      </c>
      <c r="N34" s="117"/>
      <c r="P34" s="211" t="s">
        <v>224</v>
      </c>
      <c r="Q34" s="143">
        <v>331.02294799999999</v>
      </c>
      <c r="R34" s="143">
        <v>327.76564100000002</v>
      </c>
      <c r="S34" s="143">
        <v>390.24194699999998</v>
      </c>
      <c r="T34" s="143">
        <v>346.22200400000003</v>
      </c>
      <c r="U34" s="712">
        <v>0.38997008561702712</v>
      </c>
      <c r="V34" s="712">
        <v>0.53391308391657177</v>
      </c>
      <c r="Z34" s="509"/>
      <c r="AA34" s="509"/>
      <c r="AB34" s="509"/>
      <c r="AC34" s="509"/>
    </row>
    <row r="35" spans="1:35">
      <c r="A35" s="167"/>
      <c r="B35" s="172" t="s">
        <v>195</v>
      </c>
      <c r="C35" s="173">
        <v>0.30220000000000002</v>
      </c>
      <c r="D35" s="173">
        <f>Q10</f>
        <v>0.33495999999999998</v>
      </c>
      <c r="E35" s="173">
        <f>S10</f>
        <v>0.32900135228402561</v>
      </c>
      <c r="F35" s="173">
        <f>U10</f>
        <v>0.3415687996788192</v>
      </c>
      <c r="G35" s="151"/>
      <c r="I35" s="117"/>
      <c r="J35" s="117"/>
      <c r="M35" s="117"/>
      <c r="N35" s="117"/>
      <c r="Q35" s="147"/>
      <c r="R35" s="147"/>
      <c r="S35" s="147"/>
      <c r="T35" s="147"/>
      <c r="U35" s="138"/>
      <c r="V35" s="140"/>
    </row>
    <row r="36" spans="1:35">
      <c r="A36" s="167"/>
      <c r="B36" s="172"/>
      <c r="C36" s="173"/>
      <c r="D36" s="173"/>
      <c r="E36" s="173"/>
      <c r="F36" s="173"/>
      <c r="I36" s="117"/>
      <c r="J36" s="117"/>
      <c r="M36" s="117"/>
      <c r="N36" s="117"/>
      <c r="Q36" s="147"/>
      <c r="R36" s="147"/>
      <c r="S36" s="147"/>
      <c r="T36" s="147"/>
      <c r="U36" s="138"/>
      <c r="V36" s="140"/>
    </row>
    <row r="37" spans="1:35">
      <c r="B37" s="7"/>
      <c r="C37" s="8"/>
      <c r="D37" s="141"/>
      <c r="E37" s="9"/>
      <c r="F37" s="9"/>
      <c r="I37" s="117"/>
      <c r="J37" s="117"/>
      <c r="M37" s="117"/>
      <c r="N37" s="117"/>
      <c r="Q37" s="147"/>
      <c r="R37" s="147"/>
      <c r="S37" s="147"/>
      <c r="T37" s="147"/>
      <c r="U37" s="138"/>
      <c r="V37" s="140"/>
    </row>
    <row r="38" spans="1:35">
      <c r="B38" s="7"/>
      <c r="C38" s="8"/>
      <c r="D38" s="8"/>
      <c r="E38" s="9"/>
      <c r="F38" s="9"/>
    </row>
    <row r="39" spans="1:35" ht="18">
      <c r="B39" s="238"/>
      <c r="C39" s="571" t="s">
        <v>260</v>
      </c>
      <c r="D39" s="571"/>
      <c r="E39" s="571"/>
      <c r="F39" s="571"/>
      <c r="G39" s="571"/>
      <c r="H39" s="571"/>
      <c r="I39" s="571"/>
      <c r="J39" s="571"/>
      <c r="M39" s="238"/>
      <c r="N39" s="571" t="s">
        <v>260</v>
      </c>
      <c r="O39" s="571"/>
      <c r="P39" s="571"/>
      <c r="Q39" s="571"/>
      <c r="R39" s="571"/>
      <c r="S39" s="571"/>
      <c r="T39" s="571"/>
      <c r="U39" s="571"/>
    </row>
    <row r="40" spans="1:35">
      <c r="B40" s="7"/>
      <c r="C40" s="479" t="s">
        <v>535</v>
      </c>
      <c r="D40" s="479"/>
      <c r="E40" s="479"/>
      <c r="F40" s="479"/>
      <c r="G40" s="479"/>
      <c r="H40" s="479"/>
      <c r="I40" s="479"/>
      <c r="J40" s="479"/>
      <c r="M40" s="7"/>
      <c r="N40" s="479" t="s">
        <v>536</v>
      </c>
      <c r="O40" s="479"/>
      <c r="P40" s="479"/>
      <c r="Q40" s="479"/>
      <c r="R40" s="479"/>
      <c r="S40" s="479"/>
      <c r="T40" s="479"/>
      <c r="U40" s="479"/>
      <c r="X40" s="175"/>
      <c r="AD40" s="507"/>
    </row>
    <row r="41" spans="1:35" ht="15" customHeight="1">
      <c r="B41" s="7"/>
      <c r="C41" s="564" t="str">
        <f>C30</f>
        <v>10/1/2025</v>
      </c>
      <c r="D41" s="564"/>
      <c r="E41" s="565" t="str">
        <f>D30</f>
        <v>1/1/26</v>
      </c>
      <c r="F41" s="564"/>
      <c r="G41" s="564" t="str">
        <f>E21</f>
        <v>Authorized</v>
      </c>
      <c r="H41" s="564"/>
      <c r="I41" s="565" t="str">
        <f>F21</f>
        <v>w/Pending</v>
      </c>
      <c r="J41" s="564"/>
      <c r="M41" s="7"/>
      <c r="N41" s="564" t="str">
        <f>C41</f>
        <v>10/1/2025</v>
      </c>
      <c r="O41" s="564"/>
      <c r="P41" s="565" t="str">
        <f>E41</f>
        <v>1/1/26</v>
      </c>
      <c r="Q41" s="564"/>
      <c r="R41" s="564" t="str">
        <f>G41</f>
        <v>Authorized</v>
      </c>
      <c r="S41" s="564"/>
      <c r="T41" s="565" t="str">
        <f>I41</f>
        <v>w/Pending</v>
      </c>
      <c r="U41" s="564"/>
      <c r="X41" s="448"/>
      <c r="Y41" s="448"/>
      <c r="Z41" s="506"/>
      <c r="AA41" s="448"/>
      <c r="AB41" s="506"/>
      <c r="AC41" s="448"/>
      <c r="AD41" s="506"/>
      <c r="AE41" s="448"/>
      <c r="AF41" s="506"/>
      <c r="AG41" s="448"/>
      <c r="AH41" s="506"/>
      <c r="AI41" s="448"/>
    </row>
    <row r="42" spans="1:35">
      <c r="B42" s="7"/>
      <c r="C42" s="8" t="s">
        <v>192</v>
      </c>
      <c r="D42" s="8" t="s">
        <v>193</v>
      </c>
      <c r="E42" s="8" t="s">
        <v>192</v>
      </c>
      <c r="F42" s="8" t="s">
        <v>193</v>
      </c>
      <c r="G42" s="8" t="s">
        <v>192</v>
      </c>
      <c r="H42" s="8" t="s">
        <v>193</v>
      </c>
      <c r="I42" s="8" t="s">
        <v>192</v>
      </c>
      <c r="J42" s="8" t="s">
        <v>193</v>
      </c>
      <c r="M42" s="7"/>
      <c r="N42" s="8" t="s">
        <v>192</v>
      </c>
      <c r="O42" s="8" t="s">
        <v>193</v>
      </c>
      <c r="P42" s="8" t="s">
        <v>192</v>
      </c>
      <c r="Q42" s="8" t="s">
        <v>193</v>
      </c>
      <c r="R42" s="8" t="s">
        <v>192</v>
      </c>
      <c r="S42" s="8" t="s">
        <v>193</v>
      </c>
      <c r="T42" s="8" t="s">
        <v>192</v>
      </c>
      <c r="U42" s="8" t="s">
        <v>193</v>
      </c>
      <c r="X42" s="505"/>
      <c r="Y42" s="505"/>
      <c r="Z42" s="505"/>
      <c r="AA42" s="505"/>
      <c r="AB42" s="505"/>
      <c r="AC42" s="505"/>
      <c r="AD42" s="505"/>
      <c r="AE42" s="505"/>
      <c r="AF42" s="505"/>
      <c r="AG42" s="505"/>
      <c r="AH42" s="505"/>
      <c r="AI42" s="505"/>
    </row>
    <row r="43" spans="1:35">
      <c r="B43" s="136" t="s">
        <v>223</v>
      </c>
      <c r="C43" s="157">
        <f>$F$15+IF($Q22&gt;$I22,C$22*$I22+C$23*($Q22-$I22),$Q22*C$22)+('Incremental Rev Req'!$F$87*$Q22)</f>
        <v>149.179345124598</v>
      </c>
      <c r="D43" s="157">
        <f>$F$15+IF($R22&gt;$J22,C$25*$J22+C$26*($R22-$J22),$R22*C$25)+('Incremental Rev Req'!$F$87*$R22)</f>
        <v>139.77061140466148</v>
      </c>
      <c r="E43" s="157">
        <f>$F$15+IF($Q22&gt;$I22,D$22*$I22+D$23*($Q22-$I22),$Q22*D$22)+('Incremental Rev Req'!$F$87*$Q22)</f>
        <v>164.84994309576589</v>
      </c>
      <c r="F43" s="157">
        <f>$F$15+IF($R22&gt;$J22,D$25*$J22+D$26*($R22-$J22),$R22*D$25)+('Incremental Rev Req'!$F$87*$R22)</f>
        <v>154.26522704999164</v>
      </c>
      <c r="G43" s="157">
        <f>$F$15+IF($Q22&gt;$I22,E$22*$I22+E$23*($Q22-$I22),$Q22*E$22)+('Incremental Rev Req'!$F$87*$Q22)</f>
        <v>162.34678667271484</v>
      </c>
      <c r="H43" s="157">
        <f>$F$15+IF($R22&gt;$J22,E$25*$J22+E$26*($R22-$J22),$R22*E$25)+('Incremental Rev Req'!$F$87*$R22)</f>
        <v>151.94991717355811</v>
      </c>
      <c r="I43" s="157">
        <f>$F$15+IF($Q22&gt;$I22,F$22*$I22+F$23*($Q22-$I22),$Q22*F$22)+('Incremental Rev Req'!$F$87*$Q22)</f>
        <v>167.62622055891325</v>
      </c>
      <c r="J43" s="157">
        <f>$F$15+IF($R22&gt;$J22,F$25*$J22+F$26*($R22-$J22),$R22*F$25)+('Incremental Rev Req'!$F$87*$R22)</f>
        <v>156.83316190653966</v>
      </c>
      <c r="M43" s="136" t="s">
        <v>223</v>
      </c>
      <c r="N43" s="157">
        <f>$F$15+IF($Q31&gt;$L22,C$22*$L22+C$23*($Q31-$L22),$Q31*C$22)+('Incremental Rev Req'!$F$87*$Q31)</f>
        <v>134.77089436499384</v>
      </c>
      <c r="O43" s="157">
        <f>$F$15+IF($R31&gt;$M22,C$25*$M22+C$26*($R31-$M22),$R31*C$25)+('Incremental Rev Req'!$F$87*$R31)</f>
        <v>126.02206160723932</v>
      </c>
      <c r="P43" s="157">
        <f>$F$15+IF($Q31&gt;$L22,D$22*$L22+D$23*($Q31-$L22),$Q31*D$22)+('Incremental Rev Req'!$F$87*$Q31)</f>
        <v>148.64217187488833</v>
      </c>
      <c r="Q43" s="157">
        <f>$F$15+IF($R31&gt;$M22,D$25*$M22+D$26*($R31-$M22),$R31*D$25)+('Incremental Rev Req'!$F$87*$R31)</f>
        <v>138.79826837323114</v>
      </c>
      <c r="R43" s="157">
        <f>$F$15+IF($Q31&gt;$L22,E$22*$L22+E$23*($Q31-$L22),$Q31*E$22)+('Incremental Rev Req'!$F$87*$Q31)</f>
        <v>146.42643145077048</v>
      </c>
      <c r="S43" s="157">
        <f>$F$15+IF($R31&gt;$M22,E$25*$M22+E$26*($R31-$M22),$R31*E$25)+('Incremental Rev Req'!$F$87*$R31)</f>
        <v>136.75745001471273</v>
      </c>
      <c r="T43" s="157">
        <f>$F$15+IF($Q31&gt;$L22,F$22*$L22+F$23*($Q31-$L22),$Q31*F$22)+('Incremental Rev Req'!$F$87*$Q31)</f>
        <v>151.09967319083287</v>
      </c>
      <c r="U43" s="157">
        <f>$F$15+IF($R31&gt;$M22,F$25*$M22+F$26*($R31-$M22),$R31*F$25)+('Incremental Rev Req'!$F$87*$R31)</f>
        <v>141.0617617622004</v>
      </c>
      <c r="X43" s="508"/>
      <c r="Y43" s="508"/>
      <c r="Z43" s="508"/>
      <c r="AA43" s="508"/>
      <c r="AB43" s="508"/>
      <c r="AC43" s="508"/>
      <c r="AD43" s="508"/>
      <c r="AE43" s="508"/>
      <c r="AF43" s="508"/>
      <c r="AG43" s="508"/>
      <c r="AH43" s="508"/>
      <c r="AI43" s="508"/>
    </row>
    <row r="44" spans="1:35">
      <c r="B44" s="139" t="s">
        <v>225</v>
      </c>
      <c r="C44" s="157">
        <f>$F$15+IF($Q23&gt;$I23,C$22*$I23+C$23*($Q23-$I23),$Q23*C$22)+('Incremental Rev Req'!$F$87*$Q23)</f>
        <v>162.87556846508571</v>
      </c>
      <c r="D44" s="157">
        <f>$F$15+IF($R23&gt;$J23,C$25*$J23+C$26*($R23-$J23),$R23*C$25)+('Incremental Rev Req'!$F$87*$R23)</f>
        <v>144.14235153671208</v>
      </c>
      <c r="E44" s="157">
        <f>$F$15+IF($Q23&gt;$I23,D$22*$I23+D$23*($Q23-$I23),$Q23*D$22)+('Incremental Rev Req'!$F$87*$Q23)</f>
        <v>180.25803511684043</v>
      </c>
      <c r="F44" s="157">
        <f>$F$15+IF($R23&gt;$J23,D$25*$J23+D$26*($R23-$J23),$R23*D$25)+('Incremental Rev Req'!$F$87*$R23)</f>
        <v>159.18338387120343</v>
      </c>
      <c r="G44" s="157">
        <f>$F$15+IF($Q23&gt;$I23,E$22*$I23+E$23*($Q23-$I23),$Q23*E$22)+('Incremental Rev Req'!$F$87*$Q23)</f>
        <v>177.48143188013782</v>
      </c>
      <c r="H44" s="157">
        <f>$F$15+IF($R23&gt;$J23,E$25*$J23+E$26*($R23-$J23),$R23*E$25)+('Incremental Rev Req'!$F$87*$R23)</f>
        <v>156.78079165572626</v>
      </c>
      <c r="I44" s="157">
        <f>$F$15+IF($Q23&gt;$I23,F$22*$I23+F$23*($Q23-$I23),$Q23*F$22)+('Incremental Rev Req'!$F$87*$Q23)</f>
        <v>183.33759535493516</v>
      </c>
      <c r="J44" s="157">
        <f>$F$15+IF($R23&gt;$J23,F$25*$J23+F$26*($R23-$J23),$R23*F$25)+('Incremental Rev Req'!$F$87*$R23)</f>
        <v>161.84812450009002</v>
      </c>
      <c r="M44" s="139" t="s">
        <v>225</v>
      </c>
      <c r="N44" s="157">
        <f>$F$15+IF($Q32&gt;$L23,C$22*$L23+C$23*($Q32-$L23),$Q32*C$22)+('Incremental Rev Req'!$F$87*$Q32)</f>
        <v>171.4204017514933</v>
      </c>
      <c r="O44" s="157">
        <f>$F$15+IF($R32&gt;$M23,C$25*$M23+C$26*($R32-$M23),$R32*C$25)+('Incremental Rev Req'!$F$87*$R32)</f>
        <v>195.24472319901923</v>
      </c>
      <c r="P44" s="157">
        <f>$F$15+IF($Q32&gt;$L23,D$22*$L23+D$23*($Q32-$L23),$Q32*D$22)+('Incremental Rev Req'!$F$87*$Q32)</f>
        <v>189.87087321889641</v>
      </c>
      <c r="Q44" s="157">
        <f>$F$15+IF($R32&gt;$M23,D$25*$M23+D$26*($R32-$M23),$R32*D$25)+('Incremental Rev Req'!$F$87*$R32)</f>
        <v>216.67295785765839</v>
      </c>
      <c r="R44" s="157">
        <f>$F$15+IF($Q32&gt;$L23,E$22*$L23+E$23*($Q32-$L23),$Q32*E$22)+('Incremental Rev Req'!$F$87*$Q32)</f>
        <v>186.92367131588517</v>
      </c>
      <c r="S44" s="157">
        <f>$F$15+IF($R32&gt;$M23,E$25*$M23+E$26*($R32-$M23),$R32*E$25)+('Incremental Rev Req'!$F$87*$R32)</f>
        <v>213.25010039433081</v>
      </c>
      <c r="T44" s="157">
        <f>$F$15+IF($Q32&gt;$L23,F$22*$L23+F$23*($Q32-$L23),$Q32*F$22)+('Incremental Rev Req'!$F$87*$Q32)</f>
        <v>193.13964625574158</v>
      </c>
      <c r="U44" s="157">
        <f>$F$15+IF($R32&gt;$M23,F$25*$M23+F$26*($R32-$M23),$R32*F$25)+('Incremental Rev Req'!$F$87*$R32)</f>
        <v>220.46928554517027</v>
      </c>
      <c r="X44" s="508"/>
      <c r="Y44" s="508"/>
      <c r="Z44" s="508"/>
      <c r="AA44" s="508"/>
      <c r="AB44" s="508"/>
      <c r="AC44" s="508"/>
      <c r="AD44" s="508"/>
      <c r="AE44" s="508"/>
      <c r="AF44" s="508"/>
      <c r="AG44" s="508"/>
      <c r="AH44" s="508"/>
      <c r="AI44" s="508"/>
    </row>
    <row r="45" spans="1:35">
      <c r="B45" s="139" t="s">
        <v>222</v>
      </c>
      <c r="C45" s="157">
        <f>$F$15+IF($Q24&gt;$I24,C$22*$I24+C$23*($Q24-$I24),$Q24*C$22)+('Incremental Rev Req'!$F$87*$Q24)</f>
        <v>174.15382796085916</v>
      </c>
      <c r="D45" s="157">
        <f>$F$15+IF($R24&gt;$J24,C$25*$J24+C$26*($R24-$J24),$R24*C$25)+('Incremental Rev Req'!$F$87*$R24)</f>
        <v>81.447272303340526</v>
      </c>
      <c r="E45" s="157">
        <f>$F$15+IF($Q24&gt;$I24,D$22*$I24+D$23*($Q24-$I24),$Q24*D$22)+('Incremental Rev Req'!$F$87*$Q24)</f>
        <v>192.94594592468556</v>
      </c>
      <c r="F45" s="157">
        <f>$F$15+IF($R24&gt;$J24,D$25*$J24+D$26*($R24-$J24),$R24*D$25)+('Incremental Rev Req'!$F$87*$R24)</f>
        <v>88.652148648081862</v>
      </c>
      <c r="G45" s="157">
        <f>$F$15+IF($Q24&gt;$I24,E$22*$I24+E$23*($Q24-$I24),$Q24*E$22)+('Incremental Rev Req'!$F$87*$Q24)</f>
        <v>189.94417082520101</v>
      </c>
      <c r="H45" s="157">
        <f>$F$15+IF($R24&gt;$J24,E$25*$J24+E$26*($R24-$J24),$R24*E$25)+('Incremental Rev Req'!$F$87*$R24)</f>
        <v>87.501271538426565</v>
      </c>
      <c r="I45" s="157">
        <f>$F$15+IF($Q24&gt;$I24,F$22*$I24+F$23*($Q24-$I24),$Q24*F$22)+('Incremental Rev Req'!$F$87*$Q24)</f>
        <v>196.27524667528667</v>
      </c>
      <c r="J45" s="157">
        <f>$F$15+IF($R24&gt;$J24,F$25*$J24+F$26*($R24-$J24),$R24*F$25)+('Incremental Rev Req'!$F$87*$R24)</f>
        <v>89.928598714471889</v>
      </c>
      <c r="M45" s="139" t="s">
        <v>222</v>
      </c>
      <c r="N45" s="157">
        <f>$F$15+IF($Q33&gt;$L24,C$22*$L24+C$23*($Q33-$L24),$Q33*C$22)+('Incremental Rev Req'!$F$87*$Q33)</f>
        <v>154.14575242227701</v>
      </c>
      <c r="O45" s="157">
        <f>$F$15+IF($R33&gt;$M24,C$25*$M24+C$26*($R33-$M24),$R33*C$25)+('Incremental Rev Req'!$F$87*$R33)</f>
        <v>90.816841330058963</v>
      </c>
      <c r="P45" s="157">
        <f>$F$15+IF($Q33&gt;$L24,D$22*$L24+D$23*($Q33-$L24),$Q33*D$22)+('Incremental Rev Req'!$F$87*$Q33)</f>
        <v>170.43709356450597</v>
      </c>
      <c r="Q45" s="157">
        <f>$F$15+IF($R33&gt;$M24,D$25*$M24+D$26*($R33-$M24),$R33*D$25)+('Incremental Rev Req'!$F$87*$R33)</f>
        <v>99.192804869327915</v>
      </c>
      <c r="R45" s="157">
        <f>$F$15+IF($Q33&gt;$L24,E$22*$L24+E$23*($Q33-$L24),$Q33*E$22)+('Incremental Rev Req'!$F$87*$Q33)</f>
        <v>167.83478219800188</v>
      </c>
      <c r="S45" s="157">
        <f>$F$15+IF($R33&gt;$M24,E$25*$M24+E$26*($R33-$M24),$R33*E$25)+('Incremental Rev Req'!$F$87*$R33)</f>
        <v>97.854863141058317</v>
      </c>
      <c r="T45" s="157">
        <f>$F$15+IF($Q33&gt;$L24,F$22*$L24+F$23*($Q33-$L24),$Q33*F$22)+('Incremental Rev Req'!$F$87*$Q33)</f>
        <v>173.32334483206014</v>
      </c>
      <c r="U45" s="157">
        <f>$F$15+IF($R33&gt;$M24,F$25*$M24+F$26*($R33-$M24),$R33*F$25)+('Incremental Rev Req'!$F$87*$R33)</f>
        <v>100.67673029763645</v>
      </c>
      <c r="X45" s="508"/>
      <c r="Y45" s="508"/>
      <c r="Z45" s="508"/>
      <c r="AA45" s="508"/>
      <c r="AB45" s="508"/>
      <c r="AC45" s="508"/>
      <c r="AD45" s="508"/>
      <c r="AE45" s="508"/>
      <c r="AF45" s="508"/>
      <c r="AG45" s="508"/>
      <c r="AH45" s="508"/>
      <c r="AI45" s="508"/>
    </row>
    <row r="46" spans="1:35">
      <c r="B46" s="142" t="s">
        <v>224</v>
      </c>
      <c r="C46" s="157">
        <f>$F$15+IF($Q25&gt;$I25,C$22*$I25+C$23*($Q25-$I25),$Q25*C$22)+('Incremental Rev Req'!$F$87*$Q25)</f>
        <v>145.71290155588812</v>
      </c>
      <c r="D46" s="157">
        <f>$F$15+IF($R25&gt;$J25,C$25*$J25+C$26*($R25-$J25),$R25*C$25)+('Incremental Rev Req'!$F$87*$R25)</f>
        <v>126.22942772375224</v>
      </c>
      <c r="E46" s="157">
        <f>$F$15+IF($Q25&gt;$I25,D$22*$I25+D$23*($Q25-$I25),$Q25*D$22)+('Incremental Rev Req'!$F$87*$Q25)</f>
        <v>160.9502343830251</v>
      </c>
      <c r="F46" s="157">
        <f>$F$15+IF($R25&gt;$J25,D$25*$J25+D$26*($R25-$J25),$R25*D$25)+('Incremental Rev Req'!$F$87*$R25)</f>
        <v>139.03155284339883</v>
      </c>
      <c r="G46" s="157">
        <f>$F$15+IF($Q25&gt;$I25,E$22*$I25+E$23*($Q25-$I25),$Q25*E$22)+('Incremental Rev Req'!$F$87*$Q25)</f>
        <v>158.51628593979464</v>
      </c>
      <c r="H46" s="157">
        <f>$F$15+IF($R25&gt;$J25,E$25*$J25+E$26*($R25-$J25),$R25*E$25)+('Incremental Rev Req'!$F$87*$R25)</f>
        <v>136.98659439440362</v>
      </c>
      <c r="I46" s="157">
        <f>$F$15+IF($Q25&gt;$I25,F$22*$I25+F$23*($Q25-$I25),$Q25*F$22)+('Incremental Rev Req'!$F$87*$Q25)</f>
        <v>163.64975253825367</v>
      </c>
      <c r="J46" s="157">
        <f>$F$15+IF($R25&gt;$J25,F$25*$J25+F$26*($R25-$J25),$R25*F$25)+('Incremental Rev Req'!$F$87*$R25)</f>
        <v>141.29963805083383</v>
      </c>
      <c r="M46" s="142" t="s">
        <v>224</v>
      </c>
      <c r="N46" s="157">
        <f>$F$15+IF($Q34&gt;$L25,C$22*$L25+C$23*($Q34-$L25),$Q34*C$22)+('Incremental Rev Req'!$F$87*$Q34)</f>
        <v>147.92602544579867</v>
      </c>
      <c r="O46" s="157">
        <f>$F$15+IF($R34&gt;$M25,C$25*$M25+C$26*($R34-$M25),$R34*C$25)+('Incremental Rev Req'!$F$87*$R34)</f>
        <v>146.70463844583614</v>
      </c>
      <c r="P46" s="157">
        <f>$F$15+IF($Q34&gt;$L25,D$22*$L25+D$23*($Q34-$L25),$Q34*D$22)+('Incremental Rev Req'!$F$87*$Q34)</f>
        <v>163.43997302863966</v>
      </c>
      <c r="Q46" s="157">
        <f>$F$15+IF($R34&gt;$M25,D$25*$M25+D$26*($R34-$M25),$R34*D$25)+('Incremental Rev Req'!$F$87*$R34)</f>
        <v>162.06592685394455</v>
      </c>
      <c r="R46" s="157">
        <f>$F$15+IF($Q34&gt;$L25,E$22*$L25+E$23*($Q34-$L25),$Q34*E$22)+('Incremental Rev Req'!$F$87*$Q34)</f>
        <v>160.96183928988151</v>
      </c>
      <c r="S46" s="157">
        <f>$F$15+IF($R34&gt;$M25,E$25*$M25+E$26*($R34-$M25),$R34*E$25)+('Incremental Rev Req'!$F$87*$R34)</f>
        <v>159.61217825954867</v>
      </c>
      <c r="T46" s="157">
        <f>$F$15+IF($Q34&gt;$L25,F$22*$L25+F$23*($Q34-$L25),$Q34*F$22)+('Incremental Rev Req'!$F$87*$Q34)</f>
        <v>166.18849756598891</v>
      </c>
      <c r="U46" s="157">
        <f>$F$15+IF($R34&gt;$M25,F$25*$M25+F$26*($R34-$M25),$R34*F$25)+('Incremental Rev Req'!$F$87*$R34)</f>
        <v>164.78740556782668</v>
      </c>
      <c r="X46" s="508"/>
      <c r="Y46" s="508"/>
      <c r="Z46" s="508"/>
      <c r="AA46" s="508"/>
      <c r="AB46" s="508"/>
      <c r="AC46" s="508"/>
      <c r="AD46" s="508"/>
      <c r="AE46" s="508"/>
      <c r="AF46" s="508"/>
      <c r="AG46" s="508"/>
      <c r="AH46" s="508"/>
      <c r="AI46" s="508"/>
    </row>
    <row r="47" spans="1:35" s="10" customFormat="1">
      <c r="B47" s="6" t="s">
        <v>112</v>
      </c>
      <c r="C47" s="155">
        <f>SUMPRODUCT(C43:C46,$U$22:$U$25)</f>
        <v>147.94529523050306</v>
      </c>
      <c r="D47" s="155">
        <f t="shared" ref="D47:J47" si="8">SUMPRODUCT(D43:D46,$U$22:$U$25)</f>
        <v>134.36051249768127</v>
      </c>
      <c r="E47" s="155">
        <f t="shared" si="8"/>
        <v>163.46165131239499</v>
      </c>
      <c r="F47" s="155">
        <f t="shared" si="8"/>
        <v>148.17892867929805</v>
      </c>
      <c r="G47" s="155">
        <f t="shared" si="8"/>
        <v>160.98313284997283</v>
      </c>
      <c r="H47" s="155">
        <f t="shared" si="8"/>
        <v>145.97163210484393</v>
      </c>
      <c r="I47" s="155">
        <f t="shared" si="8"/>
        <v>166.21060255085979</v>
      </c>
      <c r="J47" s="155">
        <f t="shared" si="8"/>
        <v>150.62706483160048</v>
      </c>
      <c r="M47" s="6" t="s">
        <v>112</v>
      </c>
      <c r="N47" s="155">
        <f t="shared" ref="N47:U47" si="9">SUMPRODUCT(N43:N46,$U$31:$U$34)</f>
        <v>140.76426617073204</v>
      </c>
      <c r="O47" s="155">
        <f t="shared" si="9"/>
        <v>135.31636308605206</v>
      </c>
      <c r="P47" s="155">
        <f t="shared" si="9"/>
        <v>155.38399278041103</v>
      </c>
      <c r="Q47" s="155">
        <f t="shared" si="9"/>
        <v>149.2542494781695</v>
      </c>
      <c r="R47" s="155">
        <f t="shared" si="9"/>
        <v>153.04869819665615</v>
      </c>
      <c r="S47" s="155">
        <f t="shared" si="9"/>
        <v>147.02786922705366</v>
      </c>
      <c r="T47" s="155">
        <f t="shared" si="9"/>
        <v>157.97409288881184</v>
      </c>
      <c r="U47" s="155">
        <f t="shared" si="9"/>
        <v>151.72355153961854</v>
      </c>
      <c r="X47" s="508"/>
      <c r="Y47" s="508"/>
      <c r="Z47" s="508"/>
      <c r="AA47" s="508"/>
      <c r="AB47" s="508"/>
      <c r="AC47" s="508"/>
      <c r="AD47" s="508"/>
      <c r="AE47" s="508"/>
      <c r="AF47" s="508"/>
      <c r="AG47" s="508"/>
      <c r="AH47" s="508"/>
      <c r="AI47" s="508"/>
    </row>
    <row r="48" spans="1:35">
      <c r="B48" s="7"/>
      <c r="C48" s="141"/>
      <c r="D48" s="141"/>
      <c r="E48" s="156"/>
      <c r="F48" s="144"/>
      <c r="G48" s="145"/>
      <c r="H48" s="145"/>
      <c r="I48" s="145"/>
      <c r="J48" s="145"/>
      <c r="M48" s="7"/>
      <c r="N48" s="141"/>
      <c r="O48" s="141"/>
      <c r="P48" s="156"/>
      <c r="Q48" s="144"/>
      <c r="R48" s="145"/>
      <c r="S48" s="145"/>
      <c r="T48" s="145"/>
      <c r="U48" s="145"/>
      <c r="X48" s="10"/>
      <c r="Y48" s="10"/>
      <c r="Z48" s="10"/>
      <c r="AA48" s="10"/>
    </row>
    <row r="49" spans="2:35">
      <c r="B49" s="7"/>
      <c r="C49" s="141"/>
      <c r="D49" s="141"/>
      <c r="E49" s="156"/>
      <c r="F49" s="141"/>
      <c r="G49" s="145"/>
      <c r="H49" s="145"/>
      <c r="I49" s="145"/>
      <c r="J49" s="145"/>
      <c r="M49" s="7"/>
      <c r="N49" s="141"/>
      <c r="O49" s="141"/>
      <c r="P49" s="156"/>
      <c r="Q49" s="141"/>
      <c r="R49" s="145"/>
      <c r="S49" s="145"/>
      <c r="T49" s="145"/>
      <c r="U49" s="145"/>
    </row>
    <row r="50" spans="2:35">
      <c r="B50" s="7"/>
      <c r="C50" s="479" t="s">
        <v>537</v>
      </c>
      <c r="D50" s="479"/>
      <c r="E50" s="479"/>
      <c r="F50" s="479"/>
      <c r="G50" s="479"/>
      <c r="H50" s="479"/>
      <c r="I50" s="479"/>
      <c r="J50" s="479"/>
      <c r="M50" s="7"/>
      <c r="N50" s="479" t="s">
        <v>538</v>
      </c>
      <c r="O50" s="479"/>
      <c r="P50" s="479"/>
      <c r="Q50" s="479"/>
      <c r="R50" s="479"/>
      <c r="S50" s="479"/>
      <c r="T50" s="479"/>
      <c r="U50" s="479"/>
    </row>
    <row r="51" spans="2:35">
      <c r="B51" s="7"/>
      <c r="C51" s="566" t="str">
        <f>C30</f>
        <v>10/1/2025</v>
      </c>
      <c r="D51" s="566"/>
      <c r="E51" s="567" t="str">
        <f>D30</f>
        <v>1/1/26</v>
      </c>
      <c r="F51" s="566"/>
      <c r="G51" s="566" t="str">
        <f>E30</f>
        <v>Authorized</v>
      </c>
      <c r="H51" s="566"/>
      <c r="I51" s="567" t="str">
        <f>F30</f>
        <v>w/Pending</v>
      </c>
      <c r="J51" s="566"/>
      <c r="M51" s="7"/>
      <c r="N51" s="566" t="str">
        <f>N41</f>
        <v>10/1/2025</v>
      </c>
      <c r="O51" s="566"/>
      <c r="P51" s="567" t="str">
        <f>P41</f>
        <v>1/1/26</v>
      </c>
      <c r="Q51" s="566"/>
      <c r="R51" s="566" t="str">
        <f>R41</f>
        <v>Authorized</v>
      </c>
      <c r="S51" s="566"/>
      <c r="T51" s="567" t="str">
        <f>T41</f>
        <v>w/Pending</v>
      </c>
      <c r="U51" s="566"/>
      <c r="AD51" s="10"/>
      <c r="AE51" s="10"/>
    </row>
    <row r="52" spans="2:35">
      <c r="B52" s="7"/>
      <c r="C52" s="141" t="s">
        <v>192</v>
      </c>
      <c r="D52" s="141" t="s">
        <v>193</v>
      </c>
      <c r="E52" s="141" t="s">
        <v>192</v>
      </c>
      <c r="F52" s="141" t="s">
        <v>193</v>
      </c>
      <c r="G52" s="141" t="s">
        <v>192</v>
      </c>
      <c r="H52" s="141" t="s">
        <v>193</v>
      </c>
      <c r="I52" s="141" t="s">
        <v>192</v>
      </c>
      <c r="J52" s="141" t="s">
        <v>193</v>
      </c>
      <c r="M52" s="7"/>
      <c r="N52" s="141" t="s">
        <v>192</v>
      </c>
      <c r="O52" s="141" t="s">
        <v>193</v>
      </c>
      <c r="P52" s="141" t="s">
        <v>192</v>
      </c>
      <c r="Q52" s="141" t="s">
        <v>193</v>
      </c>
      <c r="R52" s="141" t="s">
        <v>192</v>
      </c>
      <c r="S52" s="141" t="s">
        <v>193</v>
      </c>
      <c r="T52" s="141" t="s">
        <v>192</v>
      </c>
      <c r="U52" s="141" t="s">
        <v>193</v>
      </c>
      <c r="AB52" s="10"/>
      <c r="AC52" s="10"/>
    </row>
    <row r="53" spans="2:35">
      <c r="B53" s="136" t="s">
        <v>223</v>
      </c>
      <c r="C53" s="157">
        <f>$Q$15+IF($S22&gt;$I22,C$31*$I22+C$32*($S22-$I22),$S22*C$31)+('Incremental Rev Req'!$F$87*$S22)</f>
        <v>85.023779829299997</v>
      </c>
      <c r="D53" s="157">
        <f>$Q$15+IF($T22&gt;$J22,C$34*$J22+C$35*($T22-$J22),$T22*C$34)+('Incremental Rev Req'!$F$87*$T22)</f>
        <v>78.112093791150002</v>
      </c>
      <c r="E53" s="157">
        <f>$Q$15+IF($S22&gt;$I22,D$31*$I22+D$32*($S22-$I22),$S22*D$31)+('Incremental Rev Req'!$F$87*$S22)</f>
        <v>93.217667719699989</v>
      </c>
      <c r="F53" s="157">
        <f>$Q$15+IF($T22&gt;$J22,D$34*$J22+D$35*($T22-$J22),$T22*D$34)+('Incremental Rev Req'!$F$87*$T22)</f>
        <v>85.590096628349997</v>
      </c>
      <c r="G53" s="157">
        <f>$Q$15+IF($S22&gt;$I22,E$31*$I22+E$32*($S22-$I22),$S22*E$31)+('Incremental Rev Req'!$F$87*$S22)</f>
        <v>91.670468063178589</v>
      </c>
      <c r="H53" s="157">
        <f>$Q$15+IF($T22&gt;$J22,E$34*$J22+E$35*($T22-$J22),$T22*E$34)+('Incremental Rev Req'!$F$87*$T22)</f>
        <v>84.178072986345171</v>
      </c>
      <c r="I53" s="157">
        <f>$Q$15+IF($S22&gt;$I22,F$31*$I22+F$32*($S22-$I22),$S22*F$31)+('Incremental Rev Req'!$F$87*$S22)</f>
        <v>94.93368334614415</v>
      </c>
      <c r="J53" s="157">
        <f>$Q$15+IF($T22&gt;$J22,F$34*$J22+F$35*($T22-$J22),$T22*F$34)+('Incremental Rev Req'!$F$87*$T22)</f>
        <v>87.156187096620059</v>
      </c>
      <c r="M53" s="136" t="s">
        <v>223</v>
      </c>
      <c r="N53" s="157">
        <f>$Q$15+IF($S31&gt;$L22,C$31*$L22+C$32*($S31-$L22),$S31*C$31)+('Incremental Rev Req'!$F$87*$S31)</f>
        <v>80.041141654400008</v>
      </c>
      <c r="O53" s="157">
        <f>$Q$15+IF($T31&gt;$M22,C$34*$M22+C$35*($T31-$M22),$T31*C$34)+('Incremental Rev Req'!$F$87*$T31)</f>
        <v>74.330774989739993</v>
      </c>
      <c r="P53" s="157">
        <f>$Q$15+IF($S31&gt;$L22,D$31*$L22+D$32*($S31-$L22),$S31*D$31)+('Incremental Rev Req'!$F$87*$S31)</f>
        <v>87.797993536319993</v>
      </c>
      <c r="Q53" s="157">
        <f>$Q$15+IF($T31&gt;$M22,D$34*$M22+D$35*($T31-$M22),$T31*D$34)+('Incremental Rev Req'!$F$87*$T31)</f>
        <v>81.417123808459991</v>
      </c>
      <c r="R53" s="157">
        <f>$Q$15+IF($S31&gt;$L22,E$31*$L22+E$32*($S31-$L22),$S31*E$31)+('Incremental Rev Req'!$F$87*$S31)</f>
        <v>86.346564203326949</v>
      </c>
      <c r="S53" s="157">
        <f>$Q$15+IF($T31&gt;$M22,E$34*$M22+E$35*($T31-$M22),$T31*E$34)+('Incremental Rev Req'!$F$87*$T31)</f>
        <v>80.079053699988052</v>
      </c>
      <c r="T53" s="157">
        <f>$Q$15+IF($S31&gt;$L22,F$31*$L22+F$32*($S31-$L22),$S31*F$31)+('Incremental Rev Req'!$F$87*$S31)</f>
        <v>89.407789276383255</v>
      </c>
      <c r="U53" s="157">
        <f>$Q$15+IF($T31&gt;$M22,F$34*$M22+F$35*($T31-$M22),$T31*F$34)+('Incremental Rev Req'!$F$87*$T31)</f>
        <v>82.901191624618988</v>
      </c>
      <c r="X53" s="508"/>
      <c r="Y53" s="508"/>
      <c r="Z53" s="508"/>
      <c r="AA53" s="508"/>
      <c r="AB53" s="508"/>
      <c r="AC53" s="508"/>
      <c r="AD53" s="508"/>
      <c r="AE53" s="508"/>
      <c r="AF53" s="508"/>
      <c r="AG53" s="508"/>
      <c r="AH53" s="508"/>
      <c r="AI53" s="508"/>
    </row>
    <row r="54" spans="2:35">
      <c r="B54" s="139" t="s">
        <v>225</v>
      </c>
      <c r="C54" s="157">
        <f>$Q$15+IF($S23&gt;$I23,C$31*$I23+C$32*($S23-$I23),$S23*C$31)+('Incremental Rev Req'!$F$87*$S23)</f>
        <v>153.12343374400004</v>
      </c>
      <c r="D54" s="157">
        <f>$Q$15+IF($T23&gt;$J23,C$34*$J23+C$35*($T23-$J23),$T23*C$34)+('Incremental Rev Req'!$F$87*$T23)</f>
        <v>136.57104135280002</v>
      </c>
      <c r="E54" s="157">
        <f>$Q$15+IF($S23&gt;$I23,D$31*$I23+D$32*($S23-$I23),$S23*D$31)+('Incremental Rev Req'!$F$87*$S23)</f>
        <v>168.45978802320002</v>
      </c>
      <c r="F54" s="157">
        <f>$Q$15+IF($T23&gt;$J23,D$34*$J23+D$35*($T23-$J23),$T23*D$34)+('Incremental Rev Req'!$F$87*$T23)</f>
        <v>150.14795151083999</v>
      </c>
      <c r="G54" s="157">
        <f>$Q$15+IF($S23&gt;$I23,E$31*$I23+E$32*($S23-$I23),$S23*E$31)+('Incremental Rev Req'!$F$87*$S23)</f>
        <v>165.57883343027933</v>
      </c>
      <c r="H54" s="157">
        <f>$Q$15+IF($T23&gt;$J23,E$34*$J23+E$35*($T23-$J23),$T23*E$34)+('Incremental Rev Req'!$F$87*$T23)</f>
        <v>147.59167766408888</v>
      </c>
      <c r="I54" s="157">
        <f>$Q$15+IF($S23&gt;$I23,F$31*$I23+F$32*($S23-$I23),$S23*F$31)+('Incremental Rev Req'!$F$87*$S23)</f>
        <v>171.65508546247372</v>
      </c>
      <c r="J54" s="157">
        <f>$Q$15+IF($T23&gt;$J23,F$34*$J23+F$35*($T23-$J23),$T23*F$34)+('Incremental Rev Req'!$F$87*$T23)</f>
        <v>152.98314207464736</v>
      </c>
      <c r="M54" s="139" t="s">
        <v>225</v>
      </c>
      <c r="N54" s="157">
        <f>$Q$15+IF($S32&gt;$L23,C$31*$L23+C$32*($S32-$L23),$S32*C$31)+('Incremental Rev Req'!$F$87*$S32)</f>
        <v>154.85591140160003</v>
      </c>
      <c r="O54" s="157">
        <f>$Q$15+IF($T32&gt;$M23,C$34*$M23+C$35*($T32-$M23),$T32*C$34)+('Incremental Rev Req'!$F$87*$T32)</f>
        <v>171.99805626972002</v>
      </c>
      <c r="P54" s="157">
        <f>$Q$15+IF($S32&gt;$L23,D$31*$L23+D$32*($S32-$L23),$S32*D$31)+('Incremental Rev Req'!$F$87*$S32)</f>
        <v>170.31178798048003</v>
      </c>
      <c r="Q54" s="157">
        <f>$Q$15+IF($T32&gt;$M23,D$34*$M23+D$35*($T32-$M23),$T32*D$34)+('Incremental Rev Req'!$F$87*$T32)</f>
        <v>189.20039508988</v>
      </c>
      <c r="R54" s="157">
        <f>$Q$15+IF($S32&gt;$L23,E$31*$L23+E$32*($S32-$L23),$S32*E$31)+('Incremental Rev Req'!$F$87*$S32)</f>
        <v>167.39822239154739</v>
      </c>
      <c r="S54" s="157">
        <f>$Q$15+IF($T32&gt;$M23,E$34*$M23+E$35*($T32-$M23),$T32*E$34)+('Incremental Rev Req'!$F$87*$T32)</f>
        <v>185.95218702675783</v>
      </c>
      <c r="T54" s="157">
        <f>$Q$15+IF($S32&gt;$L23,F$31*$L23+F$32*($S32-$L23),$S32*F$31)+('Incremental Rev Req'!$F$87*$S32)</f>
        <v>173.54325462294256</v>
      </c>
      <c r="U54" s="157">
        <f>$Q$15+IF($T32&gt;$M23,F$34*$M23+F$35*($T32-$M23),$T32*F$34)+('Incremental Rev Req'!$F$87*$T32)</f>
        <v>192.80301726651078</v>
      </c>
      <c r="X54" s="508"/>
      <c r="Y54" s="508"/>
      <c r="Z54" s="508"/>
      <c r="AA54" s="508"/>
      <c r="AB54" s="508"/>
      <c r="AC54" s="508"/>
      <c r="AD54" s="508"/>
      <c r="AE54" s="508"/>
      <c r="AF54" s="508"/>
      <c r="AG54" s="508"/>
      <c r="AH54" s="508"/>
      <c r="AI54" s="508"/>
    </row>
    <row r="55" spans="2:35">
      <c r="B55" s="139" t="s">
        <v>222</v>
      </c>
      <c r="C55" s="157">
        <f>$Q$15+IF($S24&gt;$I24,C$31*$I24+C$32*($S24-$I24),$S24*C$31)+('Incremental Rev Req'!$F$87*$S24)</f>
        <v>164.36219320960001</v>
      </c>
      <c r="D55" s="157">
        <f>$Q$15+IF($T24&gt;$J24,C$34*$J24+C$35*($T24-$J24),$T24*C$34)+('Incremental Rev Req'!$F$87*$T24)</f>
        <v>82.988896302810019</v>
      </c>
      <c r="E55" s="157">
        <f>$Q$15+IF($S24&gt;$I24,D$31*$I24+D$32*($S24-$I24),$S24*D$31)+('Incremental Rev Req'!$F$87*$S24)</f>
        <v>180.81619932287998</v>
      </c>
      <c r="F55" s="157">
        <f>$Q$15+IF($T24&gt;$J24,D$34*$J24+D$35*($T24-$J24),$T24*D$34)+('Incremental Rev Req'!$F$87*$T24)</f>
        <v>90.972019020490009</v>
      </c>
      <c r="G55" s="157">
        <f>$Q$15+IF($S24&gt;$I24,E$31*$I24+E$32*($S24-$I24),$S24*E$31)+('Incremental Rev Req'!$F$87*$S24)</f>
        <v>177.71642690180511</v>
      </c>
      <c r="H55" s="157">
        <f>$Q$15+IF($T24&gt;$J24,E$34*$J24+E$35*($T24-$J24),$T24*E$34)+('Incremental Rev Req'!$F$87*$T24)</f>
        <v>89.464616808991153</v>
      </c>
      <c r="I55" s="157">
        <f>$Q$15+IF($S24&gt;$I24,F$31*$I24+F$32*($S24-$I24),$S24*F$31)+('Incremental Rev Req'!$F$87*$S24)</f>
        <v>184.25418994714403</v>
      </c>
      <c r="J55" s="157">
        <f>$Q$15+IF($T24&gt;$J24,F$34*$J24+F$35*($T24-$J24),$T24*F$34)+('Incremental Rev Req'!$F$87*$T24)</f>
        <v>92.643894876566861</v>
      </c>
      <c r="M55" s="139" t="s">
        <v>222</v>
      </c>
      <c r="N55" s="157">
        <f>$Q$15+IF($S33&gt;$L24,C$31*$L24+C$32*($S33-$L24),$S33*C$31)+('Incremental Rev Req'!$F$87*$S33)</f>
        <v>178.54831217040004</v>
      </c>
      <c r="O55" s="157">
        <f>$Q$15+IF($T33&gt;$M24,C$34*$M24+C$35*($T33-$M24),$T33*C$34)+('Incremental Rev Req'!$F$87*$T33)</f>
        <v>100.70846280882</v>
      </c>
      <c r="P55" s="157">
        <f>$Q$15+IF($S33&gt;$L24,D$31*$L24+D$32*($S33-$L24),$S33*D$31)+('Incremental Rev Req'!$F$87*$S33)</f>
        <v>196.48998116612003</v>
      </c>
      <c r="Q55" s="157">
        <f>$Q$15+IF($T33&gt;$M24,D$34*$M24+D$35*($T33-$M24),$T33*D$34)+('Incremental Rev Req'!$F$87*$T33)</f>
        <v>110.52690801378</v>
      </c>
      <c r="R55" s="157">
        <f>$Q$15+IF($S33&gt;$L24,E$31*$L24+E$32*($S33-$L24),$S33*E$31)+('Incremental Rev Req'!$F$87*$S33)</f>
        <v>193.11237330535769</v>
      </c>
      <c r="S55" s="157">
        <f>$Q$15+IF($T33&gt;$M24,E$34*$M24+E$35*($T33-$M24),$T33*E$34)+('Incremental Rev Req'!$F$87*$T33)</f>
        <v>108.67295354773387</v>
      </c>
      <c r="T55" s="157">
        <f>$Q$15+IF($S33&gt;$L24,F$31*$L24+F$32*($S33-$L24),$S33*F$31)+('Incremental Rev Req'!$F$87*$S33)</f>
        <v>200.23612203723428</v>
      </c>
      <c r="U55" s="157">
        <f>$Q$15+IF($T33&gt;$M24,F$34*$M24+F$35*($T33-$M24),$T33*F$34)+('Incremental Rev Req'!$F$87*$T33)</f>
        <v>112.58314866833386</v>
      </c>
      <c r="X55" s="508"/>
      <c r="Y55" s="508"/>
      <c r="Z55" s="508"/>
      <c r="AA55" s="508"/>
      <c r="AB55" s="508"/>
      <c r="AC55" s="508"/>
      <c r="AD55" s="508"/>
      <c r="AE55" s="508"/>
      <c r="AF55" s="508"/>
      <c r="AG55" s="508"/>
      <c r="AH55" s="508"/>
      <c r="AI55" s="508"/>
    </row>
    <row r="56" spans="2:35">
      <c r="B56" s="142" t="s">
        <v>224</v>
      </c>
      <c r="C56" s="157">
        <f>$Q$15+IF($S25&gt;$I25,C$31*$I25+C$32*($S25-$I25),$S25*C$31)+('Incremental Rev Req'!$F$87*$S25)</f>
        <v>109.85723574720001</v>
      </c>
      <c r="D56" s="157">
        <f>$Q$15+IF($T25&gt;$J25,C$34*$J25+C$35*($T25-$J25),$T25*C$34)+('Incremental Rev Req'!$F$87*$T25)</f>
        <v>88.06756697469001</v>
      </c>
      <c r="E56" s="157">
        <f>$Q$15+IF($S25&gt;$I25,D$31*$I25+D$32*($S25-$I25),$S25*D$31)+('Incremental Rev Req'!$F$87*$S25)</f>
        <v>120.65197274416001</v>
      </c>
      <c r="F56" s="157">
        <f>$Q$15+IF($T25&gt;$J25,D$34*$J25+D$35*($T25-$J25),$T25*D$34)+('Incremental Rev Req'!$F$87*$T25)</f>
        <v>96.576718277010002</v>
      </c>
      <c r="G56" s="157">
        <f>$Q$15+IF($S25&gt;$I25,E$31*$I25+E$32*($S25-$I25),$S25*E$31)+('Incremental Rev Req'!$F$87*$S25)</f>
        <v>118.61848094609361</v>
      </c>
      <c r="H56" s="157">
        <f>$Q$15+IF($T25&gt;$J25,E$34*$J25+E$35*($T25-$J25),$T25*E$34)+('Incremental Rev Req'!$F$87*$T25)</f>
        <v>94.969989438595846</v>
      </c>
      <c r="I56" s="157">
        <f>$Q$15+IF($S25&gt;$I25,F$31*$I25+F$32*($S25-$I25),$S25*F$31)+('Incremental Rev Req'!$F$87*$S25)</f>
        <v>122.90734016685805</v>
      </c>
      <c r="J56" s="157">
        <f>$Q$15+IF($T25&gt;$J25,F$34*$J25+F$35*($T25-$J25),$T25*F$34)+('Incremental Rev Req'!$F$87*$T25)</f>
        <v>98.358758353451165</v>
      </c>
      <c r="M56" s="142" t="s">
        <v>224</v>
      </c>
      <c r="N56" s="157">
        <f>$Q$15+IF($S34&gt;$L25,C$31*$L25+C$32*($S34-$L25),$S34*C$31)+('Incremental Rev Req'!$F$87*$S34)</f>
        <v>102.7556683304</v>
      </c>
      <c r="O56" s="157">
        <f>$Q$15+IF($T34&gt;$M25,C$34*$M25+C$35*($T34-$M25),$T34*C$34)+('Incremental Rev Req'!$F$87*$T34)</f>
        <v>89.079887580840008</v>
      </c>
      <c r="P56" s="157">
        <f>$Q$15+IF($S34&gt;$L25,D$31*$L25+D$32*($S34-$L25),$S34*D$31)+('Incremental Rev Req'!$F$87*$S34)</f>
        <v>112.85291451411999</v>
      </c>
      <c r="Q56" s="157">
        <f>$Q$15+IF($T34&gt;$M25,D$34*$M25+D$35*($T34-$M25),$T34*D$34)+('Incremental Rev Req'!$F$87*$T34)</f>
        <v>97.69389104036</v>
      </c>
      <c r="R56" s="157">
        <f>$Q$15+IF($S34&gt;$L25,E$31*$L25+E$32*($S34-$L25),$S34*E$31)+('Incremental Rev Req'!$F$87*$S34)</f>
        <v>110.95750431500085</v>
      </c>
      <c r="S56" s="157">
        <f>$Q$15+IF($T34&gt;$M25,E$34*$M25+E$35*($T34-$M25),$T34*E$34)+('Incremental Rev Req'!$F$87*$T34)</f>
        <v>96.067363636994116</v>
      </c>
      <c r="T56" s="157">
        <f>$Q$15+IF($S34&gt;$L25,F$31*$L25+F$32*($S34-$L25),$S34*F$31)+('Incremental Rev Req'!$F$87*$S34)</f>
        <v>114.95513416398913</v>
      </c>
      <c r="U56" s="157">
        <f>$Q$15+IF($T34&gt;$M25,F$34*$M25+F$35*($T34-$M25),$T34*F$34)+('Incremental Rev Req'!$F$87*$T34)</f>
        <v>99.497889916168234</v>
      </c>
      <c r="X56" s="508"/>
      <c r="Y56" s="508"/>
      <c r="Z56" s="508"/>
      <c r="AA56" s="508"/>
      <c r="AB56" s="508"/>
      <c r="AC56" s="508"/>
      <c r="AD56" s="508"/>
      <c r="AE56" s="508"/>
      <c r="AF56" s="508"/>
      <c r="AG56" s="508"/>
      <c r="AH56" s="508"/>
      <c r="AI56" s="508"/>
    </row>
    <row r="57" spans="2:35">
      <c r="B57" s="6" t="s">
        <v>112</v>
      </c>
      <c r="C57" s="155">
        <f>SUMPRODUCT(C53:C56,$V$22:$V$25)</f>
        <v>97.857669431949361</v>
      </c>
      <c r="D57" s="155">
        <f t="shared" ref="D57:J57" si="10">SUMPRODUCT(D53:D56,$V$22:$V$25)</f>
        <v>83.463251050850189</v>
      </c>
      <c r="E57" s="155">
        <f t="shared" si="10"/>
        <v>107.39567808410057</v>
      </c>
      <c r="F57" s="155">
        <f t="shared" si="10"/>
        <v>91.495854826951131</v>
      </c>
      <c r="G57" s="155">
        <f t="shared" si="10"/>
        <v>105.59716330913288</v>
      </c>
      <c r="H57" s="155">
        <f t="shared" si="10"/>
        <v>89.979167958368663</v>
      </c>
      <c r="I57" s="155">
        <f t="shared" si="10"/>
        <v>109.39042998649836</v>
      </c>
      <c r="J57" s="155">
        <f t="shared" si="10"/>
        <v>93.17802839513935</v>
      </c>
      <c r="M57" s="6" t="s">
        <v>112</v>
      </c>
      <c r="N57" s="155">
        <f t="shared" ref="N57:U57" si="11">SUMPRODUCT(N53:N56,$V$31:$V$34)</f>
        <v>93.606518471680062</v>
      </c>
      <c r="O57" s="155">
        <f t="shared" si="11"/>
        <v>83.703394410603806</v>
      </c>
      <c r="P57" s="155">
        <f t="shared" si="11"/>
        <v>102.76107447184262</v>
      </c>
      <c r="Q57" s="155">
        <f t="shared" si="11"/>
        <v>91.760522011185884</v>
      </c>
      <c r="R57" s="155">
        <f t="shared" si="11"/>
        <v>101.04449478832632</v>
      </c>
      <c r="S57" s="155">
        <f t="shared" si="11"/>
        <v>90.239145929048505</v>
      </c>
      <c r="T57" s="155">
        <f t="shared" si="11"/>
        <v>104.66495129118819</v>
      </c>
      <c r="U57" s="155">
        <f t="shared" si="11"/>
        <v>93.447896436097409</v>
      </c>
      <c r="X57" s="508"/>
      <c r="Y57" s="508"/>
      <c r="Z57" s="508"/>
      <c r="AA57" s="508"/>
      <c r="AB57" s="508"/>
      <c r="AC57" s="508"/>
      <c r="AD57" s="508"/>
      <c r="AE57" s="508"/>
      <c r="AF57" s="508"/>
      <c r="AG57" s="508"/>
      <c r="AH57" s="508"/>
      <c r="AI57" s="508"/>
    </row>
    <row r="58" spans="2:35">
      <c r="B58" s="7"/>
      <c r="C58" s="141"/>
      <c r="D58" s="141"/>
      <c r="E58" s="156"/>
      <c r="F58" s="141"/>
      <c r="G58" s="145"/>
      <c r="H58" s="145"/>
      <c r="I58" s="145"/>
      <c r="J58" s="145"/>
      <c r="M58" s="7"/>
      <c r="N58" s="141"/>
      <c r="O58" s="141"/>
      <c r="P58" s="156"/>
      <c r="Q58" s="141"/>
      <c r="R58" s="145"/>
      <c r="S58" s="145"/>
      <c r="T58" s="145"/>
      <c r="U58" s="145"/>
    </row>
    <row r="59" spans="2:35">
      <c r="B59" s="7"/>
      <c r="C59" s="8"/>
      <c r="D59" s="8"/>
      <c r="E59" s="9"/>
      <c r="G59" s="145"/>
      <c r="H59" s="145"/>
      <c r="I59" s="145"/>
      <c r="M59" s="7"/>
      <c r="N59" s="8"/>
      <c r="O59" s="8"/>
      <c r="P59" s="9"/>
      <c r="R59" s="145"/>
      <c r="S59" s="145"/>
      <c r="T59" s="145"/>
    </row>
    <row r="60" spans="2:35">
      <c r="B60" s="7"/>
      <c r="C60" s="568" t="s">
        <v>284</v>
      </c>
      <c r="D60" s="568"/>
      <c r="E60" s="568"/>
      <c r="F60" s="568"/>
      <c r="G60" s="568"/>
      <c r="H60" s="568"/>
      <c r="I60" s="568"/>
      <c r="J60" s="568"/>
      <c r="M60" s="7"/>
      <c r="N60" s="568" t="s">
        <v>273</v>
      </c>
      <c r="O60" s="568"/>
      <c r="P60" s="568"/>
      <c r="Q60" s="568"/>
      <c r="R60" s="568"/>
      <c r="S60" s="568"/>
      <c r="T60" s="568"/>
      <c r="U60" s="568"/>
    </row>
    <row r="61" spans="2:35">
      <c r="B61" s="7"/>
      <c r="C61" s="564" t="str">
        <f>C51</f>
        <v>10/1/2025</v>
      </c>
      <c r="D61" s="564"/>
      <c r="E61" s="565" t="str">
        <f>E51</f>
        <v>1/1/26</v>
      </c>
      <c r="F61" s="564"/>
      <c r="G61" s="564" t="str">
        <f>G51</f>
        <v>Authorized</v>
      </c>
      <c r="H61" s="564"/>
      <c r="I61" s="565" t="str">
        <f>I51</f>
        <v>w/Pending</v>
      </c>
      <c r="J61" s="564"/>
      <c r="M61" s="7"/>
      <c r="N61" s="564" t="str">
        <f>N51</f>
        <v>10/1/2025</v>
      </c>
      <c r="O61" s="564"/>
      <c r="P61" s="565" t="str">
        <f>P51</f>
        <v>1/1/26</v>
      </c>
      <c r="Q61" s="564"/>
      <c r="R61" s="564" t="str">
        <f>R51</f>
        <v>Authorized</v>
      </c>
      <c r="S61" s="564"/>
      <c r="T61" s="565" t="str">
        <f>T51</f>
        <v>w/Pending</v>
      </c>
      <c r="U61" s="564"/>
    </row>
    <row r="62" spans="2:35">
      <c r="B62" s="7"/>
      <c r="C62" s="8" t="s">
        <v>192</v>
      </c>
      <c r="D62" s="8" t="s">
        <v>193</v>
      </c>
      <c r="E62" s="8" t="s">
        <v>192</v>
      </c>
      <c r="F62" s="8" t="s">
        <v>193</v>
      </c>
      <c r="G62" s="8" t="s">
        <v>192</v>
      </c>
      <c r="H62" s="8" t="s">
        <v>193</v>
      </c>
      <c r="I62" s="8" t="s">
        <v>192</v>
      </c>
      <c r="J62" s="8" t="s">
        <v>193</v>
      </c>
      <c r="M62" s="7"/>
      <c r="N62" s="8" t="s">
        <v>192</v>
      </c>
      <c r="O62" s="8" t="s">
        <v>193</v>
      </c>
      <c r="P62" s="8" t="s">
        <v>192</v>
      </c>
      <c r="Q62" s="8" t="s">
        <v>193</v>
      </c>
      <c r="R62" s="8" t="s">
        <v>192</v>
      </c>
      <c r="S62" s="8" t="s">
        <v>193</v>
      </c>
      <c r="T62" s="8" t="s">
        <v>192</v>
      </c>
      <c r="U62" s="8" t="s">
        <v>193</v>
      </c>
    </row>
    <row r="63" spans="2:35" ht="15" customHeight="1">
      <c r="B63" s="136" t="s">
        <v>223</v>
      </c>
      <c r="C63" s="157">
        <f>$F$15+($C$22*$I31)+('Incremental Rev Req'!$F$87*$I31)</f>
        <v>125.04435190793733</v>
      </c>
      <c r="D63" s="157">
        <f>$F$15+($C$25*$J31)+('Incremental Rev Req'!$F$87*$J31)</f>
        <v>127.29416195033593</v>
      </c>
      <c r="E63" s="157">
        <f>$F$15+($D$22*$I31)+('Incremental Rev Req'!$F$87*$I31)</f>
        <v>137.69835632870357</v>
      </c>
      <c r="F63" s="157">
        <f>$F$15+($D$25*$J31)+('Incremental Rev Req'!$F$87*$J31)</f>
        <v>140.22936646934141</v>
      </c>
      <c r="G63" s="157">
        <f>$F$15+($E$22*$I31)+('Incremental Rev Req'!$F$87*$I31)</f>
        <v>135.67705806673325</v>
      </c>
      <c r="H63" s="157">
        <f>$F$15+($E$25*$J31)+('Incremental Rev Req'!$F$87*$J31)</f>
        <v>138.1631504682162</v>
      </c>
      <c r="I63" s="157">
        <f>$F$15+($F$22*$I31)+('Incremental Rev Req'!$F$87*$I31)</f>
        <v>139.94019977057968</v>
      </c>
      <c r="J63" s="157">
        <f>$F$15+($F$25*$J31)+('Incremental Rev Req'!$F$87*$J31)</f>
        <v>142.52102865437035</v>
      </c>
      <c r="M63" s="136" t="s">
        <v>223</v>
      </c>
      <c r="N63" s="157">
        <f>$F$15+($C$22*$L31)+('Incremental Rev Req'!$F$87*$L31)</f>
        <v>91.672169612357976</v>
      </c>
      <c r="O63" s="157">
        <f>$F$15+($C$25*$M31)+('Incremental Rev Req'!$F$87*$M31)</f>
        <v>122.79454186553872</v>
      </c>
      <c r="P63" s="157">
        <f>$F$15+($D$22*$L31)+('Incremental Rev Req'!$F$87*$L31)</f>
        <v>100.15503924257534</v>
      </c>
      <c r="Q63" s="157">
        <f>$F$15+($D$25*$M31)+('Incremental Rev Req'!$F$87*$M31)</f>
        <v>135.16734618806572</v>
      </c>
      <c r="R63" s="157">
        <f>$F$15+($E$22*$L31)+('Incremental Rev Req'!$F$87*$L31)</f>
        <v>98.80002077806931</v>
      </c>
      <c r="S63" s="157">
        <f>$F$15+($E$25*$M31)+('Incremental Rev Req'!$F$87*$M31)</f>
        <v>133.19096566525027</v>
      </c>
      <c r="T63" s="157">
        <f>$F$15+($F$22*$L31)+('Incremental Rev Req'!$F$87*$L31)</f>
        <v>101.65790466101822</v>
      </c>
      <c r="U63" s="157">
        <f>$F$15+($F$25*$M31)+('Incremental Rev Req'!$F$87*$M31)</f>
        <v>137.35937088678904</v>
      </c>
      <c r="X63" s="508"/>
      <c r="Y63" s="508"/>
      <c r="Z63" s="508"/>
      <c r="AA63" s="508"/>
      <c r="AB63" s="508"/>
      <c r="AC63" s="508"/>
      <c r="AD63" s="508"/>
      <c r="AE63" s="508"/>
      <c r="AF63" s="508"/>
      <c r="AG63" s="508"/>
      <c r="AH63" s="508"/>
      <c r="AI63" s="508"/>
    </row>
    <row r="64" spans="2:35" ht="15" customHeight="1">
      <c r="B64" s="139" t="s">
        <v>225</v>
      </c>
      <c r="C64" s="157">
        <f>$F$15+($C$22*$I32)+('Incremental Rev Req'!$F$87*$I32)</f>
        <v>176.7899828831053</v>
      </c>
      <c r="D64" s="157">
        <f>$F$15+($C$25*$J32)+('Incremental Rev Req'!$F$87*$J32)</f>
        <v>168.91564773471018</v>
      </c>
      <c r="E64" s="157">
        <f>$F$15+($D$22*$I32)+('Incremental Rev Req'!$F$87*$I32)</f>
        <v>195.91158956337424</v>
      </c>
      <c r="F64" s="157">
        <f>$F$15+($D$25*$J32)+('Incremental Rev Req'!$F$87*$J32)</f>
        <v>187.05305407114176</v>
      </c>
      <c r="G64" s="157">
        <f>$F$15+($E$22*$I32)+('Incremental Rev Req'!$F$87*$I32)</f>
        <v>192.85718330084131</v>
      </c>
      <c r="H64" s="157">
        <f>$F$15+($E$25*$J32)+('Incremental Rev Req'!$F$87*$J32)</f>
        <v>184.15585989565096</v>
      </c>
      <c r="I64" s="157">
        <f>$F$15+($F$22*$I32)+('Incremental Rev Req'!$F$87*$I32)</f>
        <v>199.29926409776482</v>
      </c>
      <c r="J64" s="157">
        <f>$F$15+($F$25*$J32)+('Incremental Rev Req'!$F$87*$J32)</f>
        <v>190.26636300449752</v>
      </c>
      <c r="M64" s="139" t="s">
        <v>225</v>
      </c>
      <c r="N64" s="157">
        <f>$F$15+($C$22*$L32)+('Incremental Rev Req'!$F$87*$L32)</f>
        <v>194.78846322229415</v>
      </c>
      <c r="O64" s="157">
        <f>$F$15+($C$25*$M32)+('Incremental Rev Req'!$F$87*$M32)</f>
        <v>272.78187802544591</v>
      </c>
      <c r="P64" s="157">
        <f>$F$15+($D$22*$L32)+('Incremental Rev Req'!$F$87*$L32)</f>
        <v>216.15967068847709</v>
      </c>
      <c r="Q64" s="157">
        <f>$F$15+($D$25*$M32)+('Incremental Rev Req'!$F$87*$M32)</f>
        <v>303.90135556392283</v>
      </c>
      <c r="R64" s="157">
        <f>$F$15+($E$22*$L32)+('Incremental Rev Req'!$F$87*$L32)</f>
        <v>212.74592251270499</v>
      </c>
      <c r="S64" s="157">
        <f>$F$15+($E$25*$M32)+('Incremental Rev Req'!$F$87*$M32)</f>
        <v>298.93045909744768</v>
      </c>
      <c r="T64" s="157">
        <f>$F$15+($F$22*$L32)+('Incremental Rev Req'!$F$87*$L32)</f>
        <v>219.94589516809009</v>
      </c>
      <c r="U64" s="157">
        <f>$F$15+($F$25*$M32)+('Incremental Rev Req'!$F$87*$M32)</f>
        <v>309.41462980616632</v>
      </c>
      <c r="X64" s="508"/>
      <c r="Y64" s="508"/>
      <c r="Z64" s="508"/>
      <c r="AA64" s="508"/>
      <c r="AB64" s="508"/>
      <c r="AC64" s="508"/>
      <c r="AD64" s="508"/>
      <c r="AE64" s="508"/>
      <c r="AF64" s="508"/>
      <c r="AG64" s="508"/>
      <c r="AH64" s="508"/>
      <c r="AI64" s="508"/>
    </row>
    <row r="65" spans="2:35">
      <c r="B65" s="139" t="s">
        <v>222</v>
      </c>
      <c r="C65" s="157">
        <f>$F$15+($C$22*$I33)+('Incremental Rev Req'!$F$87*$I33)</f>
        <v>202.66279837068927</v>
      </c>
      <c r="D65" s="157">
        <f>$F$15+($C$25*$J33)+('Incremental Rev Req'!$F$87*$J33)</f>
        <v>146.4175473107241</v>
      </c>
      <c r="E65" s="157">
        <f>$F$15+($D$22*$I33)+('Incremental Rev Req'!$F$87*$I33)</f>
        <v>225.01820618070963</v>
      </c>
      <c r="F65" s="157">
        <f>$F$15+($D$25*$J33)+('Incremental Rev Req'!$F$87*$J33)</f>
        <v>161.74295266476318</v>
      </c>
      <c r="G65" s="157">
        <f>$F$15+($E$22*$I33)+('Incremental Rev Req'!$F$87*$I33)</f>
        <v>221.44724591789537</v>
      </c>
      <c r="H65" s="157">
        <f>$F$15+($E$25*$J33)+('Incremental Rev Req'!$F$87*$J33)</f>
        <v>159.29493588082136</v>
      </c>
      <c r="I65" s="157">
        <f>$F$15+($F$22*$I33)+('Incremental Rev Req'!$F$87*$I33)</f>
        <v>228.97879626135742</v>
      </c>
      <c r="J65" s="157">
        <f>$F$15+($F$25*$J33)+('Incremental Rev Req'!$F$87*$J33)</f>
        <v>164.45807416659093</v>
      </c>
      <c r="M65" s="139" t="s">
        <v>222</v>
      </c>
      <c r="N65" s="157">
        <f>$F$15+($C$22*$L33)+('Incremental Rev Req'!$F$87*$L33)</f>
        <v>214.66178526348185</v>
      </c>
      <c r="O65" s="157">
        <f>$F$15+($C$25*$M33)+('Incremental Rev Req'!$F$87*$M33)</f>
        <v>216.16165862508092</v>
      </c>
      <c r="P65" s="157">
        <f>$F$15+($D$22*$L33)+('Incremental Rev Req'!$F$87*$L33)</f>
        <v>238.51692693077817</v>
      </c>
      <c r="Q65" s="157">
        <f>$F$15+($D$25*$M33)+('Incremental Rev Req'!$F$87*$M33)</f>
        <v>240.20426702453676</v>
      </c>
      <c r="R65" s="157">
        <f>$F$15+($E$22*$L33)+('Incremental Rev Req'!$F$87*$L33)</f>
        <v>234.70640539247114</v>
      </c>
      <c r="S65" s="157">
        <f>$F$15+($E$25*$M33)+('Incremental Rev Req'!$F$87*$M33)</f>
        <v>236.36380032679315</v>
      </c>
      <c r="T65" s="157">
        <f>$F$15+($F$22*$L33)+('Incremental Rev Req'!$F$87*$L33)</f>
        <v>242.7432169749076</v>
      </c>
      <c r="U65" s="157">
        <f>$F$15+($F$25*$M33)+('Incremental Rev Req'!$F$87*$M33)</f>
        <v>244.46376956410137</v>
      </c>
      <c r="X65" s="508"/>
      <c r="Y65" s="508"/>
      <c r="Z65" s="508"/>
      <c r="AA65" s="508"/>
      <c r="AB65" s="508"/>
      <c r="AC65" s="508"/>
      <c r="AD65" s="508"/>
      <c r="AE65" s="508"/>
      <c r="AF65" s="508"/>
      <c r="AG65" s="508"/>
      <c r="AH65" s="508"/>
      <c r="AI65" s="508"/>
    </row>
    <row r="66" spans="2:35" s="10" customFormat="1" ht="18" customHeight="1">
      <c r="B66" s="142" t="s">
        <v>224</v>
      </c>
      <c r="C66" s="157">
        <f>$F$15+($C$22*$I34)+('Incremental Rev Req'!$F$87*$I34)</f>
        <v>140.79302220472761</v>
      </c>
      <c r="D66" s="157">
        <f>$F$15+($C$25*$J34)+('Incremental Rev Req'!$F$87*$J34)</f>
        <v>131.79378203513318</v>
      </c>
      <c r="E66" s="157">
        <f>$F$15+($D$22*$I34)+('Incremental Rev Req'!$F$87*$I34)</f>
        <v>155.41542731316855</v>
      </c>
      <c r="F66" s="157">
        <f>$F$15+($D$25*$J34)+('Incremental Rev Req'!$F$87*$J34)</f>
        <v>145.29138675061714</v>
      </c>
      <c r="G66" s="157">
        <f>$F$15+($E$22*$I34)+('Incremental Rev Req'!$F$87*$I34)</f>
        <v>153.07970487711395</v>
      </c>
      <c r="H66" s="157">
        <f>$F$15+($E$25*$J34)+('Incremental Rev Req'!$F$87*$J34)</f>
        <v>143.13533527118213</v>
      </c>
      <c r="I66" s="157">
        <f>$F$15+($F$22*$I34)+('Incremental Rev Req'!$F$87*$I34)</f>
        <v>158.00600195711431</v>
      </c>
      <c r="J66" s="157">
        <f>$F$15+($F$25*$J34)+('Incremental Rev Req'!$F$87*$J34)</f>
        <v>147.68268642195167</v>
      </c>
      <c r="M66" s="142" t="s">
        <v>224</v>
      </c>
      <c r="N66" s="157">
        <f>$F$15+($C$22*$L34)+('Incremental Rev Req'!$F$87*$L34)</f>
        <v>122.04460518473918</v>
      </c>
      <c r="O66" s="157">
        <f>$F$15+($C$25*$M34)+('Incremental Rev Req'!$F$87*$M34)</f>
        <v>160.6663442459153</v>
      </c>
      <c r="P66" s="157">
        <f>$F$15+($D$22*$L34)+('Incremental Rev Req'!$F$87*$L34)</f>
        <v>134.32367614118641</v>
      </c>
      <c r="Q66" s="157">
        <f>$F$15+($D$25*$M34)+('Incremental Rev Req'!$F$87*$M34)</f>
        <v>177.77268355546963</v>
      </c>
      <c r="R66" s="157">
        <f>$F$15+($E$22*$L34)+('Incremental Rev Req'!$F$87*$L34)</f>
        <v>132.36226819808928</v>
      </c>
      <c r="S66" s="157">
        <f>$F$15+($E$25*$M34)+('Incremental Rev Req'!$F$87*$M34)</f>
        <v>175.0401877568801</v>
      </c>
      <c r="T66" s="157">
        <f>$F$15+($F$22*$L34)+('Incremental Rev Req'!$F$87*$L34)</f>
        <v>136.49909459219214</v>
      </c>
      <c r="U66" s="157">
        <f>$F$15+($F$25*$M34)+('Incremental Rev Req'!$F$87*$M34)</f>
        <v>180.80332376393179</v>
      </c>
      <c r="X66" s="508"/>
      <c r="Y66" s="508"/>
      <c r="Z66" s="508"/>
      <c r="AA66" s="508"/>
      <c r="AB66" s="508"/>
      <c r="AC66" s="508"/>
      <c r="AD66" s="508"/>
      <c r="AE66" s="508"/>
      <c r="AF66" s="508"/>
      <c r="AG66" s="508"/>
      <c r="AH66" s="508"/>
      <c r="AI66" s="508"/>
    </row>
    <row r="67" spans="2:35">
      <c r="B67" s="6" t="s">
        <v>112</v>
      </c>
      <c r="C67" s="155">
        <f t="shared" ref="C67:J67" si="12">SUMPRODUCT(C63:C66,$U$22:$U$25)</f>
        <v>131.8266717930581</v>
      </c>
      <c r="D67" s="155">
        <f t="shared" si="12"/>
        <v>129.45486505846577</v>
      </c>
      <c r="E67" s="155">
        <f t="shared" si="12"/>
        <v>145.32838734589509</v>
      </c>
      <c r="F67" s="155">
        <f t="shared" si="12"/>
        <v>142.66013234491459</v>
      </c>
      <c r="G67" s="155">
        <f t="shared" si="12"/>
        <v>143.17167921832558</v>
      </c>
      <c r="H67" s="155">
        <f t="shared" si="12"/>
        <v>140.55077763573263</v>
      </c>
      <c r="I67" s="155">
        <f t="shared" si="12"/>
        <v>147.72041531267303</v>
      </c>
      <c r="J67" s="155">
        <f t="shared" si="12"/>
        <v>144.99964013074748</v>
      </c>
      <c r="M67" s="6" t="s">
        <v>112</v>
      </c>
      <c r="N67" s="155">
        <f>SUMPRODUCT(N63:N66,$U$31:$U$34)</f>
        <v>106.32857362376443</v>
      </c>
      <c r="O67" s="155">
        <f t="shared" ref="O67:U67" si="13">SUMPRODUCT(O63:O66,$U$31:$U$34)</f>
        <v>141.17507204844424</v>
      </c>
      <c r="P67" s="155">
        <f t="shared" si="13"/>
        <v>116.64332335504474</v>
      </c>
      <c r="Q67" s="155">
        <f t="shared" si="13"/>
        <v>155.8452289455077</v>
      </c>
      <c r="R67" s="155">
        <f t="shared" si="13"/>
        <v>114.99568794958522</v>
      </c>
      <c r="S67" s="155">
        <f t="shared" si="13"/>
        <v>153.50187883649369</v>
      </c>
      <c r="T67" s="155">
        <f t="shared" si="13"/>
        <v>118.47073334090786</v>
      </c>
      <c r="U67" s="155">
        <f t="shared" si="13"/>
        <v>158.44426352281539</v>
      </c>
      <c r="X67" s="508"/>
      <c r="Y67" s="508"/>
      <c r="Z67" s="508"/>
      <c r="AA67" s="508"/>
      <c r="AB67" s="508"/>
      <c r="AC67" s="508"/>
      <c r="AD67" s="508"/>
      <c r="AE67" s="508"/>
      <c r="AF67" s="508"/>
      <c r="AG67" s="508"/>
      <c r="AH67" s="508"/>
      <c r="AI67" s="508"/>
    </row>
    <row r="68" spans="2:35">
      <c r="B68" s="7"/>
      <c r="C68" s="141"/>
      <c r="D68" s="141"/>
      <c r="E68" s="156"/>
      <c r="F68" s="144"/>
      <c r="G68" s="145"/>
      <c r="H68" s="145"/>
      <c r="I68" s="145"/>
      <c r="J68" s="145"/>
      <c r="M68" s="7"/>
      <c r="N68" s="141"/>
      <c r="O68" s="141"/>
      <c r="P68" s="156"/>
      <c r="Q68" s="144"/>
      <c r="R68" s="145"/>
      <c r="S68" s="145"/>
      <c r="T68" s="145"/>
      <c r="U68" s="145"/>
    </row>
    <row r="69" spans="2:35">
      <c r="B69" s="7"/>
      <c r="C69" s="141"/>
      <c r="D69" s="141"/>
      <c r="E69" s="156"/>
      <c r="F69" s="141"/>
      <c r="G69" s="145"/>
      <c r="H69" s="145"/>
      <c r="I69" s="145"/>
      <c r="J69" s="145"/>
      <c r="M69" s="7"/>
      <c r="N69" s="141"/>
      <c r="O69" s="141"/>
      <c r="P69" s="156"/>
      <c r="Q69" s="141"/>
      <c r="R69" s="145"/>
      <c r="S69" s="145"/>
      <c r="T69" s="145"/>
      <c r="U69" s="145"/>
    </row>
    <row r="70" spans="2:35">
      <c r="B70" s="7"/>
      <c r="C70" s="568" t="s">
        <v>285</v>
      </c>
      <c r="D70" s="568"/>
      <c r="E70" s="568"/>
      <c r="F70" s="568"/>
      <c r="G70" s="568"/>
      <c r="H70" s="568"/>
      <c r="I70" s="568"/>
      <c r="J70" s="568"/>
      <c r="M70" s="7"/>
      <c r="N70" s="568" t="s">
        <v>274</v>
      </c>
      <c r="O70" s="568"/>
      <c r="P70" s="568"/>
      <c r="Q70" s="568"/>
      <c r="R70" s="568"/>
      <c r="S70" s="568"/>
      <c r="T70" s="568"/>
      <c r="U70" s="568"/>
      <c r="AD70" s="10"/>
      <c r="AE70" s="10"/>
    </row>
    <row r="71" spans="2:35">
      <c r="B71" s="7"/>
      <c r="C71" s="566" t="str">
        <f>C61</f>
        <v>10/1/2025</v>
      </c>
      <c r="D71" s="566"/>
      <c r="E71" s="567" t="str">
        <f>E61</f>
        <v>1/1/26</v>
      </c>
      <c r="F71" s="566"/>
      <c r="G71" s="566" t="str">
        <f>G61</f>
        <v>Authorized</v>
      </c>
      <c r="H71" s="566"/>
      <c r="I71" s="567" t="str">
        <f>I61</f>
        <v>w/Pending</v>
      </c>
      <c r="J71" s="566"/>
      <c r="M71" s="7"/>
      <c r="N71" s="566" t="str">
        <f>N61</f>
        <v>10/1/2025</v>
      </c>
      <c r="O71" s="566"/>
      <c r="P71" s="567" t="str">
        <f>P61</f>
        <v>1/1/26</v>
      </c>
      <c r="Q71" s="566"/>
      <c r="R71" s="566" t="str">
        <f>R61</f>
        <v>Authorized</v>
      </c>
      <c r="S71" s="566"/>
      <c r="T71" s="567" t="str">
        <f>T61</f>
        <v>w/Pending</v>
      </c>
      <c r="U71" s="566"/>
      <c r="AB71" s="10"/>
      <c r="AC71" s="10"/>
    </row>
    <row r="72" spans="2:35">
      <c r="B72" s="7"/>
      <c r="C72" s="141" t="s">
        <v>192</v>
      </c>
      <c r="D72" s="141" t="s">
        <v>193</v>
      </c>
      <c r="E72" s="141" t="s">
        <v>192</v>
      </c>
      <c r="F72" s="141" t="s">
        <v>193</v>
      </c>
      <c r="G72" s="141" t="s">
        <v>192</v>
      </c>
      <c r="H72" s="141" t="s">
        <v>193</v>
      </c>
      <c r="I72" s="141" t="s">
        <v>192</v>
      </c>
      <c r="J72" s="141" t="s">
        <v>193</v>
      </c>
      <c r="M72" s="7"/>
      <c r="N72" s="141" t="s">
        <v>192</v>
      </c>
      <c r="O72" s="141" t="s">
        <v>193</v>
      </c>
      <c r="P72" s="141" t="s">
        <v>192</v>
      </c>
      <c r="Q72" s="141" t="s">
        <v>193</v>
      </c>
      <c r="R72" s="141" t="s">
        <v>192</v>
      </c>
      <c r="S72" s="141" t="s">
        <v>193</v>
      </c>
      <c r="T72" s="141" t="s">
        <v>192</v>
      </c>
      <c r="U72" s="141" t="s">
        <v>193</v>
      </c>
    </row>
    <row r="73" spans="2:35">
      <c r="B73" s="136" t="s">
        <v>223</v>
      </c>
      <c r="C73" s="157">
        <f>$Q$15+($C$31*$I31)+('Incremental Rev Req'!$F$87*$I31)</f>
        <v>70.770600000000002</v>
      </c>
      <c r="D73" s="157">
        <f>$Q$15+($C$34*$J31)+('Incremental Rev Req'!$F$87*$J31)</f>
        <v>72.211860000000001</v>
      </c>
      <c r="E73" s="157">
        <f>$Q$15+($D$31*$I31)+('Incremental Rev Req'!$F$87*$I31)</f>
        <v>77.488199999999992</v>
      </c>
      <c r="F73" s="157">
        <f>$Q$15+($D$34*$J31)+('Incremental Rev Req'!$F$87*$J31)</f>
        <v>79.078739999999996</v>
      </c>
      <c r="G73" s="157">
        <f>$Q$15+($E$31*$I31)+('Incremental Rev Req'!$F$87*$I31)</f>
        <v>76.21975838209292</v>
      </c>
      <c r="H73" s="157">
        <f>$Q$15+($E$34*$J31)+('Incremental Rev Req'!$F$87*$J31)</f>
        <v>77.782110790583872</v>
      </c>
      <c r="I73" s="157">
        <f>$Q$15+($F$31*$I31)+('Incremental Rev Req'!$F$87*$I31)</f>
        <v>78.895042115292654</v>
      </c>
      <c r="J73" s="157">
        <f>$Q$15+($F$34*$J31)+('Incremental Rev Req'!$F$87*$J31)</f>
        <v>80.516845273410269</v>
      </c>
      <c r="M73" s="136" t="s">
        <v>223</v>
      </c>
      <c r="N73" s="157">
        <f>$Q$15+($C$31*$L31)+('Incremental Rev Req'!$F$87*$L31)</f>
        <v>49.391909999999996</v>
      </c>
      <c r="O73" s="157">
        <f>$Q$15+($C$34*$M31)+('Incremental Rev Req'!$F$87*$M31)</f>
        <v>69.329340000000002</v>
      </c>
      <c r="P73" s="157">
        <f>$Q$15+($D$31*$L31)+('Incremental Rev Req'!$F$87*$L31)</f>
        <v>53.895189999999992</v>
      </c>
      <c r="Q73" s="157">
        <f>$Q$15+($D$34*$M31)+('Incremental Rev Req'!$F$87*$M31)</f>
        <v>75.897659999999988</v>
      </c>
      <c r="R73" s="157">
        <f>$Q$15+($E$31*$L31)+('Incremental Rev Req'!$F$87*$L31)</f>
        <v>53.044864322810433</v>
      </c>
      <c r="S73" s="157">
        <f>$Q$15+($E$34*$M31)+('Incremental Rev Req'!$F$87*$M31)</f>
        <v>74.657405973601968</v>
      </c>
      <c r="T73" s="157">
        <f>$Q$15+($F$31*$L31)+('Incremental Rev Req'!$F$87*$L31)</f>
        <v>54.838295269881371</v>
      </c>
      <c r="U73" s="157">
        <f>$Q$15+($F$34*$M31)+('Incremental Rev Req'!$F$87*$M31)</f>
        <v>77.273238957175039</v>
      </c>
      <c r="X73" s="508"/>
      <c r="Y73" s="508"/>
      <c r="Z73" s="508"/>
      <c r="AA73" s="508"/>
      <c r="AB73" s="508"/>
      <c r="AC73" s="508"/>
      <c r="AD73" s="508"/>
      <c r="AE73" s="508"/>
      <c r="AF73" s="508"/>
      <c r="AG73" s="508"/>
      <c r="AH73" s="508"/>
      <c r="AI73" s="508"/>
    </row>
    <row r="74" spans="2:35">
      <c r="B74" s="139" t="s">
        <v>225</v>
      </c>
      <c r="C74" s="157">
        <f>$Q$15+($C$31*$I32)+('Incremental Rev Req'!$F$87*$I32)</f>
        <v>103.91958</v>
      </c>
      <c r="D74" s="157">
        <f>$Q$15+($C$34*$J32)+('Incremental Rev Req'!$F$87*$J32)</f>
        <v>98.875169999999997</v>
      </c>
      <c r="E74" s="157">
        <f>$Q$15+($D$31*$I32)+('Incremental Rev Req'!$F$87*$I32)</f>
        <v>114.07061999999999</v>
      </c>
      <c r="F74" s="157">
        <f>$Q$15+($D$34*$J32)+('Incremental Rev Req'!$F$87*$J32)</f>
        <v>108.50372999999999</v>
      </c>
      <c r="G74" s="157">
        <f>$Q$15+($E$31*$I32)+('Incremental Rev Req'!$F$87*$I32)</f>
        <v>112.15386377738486</v>
      </c>
      <c r="H74" s="157">
        <f>$Q$15+($E$34*$J32)+('Incremental Rev Req'!$F$87*$J32)</f>
        <v>106.68563034766652</v>
      </c>
      <c r="I74" s="157">
        <f>$Q$15+($F$31*$I32)+('Incremental Rev Req'!$F$87*$I32)</f>
        <v>116.1965147519978</v>
      </c>
      <c r="J74" s="157">
        <f>$Q$15+($F$34*$J32)+('Incremental Rev Req'!$F$87*$J32)</f>
        <v>110.52020369858614</v>
      </c>
      <c r="M74" s="139" t="s">
        <v>225</v>
      </c>
      <c r="N74" s="157">
        <f>$Q$15+($C$31*$L32)+('Incremental Rev Req'!$F$87*$L32)</f>
        <v>115.44966000000001</v>
      </c>
      <c r="O74" s="157">
        <f>$Q$15+($C$34*$M32)+('Incremental Rev Req'!$F$87*$M32)</f>
        <v>165.41334000000001</v>
      </c>
      <c r="P74" s="157">
        <f>$Q$15+($D$31*$L32)+('Incremental Rev Req'!$F$87*$L32)</f>
        <v>126.79494</v>
      </c>
      <c r="Q74" s="157">
        <f>$Q$15+($D$34*$M32)+('Incremental Rev Req'!$F$87*$M32)</f>
        <v>181.93366</v>
      </c>
      <c r="R74" s="157">
        <f>$Q$15+($E$31*$L32)+('Incremental Rev Req'!$F$87*$L32)</f>
        <v>124.65268304531249</v>
      </c>
      <c r="S74" s="157">
        <f>$Q$15+($E$34*$M32)+('Incremental Rev Req'!$F$87*$M32)</f>
        <v>178.81423320633223</v>
      </c>
      <c r="T74" s="157">
        <f>$Q$15+($F$31*$L32)+('Incremental Rev Req'!$F$87*$L32)</f>
        <v>129.17094001693872</v>
      </c>
      <c r="U74" s="157">
        <f>$Q$15+($F$34*$M32)+('Incremental Rev Req'!$F$87*$M32)</f>
        <v>185.39344949834936</v>
      </c>
      <c r="X74" s="508"/>
      <c r="Y74" s="508"/>
      <c r="Z74" s="508"/>
      <c r="AA74" s="508"/>
      <c r="AB74" s="508"/>
      <c r="AC74" s="508"/>
      <c r="AD74" s="508"/>
      <c r="AE74" s="508"/>
      <c r="AF74" s="508"/>
      <c r="AG74" s="508"/>
      <c r="AH74" s="508"/>
      <c r="AI74" s="508"/>
    </row>
    <row r="75" spans="2:35">
      <c r="B75" s="139" t="s">
        <v>222</v>
      </c>
      <c r="C75" s="157">
        <f>$Q$15+($C$31*$I33)+('Incremental Rev Req'!$F$87*$I33)</f>
        <v>120.49407000000001</v>
      </c>
      <c r="D75" s="157">
        <f>$Q$15+($C$34*$J33)+('Incremental Rev Req'!$F$87*$J33)</f>
        <v>84.462569999999999</v>
      </c>
      <c r="E75" s="157">
        <f>$Q$15+($D$31*$I33)+('Incremental Rev Req'!$F$87*$I33)</f>
        <v>132.36183</v>
      </c>
      <c r="F75" s="157">
        <f>$Q$15+($D$34*$J33)+('Incremental Rev Req'!$F$87*$J33)</f>
        <v>92.59832999999999</v>
      </c>
      <c r="G75" s="157">
        <f>$Q$15+($E$31*$I33)+('Incremental Rev Req'!$F$87*$I33)</f>
        <v>130.12091647503084</v>
      </c>
      <c r="H75" s="157">
        <f>$Q$15+($E$34*$J33)+('Incremental Rev Req'!$F$87*$J33)</f>
        <v>91.062106262756984</v>
      </c>
      <c r="I75" s="157">
        <f>$Q$15+($F$31*$I33)+('Incremental Rev Req'!$F$87*$I33)</f>
        <v>134.84725107035038</v>
      </c>
      <c r="J75" s="157">
        <f>$Q$15+($F$34*$J33)+('Incremental Rev Req'!$F$87*$J33)</f>
        <v>94.302172117409995</v>
      </c>
      <c r="M75" s="139" t="s">
        <v>222</v>
      </c>
      <c r="N75" s="157">
        <f>$Q$15+($C$31*$L33)+('Incremental Rev Req'!$F$87*$L33)</f>
        <v>128.18079</v>
      </c>
      <c r="O75" s="157">
        <f>$Q$15+($C$34*$M33)+('Incremental Rev Req'!$F$87*$M33)</f>
        <v>129.14163000000002</v>
      </c>
      <c r="P75" s="157">
        <f>$Q$15+($D$31*$L33)+('Incremental Rev Req'!$F$87*$L33)</f>
        <v>140.84470999999999</v>
      </c>
      <c r="Q75" s="157">
        <f>$Q$15+($D$34*$M33)+('Incremental Rev Req'!$F$87*$M33)</f>
        <v>141.90507000000002</v>
      </c>
      <c r="R75" s="157">
        <f>$Q$15+($E$31*$L33)+('Incremental Rev Req'!$F$87*$L33)</f>
        <v>138.45346265364924</v>
      </c>
      <c r="S75" s="157">
        <f>$Q$15+($E$34*$M33)+('Incremental Rev Req'!$F$87*$M33)</f>
        <v>139.49503092597658</v>
      </c>
      <c r="T75" s="157">
        <f>$Q$15+($F$31*$L33)+('Incremental Rev Req'!$F$87*$L33)</f>
        <v>143.49686791364431</v>
      </c>
      <c r="U75" s="157">
        <f>$Q$15+($F$34*$M33)+('Incremental Rev Req'!$F$87*$M33)</f>
        <v>144.57807001905607</v>
      </c>
      <c r="X75" s="508"/>
      <c r="Y75" s="508"/>
      <c r="Z75" s="508"/>
      <c r="AA75" s="508"/>
      <c r="AB75" s="508"/>
      <c r="AC75" s="508"/>
      <c r="AD75" s="508"/>
      <c r="AE75" s="508"/>
      <c r="AF75" s="508"/>
      <c r="AG75" s="508"/>
      <c r="AH75" s="508"/>
      <c r="AI75" s="508"/>
    </row>
    <row r="76" spans="2:35">
      <c r="B76" s="142" t="s">
        <v>224</v>
      </c>
      <c r="C76" s="157">
        <f>$Q$15+($C$31*$I34)+('Incremental Rev Req'!$F$87*$I34)</f>
        <v>80.85942</v>
      </c>
      <c r="D76" s="157">
        <f>$Q$15+($C$34*$J34)+('Incremental Rev Req'!$F$87*$J34)</f>
        <v>75.094380000000001</v>
      </c>
      <c r="E76" s="157">
        <f>$Q$15+($D$31*$I34)+('Incremental Rev Req'!$F$87*$I34)</f>
        <v>88.621979999999994</v>
      </c>
      <c r="F76" s="157">
        <f>$Q$15+($D$34*$J34)+('Incremental Rev Req'!$F$87*$J34)</f>
        <v>82.259819999999991</v>
      </c>
      <c r="G76" s="157">
        <f>$Q$15+($E$31*$I34)+('Incremental Rev Req'!$F$87*$I34)</f>
        <v>87.156225241529597</v>
      </c>
      <c r="H76" s="157">
        <f>$Q$15+($E$34*$J34)+('Incremental Rev Req'!$F$87*$J34)</f>
        <v>80.906815607565775</v>
      </c>
      <c r="I76" s="157">
        <f>$Q$15+($F$31*$I34)+('Incremental Rev Req'!$F$87*$I34)</f>
        <v>90.247664222115958</v>
      </c>
      <c r="J76" s="157">
        <f>$Q$15+($F$34*$J34)+('Incremental Rev Req'!$F$87*$J34)</f>
        <v>83.760451589645498</v>
      </c>
      <c r="M76" s="142" t="s">
        <v>224</v>
      </c>
      <c r="N76" s="157">
        <f>$Q$15+($C$31*$L34)+('Incremental Rev Req'!$F$87*$L34)</f>
        <v>68.848920000000007</v>
      </c>
      <c r="O76" s="157">
        <f>$Q$15+($C$34*$M34)+('Incremental Rev Req'!$F$87*$M34)</f>
        <v>93.590549999999993</v>
      </c>
      <c r="P76" s="157">
        <f>$Q$15+($D$31*$L34)+('Incremental Rev Req'!$F$87*$L34)</f>
        <v>75.36748</v>
      </c>
      <c r="Q76" s="157">
        <f>$Q$15+($D$34*$M34)+('Incremental Rev Req'!$F$87*$M34)</f>
        <v>102.67174999999999</v>
      </c>
      <c r="R76" s="157">
        <f>$Q$15+($E$31*$L34)+('Incremental Rev Req'!$F$87*$L34)</f>
        <v>74.136621837438312</v>
      </c>
      <c r="S76" s="157">
        <f>$Q$15+($E$34*$M34)+('Incremental Rev Req'!$F$87*$M34)</f>
        <v>100.95700484986635</v>
      </c>
      <c r="T76" s="157">
        <f>$Q$15+($F$31*$L34)+('Incremental Rev Req'!$F$87*$L34)</f>
        <v>76.732637904469172</v>
      </c>
      <c r="U76" s="157">
        <f>$Q$15+($F$34*$M34)+('Incremental Rev Req'!$F$87*$M34)</f>
        <v>104.57359211882155</v>
      </c>
      <c r="X76" s="508"/>
      <c r="Y76" s="508"/>
      <c r="Z76" s="508"/>
      <c r="AA76" s="508"/>
      <c r="AB76" s="508"/>
      <c r="AC76" s="508"/>
      <c r="AD76" s="508"/>
      <c r="AE76" s="508"/>
      <c r="AF76" s="508"/>
      <c r="AG76" s="508"/>
      <c r="AH76" s="508"/>
      <c r="AI76" s="508"/>
    </row>
    <row r="77" spans="2:35">
      <c r="B77" s="6" t="s">
        <v>112</v>
      </c>
      <c r="C77" s="155">
        <f>SUMPRODUCT(C73:C76,$V$22:$V$25)</f>
        <v>76.054919174212856</v>
      </c>
      <c r="D77" s="155">
        <f t="shared" ref="D77:J77" si="14">SUMPRODUCT(D73:D76,$V$22:$V$25)</f>
        <v>73.855253006439199</v>
      </c>
      <c r="E77" s="155">
        <f t="shared" si="14"/>
        <v>83.319848015869795</v>
      </c>
      <c r="F77" s="155">
        <f t="shared" si="14"/>
        <v>80.892349142321137</v>
      </c>
      <c r="G77" s="155">
        <f t="shared" si="14"/>
        <v>81.948057779194329</v>
      </c>
      <c r="H77" s="155">
        <f t="shared" si="14"/>
        <v>79.563579104217396</v>
      </c>
      <c r="I77" s="155">
        <f t="shared" si="14"/>
        <v>84.841315185550542</v>
      </c>
      <c r="J77" s="155">
        <f t="shared" si="14"/>
        <v>82.366102151330608</v>
      </c>
      <c r="M77" s="6" t="s">
        <v>112</v>
      </c>
      <c r="N77" s="155">
        <f>SUMPRODUCT(N73:N76,$V$31:$V$34)</f>
        <v>61.019396057037234</v>
      </c>
      <c r="O77" s="155">
        <f t="shared" ref="O77:U77" si="15">SUMPRODUCT(O73:O76,$V$31:$V$34)</f>
        <v>83.881895404352775</v>
      </c>
      <c r="P77" s="155">
        <f t="shared" si="15"/>
        <v>66.727004990466668</v>
      </c>
      <c r="Q77" s="155">
        <f t="shared" si="15"/>
        <v>91.957511430581064</v>
      </c>
      <c r="R77" s="155">
        <f t="shared" si="15"/>
        <v>65.649273552170229</v>
      </c>
      <c r="S77" s="155">
        <f t="shared" si="15"/>
        <v>90.432644296797378</v>
      </c>
      <c r="T77" s="155">
        <f t="shared" si="15"/>
        <v>67.922328413291666</v>
      </c>
      <c r="U77" s="155">
        <f t="shared" si="15"/>
        <v>93.648757818075154</v>
      </c>
      <c r="X77" s="508"/>
      <c r="Y77" s="508"/>
      <c r="Z77" s="508"/>
      <c r="AA77" s="508"/>
      <c r="AB77" s="508"/>
      <c r="AC77" s="508"/>
      <c r="AD77" s="508"/>
      <c r="AE77" s="508"/>
      <c r="AF77" s="508"/>
      <c r="AG77" s="508"/>
      <c r="AH77" s="508"/>
      <c r="AI77" s="508"/>
    </row>
    <row r="78" spans="2:35">
      <c r="B78" s="7"/>
      <c r="C78" s="8"/>
      <c r="D78" s="8"/>
      <c r="E78" s="9"/>
      <c r="F78" s="8"/>
      <c r="G78" s="145"/>
      <c r="H78" s="145"/>
      <c r="I78" s="145"/>
      <c r="J78" s="145"/>
      <c r="M78" s="7"/>
      <c r="N78" s="8"/>
      <c r="O78" s="8"/>
      <c r="P78" s="9"/>
      <c r="Q78" s="8"/>
      <c r="R78" s="145"/>
      <c r="S78" s="145"/>
      <c r="T78" s="145"/>
      <c r="U78" s="145"/>
    </row>
    <row r="79" spans="2:35" ht="15" thickBot="1"/>
    <row r="80" spans="2:35" s="709" customFormat="1" ht="15" thickBot="1">
      <c r="B80" s="713">
        <f>IF(Summary!$I$9="",400,Summary!$I$9)</f>
        <v>400</v>
      </c>
      <c r="C80" s="714" t="str">
        <f>$B$80&amp;" kWh Monthly Basic Bundled Non-CARE Customer"</f>
        <v>400 kWh Monthly Basic Bundled Non-CARE Customer</v>
      </c>
      <c r="D80" s="714"/>
      <c r="E80" s="714"/>
      <c r="F80" s="714"/>
      <c r="G80" s="714"/>
      <c r="H80" s="714"/>
      <c r="I80" s="714"/>
      <c r="J80" s="714"/>
      <c r="M80" s="713">
        <f>IF(Summary!$I$9="",400,Summary!$I$9)</f>
        <v>400</v>
      </c>
      <c r="N80" s="714" t="str">
        <f>$M$80&amp;" kWh Monthly All-Electric Bundled Non-CARE Customer"</f>
        <v>400 kWh Monthly All-Electric Bundled Non-CARE Customer</v>
      </c>
      <c r="O80" s="714"/>
      <c r="P80" s="714"/>
      <c r="Q80" s="714"/>
      <c r="R80" s="714"/>
      <c r="S80" s="714"/>
      <c r="T80" s="714"/>
      <c r="U80" s="714"/>
    </row>
    <row r="81" spans="2:35">
      <c r="B81" s="7"/>
      <c r="C81" s="564" t="str">
        <f>C71</f>
        <v>10/1/2025</v>
      </c>
      <c r="D81" s="564"/>
      <c r="E81" s="565" t="str">
        <f>E71</f>
        <v>1/1/26</v>
      </c>
      <c r="F81" s="564"/>
      <c r="G81" s="564" t="str">
        <f>G71</f>
        <v>Authorized</v>
      </c>
      <c r="H81" s="564"/>
      <c r="I81" s="565" t="str">
        <f>I71</f>
        <v>w/Pending</v>
      </c>
      <c r="J81" s="564"/>
      <c r="M81" s="7"/>
      <c r="N81" s="564" t="str">
        <f>N71</f>
        <v>10/1/2025</v>
      </c>
      <c r="O81" s="564"/>
      <c r="P81" s="565" t="str">
        <f>P71</f>
        <v>1/1/26</v>
      </c>
      <c r="Q81" s="564"/>
      <c r="R81" s="564" t="str">
        <f>R71</f>
        <v>Authorized</v>
      </c>
      <c r="S81" s="564"/>
      <c r="T81" s="565" t="str">
        <f>T71</f>
        <v>w/Pending</v>
      </c>
      <c r="U81" s="564"/>
    </row>
    <row r="82" spans="2:35">
      <c r="B82" s="7"/>
      <c r="C82" s="8" t="s">
        <v>192</v>
      </c>
      <c r="D82" s="8" t="s">
        <v>193</v>
      </c>
      <c r="E82" s="8" t="s">
        <v>192</v>
      </c>
      <c r="F82" s="8" t="s">
        <v>193</v>
      </c>
      <c r="G82" s="8" t="s">
        <v>192</v>
      </c>
      <c r="H82" s="8" t="s">
        <v>193</v>
      </c>
      <c r="I82" s="8" t="s">
        <v>192</v>
      </c>
      <c r="J82" s="8" t="s">
        <v>193</v>
      </c>
      <c r="M82" s="7"/>
      <c r="N82" s="8" t="s">
        <v>192</v>
      </c>
      <c r="O82" s="8" t="s">
        <v>193</v>
      </c>
      <c r="P82" s="8" t="s">
        <v>192</v>
      </c>
      <c r="Q82" s="8" t="s">
        <v>193</v>
      </c>
      <c r="R82" s="8" t="s">
        <v>192</v>
      </c>
      <c r="S82" s="8" t="s">
        <v>193</v>
      </c>
      <c r="T82" s="8" t="s">
        <v>192</v>
      </c>
      <c r="U82" s="8" t="s">
        <v>193</v>
      </c>
    </row>
    <row r="83" spans="2:35">
      <c r="B83" s="136" t="s">
        <v>223</v>
      </c>
      <c r="C83" s="157">
        <f>$F$15+$C$22*MIN(I22,$B$80)+IF($B$80-I22&gt;0,$C$23*($B$80-I22))+('Incremental Rev Req'!$F$87*$B$80)</f>
        <v>178.53854625311311</v>
      </c>
      <c r="D83" s="157">
        <f>$F$15+$C$25*MIN(J22,$B$80)+IF($B$80-J22&gt;0,$C$26*($B$80-J22))+('Incremental Rev Req'!$F$87*$B$80)</f>
        <v>177.76331195218151</v>
      </c>
      <c r="E83" s="157">
        <f>$F$15+$D$22*MIN(I22,$B$80)+IF($B$80-I22&gt;0,$D$23*($B$80-I22))+('Incremental Rev Req'!$F$87*$B$80)</f>
        <v>197.88029001400659</v>
      </c>
      <c r="F83" s="157">
        <f>$F$15+$D$25*MIN(J22,$B$80)+IF($B$80-J22&gt;0,$D$26*($B$80-J22))+('Incremental Rev Req'!$F$87*$B$80)</f>
        <v>197.00790133839035</v>
      </c>
      <c r="G83" s="157">
        <f>$F$15+$E$22*MIN(I22,$B$80)+IF($B$80-I22&gt;0,$E$23*($B$80-I22))+('Incremental Rev Req'!$F$87*$B$80)</f>
        <v>194.7907199658714</v>
      </c>
      <c r="H83" s="157">
        <f>$F$15+$E$25*MIN(J22,$B$80)+IF($B$80-J22&gt;0,$E$26*($B$80-J22))+('Incremental Rev Req'!$F$87*$B$80)</f>
        <v>193.93385032772056</v>
      </c>
      <c r="I83" s="157">
        <f>$F$15+$F$22*MIN(I22,$B$80)+IF($B$80-I22&gt;0,$F$23*($B$80-I22))+('Incremental Rev Req'!$F$87*$B$80)</f>
        <v>201.30696507772385</v>
      </c>
      <c r="J83" s="157">
        <f>$F$15+$F$25*MIN(J22,$B$80)+IF($B$80-J22&gt;0,$F$26*($B$80-J22))+('Incremental Rev Req'!$F$87*$B$80)</f>
        <v>200.4173640722795</v>
      </c>
      <c r="M83" s="136" t="s">
        <v>223</v>
      </c>
      <c r="N83" s="157">
        <f>$F$15+$C$22*MIN($L22,$M$80)+IF($M$80-$L22&gt;0,$C$23*($M$80-$L22))+('Incremental Rev Req'!$F$87*$M$80)</f>
        <v>189.77944361662102</v>
      </c>
      <c r="O83" s="157">
        <f>$F$15+$C$25*MIN($M22,$M$80)+IF($M$80-$M22&gt;0,$C$26*($M$80-$M22))+('Incremental Rev Req'!$F$87*$M$80)</f>
        <v>179.31378055404465</v>
      </c>
      <c r="P83" s="157">
        <f>$F$15+$D$22*MIN($L22,$M$80)+IF($M$80-$L22&gt;0,$D$23*($M$80-$L22))+('Incremental Rev Req'!$F$87*$M$80)</f>
        <v>210.52992581044208</v>
      </c>
      <c r="Q83" s="157">
        <f>$F$15+$D$25*MIN($M22,$M$80)+IF($M$80-$M22&gt;0,$D$26*($M$80-$M22))+('Incremental Rev Req'!$F$87*$M$80)</f>
        <v>198.75267868962283</v>
      </c>
      <c r="R83" s="157">
        <f>$F$15+$E$22*MIN($L22,$M$80)+IF($M$80-$L22&gt;0,$E$23*($M$80-$L22))+('Incremental Rev Req'!$F$87*$M$80)</f>
        <v>207.21532971905893</v>
      </c>
      <c r="S83" s="157">
        <f>$F$15+$E$25*MIN($M22,$M$80)+IF($M$80-$M22&gt;0,$E$26*($M$80-$M22))+('Incremental Rev Req'!$F$87*$M$80)</f>
        <v>195.64758960402227</v>
      </c>
      <c r="T83" s="157">
        <f>$F$15+$F$22*MIN($L22,$M$80)+IF($M$80-$L22&gt;0,$F$23*($M$80-$L22))+('Incremental Rev Req'!$F$87*$M$80)</f>
        <v>214.20617965666668</v>
      </c>
      <c r="U83" s="157">
        <f>$F$15+$F$25*MIN($M22,$M$80)+IF($M$80-$M22&gt;0,$F$26*($M$80-$M22))+('Incremental Rev Req'!$F$87*$M$80)</f>
        <v>202.19656608316819</v>
      </c>
      <c r="X83" s="508"/>
      <c r="Y83" s="508"/>
      <c r="Z83" s="508"/>
      <c r="AA83" s="508"/>
      <c r="AB83" s="508"/>
      <c r="AC83" s="508"/>
      <c r="AD83" s="508"/>
      <c r="AE83" s="508"/>
      <c r="AF83" s="508"/>
      <c r="AG83" s="508"/>
      <c r="AH83" s="508"/>
      <c r="AI83" s="508"/>
    </row>
    <row r="84" spans="2:35">
      <c r="B84" s="139" t="s">
        <v>225</v>
      </c>
      <c r="C84" s="157">
        <f>$F$15+$C$22*MIN(I23,$B$80)+IF($B$80-I23&gt;0,$C$23*($B$80-I23))+('Incremental Rev Req'!$F$87*$B$80)</f>
        <v>173.79023615990715</v>
      </c>
      <c r="D84" s="157">
        <f>$F$15+$C$25*MIN(J23,$B$80)+IF($B$80-J23&gt;0,$C$26*($B$80-J23))+('Incremental Rev Req'!$F$87*$B$80)</f>
        <v>173.79023615990715</v>
      </c>
      <c r="E84" s="157">
        <f>$F$15+$D$22*MIN(I23,$B$80)+IF($B$80-I23&gt;0,$D$23*($B$80-I23))+('Incremental Rev Req'!$F$87*$B$80)</f>
        <v>192.53690937585711</v>
      </c>
      <c r="F84" s="157">
        <f>$F$15+$D$25*MIN(J23,$B$80)+IF($B$80-J23&gt;0,$D$26*($B$80-J23))+('Incremental Rev Req'!$F$87*$B$80)</f>
        <v>192.53690937585711</v>
      </c>
      <c r="G84" s="157">
        <f>$F$15+$E$22*MIN(I23,$B$80)+IF($B$80-I23&gt;0,$E$23*($B$80-I23))+('Incremental Rev Req'!$F$87*$B$80)</f>
        <v>189.54239343219737</v>
      </c>
      <c r="H84" s="157">
        <f>$F$15+$E$25*MIN(J23,$B$80)+IF($B$80-J23&gt;0,$E$26*($B$80-J23))+('Incremental Rev Req'!$F$87*$B$80)</f>
        <v>189.54239343219737</v>
      </c>
      <c r="I84" s="157">
        <f>$F$15+$F$22*MIN(I23,$B$80)+IF($B$80-I23&gt;0,$F$23*($B$80-I23))+('Incremental Rev Req'!$F$87*$B$80)</f>
        <v>195.8581589193773</v>
      </c>
      <c r="J84" s="157">
        <f>$F$15+$F$25*MIN(J23,$B$80)+IF($B$80-J23&gt;0,$F$26*($B$80-J23))+('Incremental Rev Req'!$F$87*$B$80)</f>
        <v>195.8581589193773</v>
      </c>
      <c r="M84" s="139" t="s">
        <v>225</v>
      </c>
      <c r="N84" s="157">
        <f>$F$15+$C$22*MIN($L23,$M$80)+IF($M$80-$L23&gt;0,$C$23*($M$80-$L23))+('Incremental Rev Req'!$F$87*$M$80)</f>
        <v>173.79023615990715</v>
      </c>
      <c r="O84" s="157">
        <f>$F$15+$C$25*MIN($M23,$M$80)+IF($M$80-$M23&gt;0,$C$26*($M$80-$M23))+('Incremental Rev Req'!$F$87*$M$80)</f>
        <v>173.79023615990715</v>
      </c>
      <c r="P84" s="157">
        <f>$F$15+$D$22*MIN($L23,$M$80)+IF($M$80-$L23&gt;0,$D$23*($M$80-$L23))+('Incremental Rev Req'!$F$87*$M$80)</f>
        <v>192.53690937585711</v>
      </c>
      <c r="Q84" s="157">
        <f>$F$15+$D$25*MIN($M23,$M$80)+IF($M$80-$M23&gt;0,$D$26*($M$80-$M23))+('Incremental Rev Req'!$F$87*$M$80)</f>
        <v>192.53690937585711</v>
      </c>
      <c r="R84" s="157">
        <f>$F$15+$E$22*MIN($L23,$M$80)+IF($M$80-$L23&gt;0,$E$23*($M$80-$L23))+('Incremental Rev Req'!$F$87*$M$80)</f>
        <v>189.54239343219737</v>
      </c>
      <c r="S84" s="157">
        <f>$F$15+$E$25*MIN($M23,$M$80)+IF($M$80-$M23&gt;0,$E$26*($M$80-$M23))+('Incremental Rev Req'!$F$87*$M$80)</f>
        <v>189.54239343219737</v>
      </c>
      <c r="T84" s="157">
        <f>$F$15+$F$22*MIN($L23,$M$80)+IF($M$80-$L23&gt;0,$F$23*($M$80-$L23))+('Incremental Rev Req'!$F$87*$M$80)</f>
        <v>195.8581589193773</v>
      </c>
      <c r="U84" s="157">
        <f>$F$15+$F$25*MIN($M23,$M$80)+IF($M$80-$M23&gt;0,$F$26*($M$80-$M23))+('Incremental Rev Req'!$F$87*$M$80)</f>
        <v>195.8581589193773</v>
      </c>
      <c r="X84" s="508"/>
      <c r="Y84" s="508"/>
      <c r="Z84" s="508"/>
      <c r="AA84" s="508"/>
      <c r="AB84" s="508"/>
      <c r="AC84" s="508"/>
      <c r="AD84" s="508"/>
      <c r="AE84" s="508"/>
      <c r="AF84" s="508"/>
      <c r="AG84" s="508"/>
      <c r="AH84" s="508"/>
      <c r="AI84" s="508"/>
    </row>
    <row r="85" spans="2:35">
      <c r="B85" s="139" t="s">
        <v>222</v>
      </c>
      <c r="C85" s="157">
        <f>$F$15+$C$22*MIN(I24,$B$80)+IF($B$80-I24&gt;0,$C$23*($B$80-I24))+('Incremental Rev Req'!$F$87*$B$80)</f>
        <v>173.79023615990715</v>
      </c>
      <c r="D85" s="157">
        <f>$F$15+$C$25*MIN(J24,$B$80)+IF($B$80-J24&gt;0,$C$26*($B$80-J24))+('Incremental Rev Req'!$F$87*$B$80)</f>
        <v>173.79023615990715</v>
      </c>
      <c r="E85" s="157">
        <f>$F$15+$D$22*MIN(I24,$B$80)+IF($B$80-I24&gt;0,$D$23*($B$80-I24))+('Incremental Rev Req'!$F$87*$B$80)</f>
        <v>192.53690937585711</v>
      </c>
      <c r="F85" s="157">
        <f>$F$15+$D$25*MIN(J24,$B$80)+IF($B$80-J24&gt;0,$D$26*($B$80-J24))+('Incremental Rev Req'!$F$87*$B$80)</f>
        <v>192.53690937585711</v>
      </c>
      <c r="G85" s="157">
        <f>$F$15+$E$22*MIN(I24,$B$80)+IF($B$80-I24&gt;0,$E$23*($B$80-I24))+('Incremental Rev Req'!$F$87*$B$80)</f>
        <v>189.54239343219737</v>
      </c>
      <c r="H85" s="157">
        <f>$F$15+$E$25*MIN(J24,$B$80)+IF($B$80-J24&gt;0,$E$26*($B$80-J24))+('Incremental Rev Req'!$F$87*$B$80)</f>
        <v>189.54239343219737</v>
      </c>
      <c r="I85" s="157">
        <f>$F$15+$F$22*MIN(I24,$B$80)+IF($B$80-I24&gt;0,$F$23*($B$80-I24))+('Incremental Rev Req'!$F$87*$B$80)</f>
        <v>195.8581589193773</v>
      </c>
      <c r="J85" s="157">
        <f>$F$15+$F$25*MIN(J24,$B$80)+IF($B$80-J24&gt;0,$F$26*($B$80-J24))+('Incremental Rev Req'!$F$87*$B$80)</f>
        <v>195.8581589193773</v>
      </c>
      <c r="M85" s="139" t="s">
        <v>222</v>
      </c>
      <c r="N85" s="157">
        <f>$F$15+$C$22*MIN($L24,$M$80)+IF($M$80-$L24&gt;0,$C$23*($M$80-$L24))+('Incremental Rev Req'!$F$87*$M$80)</f>
        <v>173.79023615990715</v>
      </c>
      <c r="O85" s="157">
        <f>$F$15+$C$25*MIN($M24,$M$80)+IF($M$80-$M24&gt;0,$C$26*($M$80-$M24))+('Incremental Rev Req'!$F$87*$M$80)</f>
        <v>173.79023615990715</v>
      </c>
      <c r="P85" s="157">
        <f>$F$15+$D$22*MIN($L24,$M$80)+IF($M$80-$L24&gt;0,$D$23*($M$80-$L24))+('Incremental Rev Req'!$F$87*$M$80)</f>
        <v>192.53690937585711</v>
      </c>
      <c r="Q85" s="157">
        <f>$F$15+$D$25*MIN($M24,$M$80)+IF($M$80-$M24&gt;0,$D$26*($M$80-$M24))+('Incremental Rev Req'!$F$87*$M$80)</f>
        <v>192.53690937585711</v>
      </c>
      <c r="R85" s="157">
        <f>$F$15+$E$22*MIN($L24,$M$80)+IF($M$80-$L24&gt;0,$E$23*($M$80-$L24))+('Incremental Rev Req'!$F$87*$M$80)</f>
        <v>189.54239343219737</v>
      </c>
      <c r="S85" s="157">
        <f>$F$15+$E$25*MIN($M24,$M$80)+IF($M$80-$M24&gt;0,$E$26*($M$80-$M24))+('Incremental Rev Req'!$F$87*$M$80)</f>
        <v>189.54239343219737</v>
      </c>
      <c r="T85" s="157">
        <f>$F$15+$F$22*MIN($L24,$M$80)+IF($M$80-$L24&gt;0,$F$23*($M$80-$L24))+('Incremental Rev Req'!$F$87*$M$80)</f>
        <v>195.8581589193773</v>
      </c>
      <c r="U85" s="157">
        <f>$F$15+$F$25*MIN($M24,$M$80)+IF($M$80-$M24&gt;0,$F$26*($M$80-$M24))+('Incremental Rev Req'!$F$87*$M$80)</f>
        <v>195.8581589193773</v>
      </c>
      <c r="X85" s="508"/>
      <c r="Y85" s="508"/>
      <c r="Z85" s="508"/>
      <c r="AA85" s="508"/>
      <c r="AB85" s="508"/>
      <c r="AC85" s="508"/>
      <c r="AD85" s="508"/>
      <c r="AE85" s="508"/>
      <c r="AF85" s="508"/>
      <c r="AG85" s="508"/>
      <c r="AH85" s="508"/>
      <c r="AI85" s="508"/>
    </row>
    <row r="86" spans="2:35">
      <c r="B86" s="142" t="s">
        <v>224</v>
      </c>
      <c r="C86" s="157">
        <f>$F$15+$C$22*MIN(I25,$B$80)+IF($B$80-I25&gt;0,$C$23*($B$80-I25))+('Incremental Rev Req'!$F$87*$B$80)</f>
        <v>173.79023615990715</v>
      </c>
      <c r="D86" s="157">
        <f>$F$15+$C$25*MIN(J25,$B$80)+IF($B$80-J25&gt;0,$C$26*($B$80-J25))+('Incremental Rev Req'!$F$87*$B$80)</f>
        <v>176.30974763793478</v>
      </c>
      <c r="E86" s="157">
        <f>$F$15+$D$22*MIN(I25,$B$80)+IF($B$80-I25&gt;0,$D$23*($B$80-I25))+('Incremental Rev Req'!$F$87*$B$80)</f>
        <v>192.53690937585711</v>
      </c>
      <c r="F86" s="157">
        <f>$F$15+$D$25*MIN(J25,$B$80)+IF($B$80-J25&gt;0,$D$26*($B$80-J25))+('Incremental Rev Req'!$F$87*$B$80)</f>
        <v>195.37217257160989</v>
      </c>
      <c r="G86" s="157">
        <f>$F$15+$E$22*MIN(I25,$B$80)+IF($B$80-I25&gt;0,$E$23*($B$80-I25))+('Incremental Rev Req'!$F$87*$B$80)</f>
        <v>189.54239343219737</v>
      </c>
      <c r="H86" s="157">
        <f>$F$15+$E$25*MIN(J25,$B$80)+IF($B$80-J25&gt;0,$E$26*($B$80-J25))+('Incremental Rev Req'!$F$87*$B$80)</f>
        <v>192.3272197561877</v>
      </c>
      <c r="I86" s="157">
        <f>$F$15+$F$22*MIN(I25,$B$80)+IF($B$80-I25&gt;0,$F$23*($B$80-I25))+('Incremental Rev Req'!$F$87*$B$80)</f>
        <v>195.8581589193773</v>
      </c>
      <c r="J86" s="157">
        <f>$F$15+$F$25*MIN(J25,$B$80)+IF($B$80-J25&gt;0,$F$26*($B$80-J25))+('Incremental Rev Req'!$F$87*$B$80)</f>
        <v>198.7493621870714</v>
      </c>
      <c r="M86" s="142" t="s">
        <v>224</v>
      </c>
      <c r="N86" s="157">
        <f>$F$15+$C$22*MIN($L25,$M$80)+IF($M$80-$L25&gt;0,$C$23*($M$80-$L25))+('Incremental Rev Req'!$F$87*$M$80)</f>
        <v>179.50758912927759</v>
      </c>
      <c r="O86" s="157">
        <f>$F$15+$C$25*MIN($M25,$M$80)+IF($M$80-$M25&gt;0,$C$26*($M$80-$M25))+('Incremental Rev Req'!$F$87*$M$80)</f>
        <v>173.79023615990715</v>
      </c>
      <c r="P86" s="157">
        <f>$F$15+$D$22*MIN($L25,$M$80)+IF($M$80-$L25&gt;0,$D$23*($M$80-$L25))+('Incremental Rev Req'!$F$87*$M$80)</f>
        <v>198.97077585852688</v>
      </c>
      <c r="Q86" s="157">
        <f>$F$15+$D$25*MIN($M25,$M$80)+IF($M$80-$M25&gt;0,$D$26*($M$80-$M25))+('Incremental Rev Req'!$F$87*$M$80)</f>
        <v>192.53690937585711</v>
      </c>
      <c r="R86" s="157">
        <f>$F$15+$E$22*MIN($L25,$M$80)+IF($M$80-$L25&gt;0,$E$23*($M$80-$L25))+('Incremental Rev Req'!$F$87*$M$80)</f>
        <v>195.86180701356</v>
      </c>
      <c r="S86" s="157">
        <f>$F$15+$E$25*MIN($M25,$M$80)+IF($M$80-$M25&gt;0,$E$26*($M$80-$M25))+('Incremental Rev Req'!$F$87*$M$80)</f>
        <v>189.54239343219737</v>
      </c>
      <c r="T86" s="157">
        <f>$F$15+$F$22*MIN($L25,$M$80)+IF($M$80-$L25&gt;0,$F$23*($M$80-$L25))+('Incremental Rev Req'!$F$87*$M$80)</f>
        <v>202.41896633452927</v>
      </c>
      <c r="U86" s="157">
        <f>$F$15+$F$25*MIN($M25,$M$80)+IF($M$80-$M25&gt;0,$F$26*($M$80-$M25))+('Incremental Rev Req'!$F$87*$M$80)</f>
        <v>195.8581589193773</v>
      </c>
      <c r="X86" s="508"/>
      <c r="Y86" s="508"/>
      <c r="Z86" s="508"/>
      <c r="AA86" s="508"/>
      <c r="AB86" s="508"/>
      <c r="AC86" s="508"/>
      <c r="AD86" s="508"/>
      <c r="AE86" s="508"/>
      <c r="AF86" s="508"/>
      <c r="AG86" s="508"/>
      <c r="AH86" s="508"/>
      <c r="AI86" s="508"/>
    </row>
    <row r="87" spans="2:35">
      <c r="B87" s="6" t="s">
        <v>112</v>
      </c>
      <c r="C87" s="155">
        <f>SUMPRODUCT(C83:C86,$U$22:$U$25)</f>
        <v>176.60612535545329</v>
      </c>
      <c r="D87" s="155">
        <f t="shared" ref="D87:J87" si="16">SUMPRODUCT(D83:D86,$U$22:$U$25)</f>
        <v>177.14767612458201</v>
      </c>
      <c r="E87" s="155">
        <f>SUMPRODUCT(E83:E86,$U$22:$U$25)</f>
        <v>195.70569311392518</v>
      </c>
      <c r="F87" s="155">
        <f t="shared" si="16"/>
        <v>196.31511243101608</v>
      </c>
      <c r="G87" s="155">
        <f t="shared" si="16"/>
        <v>192.65480725749001</v>
      </c>
      <c r="H87" s="155">
        <f t="shared" si="16"/>
        <v>193.25338553379441</v>
      </c>
      <c r="I87" s="155">
        <f t="shared" si="16"/>
        <v>199.08946312839828</v>
      </c>
      <c r="J87" s="155">
        <f t="shared" si="16"/>
        <v>199.7109063593507</v>
      </c>
      <c r="M87" s="6" t="s">
        <v>112</v>
      </c>
      <c r="N87" s="155">
        <f>SUMPRODUCT(N83:N86,$U$31:$U$34)</f>
        <v>185.35493388762617</v>
      </c>
      <c r="O87" s="155">
        <f t="shared" ref="O87:U87" si="17">SUMPRODUCT(O83:O86,$U$31:$U$34)</f>
        <v>177.01508926743924</v>
      </c>
      <c r="P87" s="155">
        <f t="shared" si="17"/>
        <v>205.55092503855846</v>
      </c>
      <c r="Q87" s="155">
        <f t="shared" si="17"/>
        <v>196.16590944481197</v>
      </c>
      <c r="R87" s="155">
        <f t="shared" si="17"/>
        <v>202.32490105004496</v>
      </c>
      <c r="S87" s="155">
        <f t="shared" si="17"/>
        <v>193.10683673923393</v>
      </c>
      <c r="T87" s="155">
        <f t="shared" si="17"/>
        <v>209.12894262164099</v>
      </c>
      <c r="U87" s="155">
        <f t="shared" si="17"/>
        <v>199.55875958091079</v>
      </c>
      <c r="X87" s="508"/>
      <c r="Y87" s="508"/>
      <c r="Z87" s="508"/>
      <c r="AA87" s="508"/>
      <c r="AB87" s="508"/>
      <c r="AC87" s="508"/>
      <c r="AD87" s="508"/>
      <c r="AE87" s="508"/>
      <c r="AF87" s="508"/>
      <c r="AG87" s="508"/>
      <c r="AH87" s="508"/>
      <c r="AI87" s="508"/>
    </row>
    <row r="88" spans="2:35">
      <c r="B88" s="7"/>
      <c r="C88" s="141"/>
      <c r="D88" s="141"/>
      <c r="E88" s="156"/>
      <c r="F88" s="144"/>
      <c r="G88" s="145"/>
      <c r="H88" s="145"/>
      <c r="I88" s="145"/>
      <c r="J88" s="145"/>
      <c r="M88" s="7"/>
      <c r="N88" s="141"/>
      <c r="O88" s="141"/>
      <c r="P88" s="156"/>
      <c r="Q88" s="144"/>
      <c r="R88" s="145"/>
      <c r="S88" s="145"/>
      <c r="T88" s="145"/>
      <c r="U88" s="145"/>
    </row>
    <row r="89" spans="2:35" ht="15" thickBot="1">
      <c r="B89" s="7"/>
      <c r="C89" s="141"/>
      <c r="D89" s="141"/>
      <c r="E89" s="220"/>
      <c r="F89" s="141"/>
      <c r="G89" s="145"/>
      <c r="H89" s="145"/>
      <c r="I89" s="145"/>
      <c r="J89" s="145"/>
      <c r="M89" s="7"/>
      <c r="N89" s="141"/>
      <c r="O89" s="141"/>
      <c r="P89" s="220"/>
      <c r="Q89" s="141"/>
      <c r="R89" s="145"/>
      <c r="S89" s="145"/>
      <c r="T89" s="145"/>
      <c r="U89" s="145"/>
    </row>
    <row r="90" spans="2:35" s="709" customFormat="1" ht="15" thickBot="1">
      <c r="B90" s="713">
        <f>IF(Summary!$I$9="",400,Summary!$I$9)</f>
        <v>400</v>
      </c>
      <c r="C90" s="714" t="str">
        <f>$B$90&amp;" kWh Monthly Basic Bundled CARE Customer"</f>
        <v>400 kWh Monthly Basic Bundled CARE Customer</v>
      </c>
      <c r="D90" s="714"/>
      <c r="E90" s="714"/>
      <c r="F90" s="714"/>
      <c r="G90" s="714"/>
      <c r="H90" s="714"/>
      <c r="I90" s="714"/>
      <c r="J90" s="714"/>
      <c r="M90" s="713">
        <f>IF(Summary!$I$9="",400,Summary!$I$9)</f>
        <v>400</v>
      </c>
      <c r="N90" s="714" t="str">
        <f>$M$90&amp;" kWh Monthly All-Electric Bundled CARE Customer"</f>
        <v>400 kWh Monthly All-Electric Bundled CARE Customer</v>
      </c>
      <c r="O90" s="714"/>
      <c r="P90" s="714"/>
      <c r="Q90" s="714"/>
      <c r="R90" s="714"/>
      <c r="S90" s="714"/>
      <c r="T90" s="714"/>
      <c r="U90" s="714"/>
    </row>
    <row r="91" spans="2:35">
      <c r="B91" s="7"/>
      <c r="C91" s="566" t="str">
        <f>C81</f>
        <v>10/1/2025</v>
      </c>
      <c r="D91" s="566"/>
      <c r="E91" s="567" t="str">
        <f>E81</f>
        <v>1/1/26</v>
      </c>
      <c r="F91" s="566"/>
      <c r="G91" s="566" t="str">
        <f>G81</f>
        <v>Authorized</v>
      </c>
      <c r="H91" s="566"/>
      <c r="I91" s="567" t="str">
        <f>I81</f>
        <v>w/Pending</v>
      </c>
      <c r="J91" s="566"/>
      <c r="M91" s="7"/>
      <c r="N91" s="566" t="str">
        <f>N81</f>
        <v>10/1/2025</v>
      </c>
      <c r="O91" s="566"/>
      <c r="P91" s="567" t="str">
        <f>P81</f>
        <v>1/1/26</v>
      </c>
      <c r="Q91" s="566"/>
      <c r="R91" s="566" t="str">
        <f>R81</f>
        <v>Authorized</v>
      </c>
      <c r="S91" s="566"/>
      <c r="T91" s="567" t="str">
        <f>T81</f>
        <v>w/Pending</v>
      </c>
      <c r="U91" s="566"/>
    </row>
    <row r="92" spans="2:35">
      <c r="B92" s="7"/>
      <c r="C92" s="141" t="s">
        <v>192</v>
      </c>
      <c r="D92" s="141" t="s">
        <v>193</v>
      </c>
      <c r="E92" s="141" t="s">
        <v>192</v>
      </c>
      <c r="F92" s="141" t="s">
        <v>193</v>
      </c>
      <c r="G92" s="141" t="s">
        <v>192</v>
      </c>
      <c r="H92" s="141" t="s">
        <v>193</v>
      </c>
      <c r="I92" s="141" t="s">
        <v>192</v>
      </c>
      <c r="J92" s="141" t="s">
        <v>193</v>
      </c>
      <c r="M92" s="7"/>
      <c r="N92" s="141" t="s">
        <v>192</v>
      </c>
      <c r="O92" s="141" t="s">
        <v>193</v>
      </c>
      <c r="P92" s="141" t="s">
        <v>192</v>
      </c>
      <c r="Q92" s="141" t="s">
        <v>193</v>
      </c>
      <c r="R92" s="141" t="s">
        <v>192</v>
      </c>
      <c r="S92" s="141" t="s">
        <v>193</v>
      </c>
      <c r="T92" s="141" t="s">
        <v>192</v>
      </c>
      <c r="U92" s="141" t="s">
        <v>193</v>
      </c>
    </row>
    <row r="93" spans="2:35">
      <c r="B93" s="136" t="s">
        <v>223</v>
      </c>
      <c r="C93" s="157">
        <f>$Q$15+$C$31*MIN(I22,$B$90)+IF($B$90-I22&gt;0,$C$32*($B$90-I22))+('Incremental Rev Req'!$F$87*$B$90)</f>
        <v>105.08441000000001</v>
      </c>
      <c r="D93" s="157">
        <f>$Q$15+$C$34*MIN(J22,$B$90)+IF($B$90-J22&gt;0,$C$35*($B$90-J22))+('Incremental Rev Req'!$F$87*$B$90)</f>
        <v>104.58049</v>
      </c>
      <c r="E93" s="157">
        <f>$Q$15+$D$31*MIN(I22,$B$90)+IF($B$90-I22&gt;0,$D$32*($B$90-I22))+('Incremental Rev Req'!$F$87*$B$90)</f>
        <v>115.42252999999999</v>
      </c>
      <c r="F93" s="157">
        <f>$Q$15+$D$34*MIN(J22,$B$90)+IF($B$90-J22&gt;0,$D$35*($B$90-J22))+('Incremental Rev Req'!$F$87*$B$90)</f>
        <v>114.85557</v>
      </c>
      <c r="G93" s="157">
        <f>$Q$15+$E$31*MIN(I22,$B$90)+IF($B$90-I22&gt;0,$E$32*($B$90-I22))+('Incremental Rev Req'!$F$87*$B$90)</f>
        <v>113.48158215863805</v>
      </c>
      <c r="H93" s="157">
        <f>$Q$15+$E$34*MIN(J22,$B$90)+IF($B$90-J22&gt;0,$E$35*($B$90-J22))+('Incremental Rev Req'!$F$87*$B$90)</f>
        <v>112.92470788502047</v>
      </c>
      <c r="I93" s="157">
        <f>$Q$15+$F$31*MIN(I22,$B$90)+IF($B$90-I22&gt;0,$F$32*($B$90-I22))+('Incremental Rev Req'!$F$87*$B$90)</f>
        <v>117.5752559341426</v>
      </c>
      <c r="J93" s="157">
        <f>$Q$15+$F$34*MIN(J22,$B$90)+IF($B$90-J22&gt;0,$F$35*($B$90-J22))+('Incremental Rev Req'!$F$87*$B$90)</f>
        <v>116.99710974753553</v>
      </c>
      <c r="M93" s="136" t="s">
        <v>223</v>
      </c>
      <c r="N93" s="157">
        <f>$Q$15+$C$31*MIN($L22,$M$90)+IF($M$90-$L22&gt;0,$C$32*($M$90-$L22))+('Incremental Rev Req'!$F$87*$M$90)</f>
        <v>112.39125000000001</v>
      </c>
      <c r="O93" s="157">
        <f>$Q$15+$C$34*MIN($M22,$M$90)+IF($M$90-$M22&gt;0,$C$35*($M$90-$M22))+('Incremental Rev Req'!$F$87*$M$90)</f>
        <v>105.58833000000001</v>
      </c>
      <c r="P93" s="157">
        <f>$Q$15+$D$31*MIN($L22,$B$90)+IF($B$90-$L22&gt;0,$D$32*($B$90-$L22))+('Incremental Rev Req'!$F$87*$B$90)</f>
        <v>123.64345</v>
      </c>
      <c r="Q93" s="157">
        <f>$Q$15+$D$34*MIN($M22,$B$90)+IF($B$90-$M22&gt;0,$D$35*($B$90-$M22))+('Incremental Rev Req'!$F$87*$B$90)</f>
        <v>115.98949</v>
      </c>
      <c r="R93" s="157">
        <f>$Q$15+$E$31*MIN($L22,$B$90)+IF($B$90-$L22&gt;0,$E$32*($B$90-$L22))+('Incremental Rev Req'!$F$87*$B$90)</f>
        <v>121.55625912609325</v>
      </c>
      <c r="S93" s="157">
        <f>$Q$15+$E$34*MIN($M22,$B$90)+IF($B$90-$M22&gt;0,$E$35*($B$90-$M22))+('Incremental Rev Req'!$F$87*$B$90)</f>
        <v>114.03845643225566</v>
      </c>
      <c r="T93" s="157">
        <f>$Q$15+$F$31*MIN(L22,$B$90)+IF($B$90-L22&gt;0,$F$32*($B$90-L22))+('Incremental Rev Req'!$F$87*$B$90)</f>
        <v>125.95837563994507</v>
      </c>
      <c r="U93" s="157">
        <f>$Q$15+$F$34*MIN($M22,$B$90)+IF($B$90-$M22&gt;0,$F$35*($B$90-$M22))+('Incremental Rev Req'!$F$87*$B$90)</f>
        <v>118.15340212074966</v>
      </c>
      <c r="X93" s="508"/>
      <c r="Y93" s="508"/>
      <c r="Z93" s="508"/>
      <c r="AA93" s="508"/>
      <c r="AB93" s="508"/>
      <c r="AC93" s="508"/>
      <c r="AD93" s="508"/>
      <c r="AE93" s="508"/>
      <c r="AF93" s="508"/>
      <c r="AG93" s="508"/>
      <c r="AH93" s="508"/>
      <c r="AI93" s="508"/>
    </row>
    <row r="94" spans="2:35">
      <c r="B94" s="139" t="s">
        <v>225</v>
      </c>
      <c r="C94" s="157">
        <f>$Q$15+$C$31*MIN(I23,$B$90)+IF($B$90-I23&gt;0,$C$32*($B$90-I23))+('Incremental Rev Req'!$F$87*$B$90)</f>
        <v>101.9979</v>
      </c>
      <c r="D94" s="157">
        <f>$Q$15+$C$34*MIN(J23,$B$90)+IF($B$90-J23&gt;0,$C$35*($B$90-J23))+('Incremental Rev Req'!$F$87*$B$90)</f>
        <v>101.9979</v>
      </c>
      <c r="E94" s="157">
        <f>$Q$15+$D$31*MIN(I23,$B$90)+IF($B$90-I23&gt;0,$D$32*($B$90-I23))+('Incremental Rev Req'!$F$87*$B$90)</f>
        <v>111.9499</v>
      </c>
      <c r="F94" s="157">
        <f>$Q$15+$D$34*MIN(J23,$B$90)+IF($B$90-J23&gt;0,$D$35*($B$90-J23))+('Incremental Rev Req'!$F$87*$B$90)</f>
        <v>111.9499</v>
      </c>
      <c r="G94" s="157">
        <f>$Q$15+$E$31*MIN(I23,$B$90)+IF($B$90-I23&gt;0,$E$32*($B$90-I23))+('Incremental Rev Req'!$F$87*$B$90)</f>
        <v>110.07072723273026</v>
      </c>
      <c r="H94" s="157">
        <f>$Q$15+$E$34*MIN(J23,$B$90)+IF($B$90-J23&gt;0,$E$35*($B$90-J23))+('Incremental Rev Req'!$F$87*$B$90)</f>
        <v>110.07072723273026</v>
      </c>
      <c r="I94" s="157">
        <f>$Q$15+$F$31*MIN(I23,$B$90)+IF($B$90-I23&gt;0,$F$32*($B$90-I23))+('Incremental Rev Req'!$F$87*$B$90)</f>
        <v>114.03411054117431</v>
      </c>
      <c r="J94" s="157">
        <f>$Q$15+$F$34*MIN(J23,$B$90)+IF($B$90-J23&gt;0,$F$35*($B$90-J23))+('Incremental Rev Req'!$F$87*$B$90)</f>
        <v>114.03411054117431</v>
      </c>
      <c r="M94" s="139" t="s">
        <v>225</v>
      </c>
      <c r="N94" s="157">
        <f>$Q$15+$C$31*MIN($L23,$M$90)+IF($M$90-$L23&gt;0,$C$32*($M$90-$L23))+('Incremental Rev Req'!$F$87*$M$90)</f>
        <v>101.9979</v>
      </c>
      <c r="O94" s="157">
        <f>$Q$15+$C$34*MIN($M23,$M$90)+IF($M$90-$M23&gt;0,$C$35*($M$90-$M23))+('Incremental Rev Req'!$F$87*$M$90)</f>
        <v>101.9979</v>
      </c>
      <c r="P94" s="157">
        <f>$Q$15+$D$31*MIN($L23,$B$90)+IF($B$90-$L23&gt;0,$D$32*($B$90-$L23))+('Incremental Rev Req'!$F$87*$B$90)</f>
        <v>111.9499</v>
      </c>
      <c r="Q94" s="157">
        <f>$Q$15+$D$34*MIN($M23,$B$90)+IF($B$90-$M23&gt;0,$D$35*($B$90-$M23))+('Incremental Rev Req'!$F$87*$B$90)</f>
        <v>111.9499</v>
      </c>
      <c r="R94" s="157">
        <f>$Q$15+$E$31*MIN($L23,$B$90)+IF($B$90-$L23&gt;0,$E$32*($B$90-$L23))+('Incremental Rev Req'!$F$87*$B$90)</f>
        <v>110.07072723273026</v>
      </c>
      <c r="S94" s="157">
        <f>$Q$15+$E$34*MIN($M23,$B$90)+IF($B$90-$M23&gt;0,$E$35*($B$90-$M23))+('Incremental Rev Req'!$F$87*$B$90)</f>
        <v>110.07072723273026</v>
      </c>
      <c r="T94" s="157">
        <f>$Q$15+$F$31*MIN(L23,$B$90)+IF($B$90-L23&gt;0,$F$32*($B$90-L23))+('Incremental Rev Req'!$F$87*$B$90)</f>
        <v>114.03411054117431</v>
      </c>
      <c r="U94" s="157">
        <f>$Q$15+$F$34*MIN($M23,$B$90)+IF($B$90-$M23&gt;0,$F$35*($B$90-$M23))+('Incremental Rev Req'!$F$87*$B$90)</f>
        <v>114.03411054117431</v>
      </c>
      <c r="X94" s="508"/>
      <c r="Y94" s="508"/>
      <c r="Z94" s="508"/>
      <c r="AA94" s="508"/>
      <c r="AB94" s="508"/>
      <c r="AC94" s="508"/>
      <c r="AD94" s="508"/>
      <c r="AE94" s="508"/>
      <c r="AF94" s="508"/>
      <c r="AG94" s="508"/>
      <c r="AH94" s="508"/>
      <c r="AI94" s="508"/>
    </row>
    <row r="95" spans="2:35">
      <c r="B95" s="139" t="s">
        <v>222</v>
      </c>
      <c r="C95" s="157">
        <f>$Q$15+$C$31*MIN(I24,$B$90)+IF($B$90-I24&gt;0,$C$32*($B$90-I24))+('Incremental Rev Req'!$F$87*$B$90)</f>
        <v>101.9979</v>
      </c>
      <c r="D95" s="157">
        <f>$Q$15+$C$34*MIN(J24,$B$90)+IF($B$90-J24&gt;0,$C$35*($B$90-J24))+('Incremental Rev Req'!$F$87*$B$90)</f>
        <v>101.9979</v>
      </c>
      <c r="E95" s="157">
        <f>$Q$15+$D$31*MIN(I24,$B$90)+IF($B$90-I24&gt;0,$D$32*($B$90-I24))+('Incremental Rev Req'!$F$87*$B$90)</f>
        <v>111.9499</v>
      </c>
      <c r="F95" s="157">
        <f>$Q$15+$D$34*MIN(J24,$B$90)+IF($B$90-J24&gt;0,$D$35*($B$90-J24))+('Incremental Rev Req'!$F$87*$B$90)</f>
        <v>111.9499</v>
      </c>
      <c r="G95" s="157">
        <f>$Q$15+$E$31*MIN(I24,$B$90)+IF($B$90-I24&gt;0,$E$32*($B$90-I24))+('Incremental Rev Req'!$F$87*$B$90)</f>
        <v>110.07072723273026</v>
      </c>
      <c r="H95" s="157">
        <f>$Q$15+$E$34*MIN(J24,$B$90)+IF($B$90-J24&gt;0,$E$35*($B$90-J24))+('Incremental Rev Req'!$F$87*$B$90)</f>
        <v>110.07072723273026</v>
      </c>
      <c r="I95" s="157">
        <f>$Q$15+$F$31*MIN(I24,$B$90)+IF($B$90-I24&gt;0,$F$32*($B$90-I24))+('Incremental Rev Req'!$F$87*$B$90)</f>
        <v>114.03411054117431</v>
      </c>
      <c r="J95" s="157">
        <f>$Q$15+$F$34*MIN(J24,$B$90)+IF($B$90-J24&gt;0,$F$35*($B$90-J24))+('Incremental Rev Req'!$F$87*$B$90)</f>
        <v>114.03411054117431</v>
      </c>
      <c r="M95" s="139" t="s">
        <v>222</v>
      </c>
      <c r="N95" s="157">
        <f>$Q$15+$C$31*MIN($L24,$M$90)+IF($M$90-$L24&gt;0,$C$32*($M$90-$L24))+('Incremental Rev Req'!$F$87*$M$90)</f>
        <v>101.9979</v>
      </c>
      <c r="O95" s="157">
        <f>$Q$15+$C$34*MIN($M24,$M$90)+IF($M$90-$M24&gt;0,$C$35*($M$90-$M24))+('Incremental Rev Req'!$F$87*$M$90)</f>
        <v>101.9979</v>
      </c>
      <c r="P95" s="157">
        <f>$Q$15+$D$31*MIN($L24,$B$90)+IF($B$90-$L24&gt;0,$D$32*($B$90-$L24))+('Incremental Rev Req'!$F$87*$B$90)</f>
        <v>111.9499</v>
      </c>
      <c r="Q95" s="157">
        <f>$Q$15+$D$34*MIN($M24,$B$90)+IF($B$90-$M24&gt;0,$D$35*($B$90-$M24))+('Incremental Rev Req'!$F$87*$B$90)</f>
        <v>111.9499</v>
      </c>
      <c r="R95" s="157">
        <f>$Q$15+$E$31*MIN($L24,$B$90)+IF($B$90-$L24&gt;0,$E$32*($B$90-$L24))+('Incremental Rev Req'!$F$87*$B$90)</f>
        <v>110.07072723273026</v>
      </c>
      <c r="S95" s="157">
        <f>$Q$15+$E$34*MIN($M24,$B$90)+IF($B$90-$M24&gt;0,$E$35*($B$90-$M24))+('Incremental Rev Req'!$F$87*$B$90)</f>
        <v>110.07072723273026</v>
      </c>
      <c r="T95" s="157">
        <f>$Q$15+$F$31*MIN(L24,$B$90)+IF($B$90-L24&gt;0,$F$32*($B$90-L24))+('Incremental Rev Req'!$F$87*$B$90)</f>
        <v>114.03411054117431</v>
      </c>
      <c r="U95" s="157">
        <f>$Q$15+$F$34*MIN($M24,$B$90)+IF($B$90-$M24&gt;0,$F$35*($B$90-$M24))+('Incremental Rev Req'!$F$87*$B$90)</f>
        <v>114.03411054117431</v>
      </c>
      <c r="X95" s="508"/>
      <c r="Y95" s="508"/>
      <c r="Z95" s="508"/>
      <c r="AA95" s="508"/>
      <c r="AB95" s="508"/>
      <c r="AC95" s="508"/>
      <c r="AD95" s="508"/>
      <c r="AE95" s="508"/>
      <c r="AF95" s="508"/>
      <c r="AG95" s="508"/>
      <c r="AH95" s="508"/>
      <c r="AI95" s="508"/>
    </row>
    <row r="96" spans="2:35">
      <c r="B96" s="142" t="s">
        <v>224</v>
      </c>
      <c r="C96" s="157">
        <f>$Q$15+$C$31*MIN(I25,$B$90)+IF($B$90-I25&gt;0,$C$32*($B$90-I25))+('Incremental Rev Req'!$F$87*$B$90)</f>
        <v>101.9979</v>
      </c>
      <c r="D96" s="157">
        <f>$Q$15+$C$34*MIN(J25,$B$90)+IF($B$90-J25&gt;0,$C$35*($B$90-J25))+('Incremental Rev Req'!$F$87*$B$90)</f>
        <v>103.63564000000001</v>
      </c>
      <c r="E96" s="157">
        <f>$Q$15+$D$31*MIN(I25,$B$90)+IF($B$90-I25&gt;0,$D$32*($B$90-I25))+('Incremental Rev Req'!$F$87*$B$90)</f>
        <v>111.9499</v>
      </c>
      <c r="F96" s="157">
        <f>$Q$15+$D$34*MIN(J25,$B$90)+IF($B$90-J25&gt;0,$D$35*($B$90-J25))+('Incremental Rev Req'!$F$87*$B$90)</f>
        <v>113.79252000000001</v>
      </c>
      <c r="G96" s="157">
        <f>$Q$15+$E$31*MIN(I25,$B$90)+IF($B$90-I25&gt;0,$E$32*($B$90-I25))+('Incremental Rev Req'!$F$87*$B$90)</f>
        <v>110.07072723273026</v>
      </c>
      <c r="H96" s="157">
        <f>$Q$15+$E$34*MIN(J25,$B$90)+IF($B$90-J25&gt;0,$E$35*($B$90-J25))+('Incremental Rev Req'!$F$87*$B$90)</f>
        <v>111.88056862198746</v>
      </c>
      <c r="I96" s="157">
        <f>$Q$15+$F$31*MIN(I25,$B$90)+IF($B$90-I25&gt;0,$F$32*($B$90-I25))+('Incremental Rev Req'!$F$87*$B$90)</f>
        <v>114.03411054117431</v>
      </c>
      <c r="J96" s="157">
        <f>$Q$15+$F$34*MIN(J25,$B$90)+IF($B$90-J25&gt;0,$F$35*($B$90-J25))+('Incremental Rev Req'!$F$87*$B$90)</f>
        <v>115.91308564764728</v>
      </c>
      <c r="M96" s="142" t="s">
        <v>224</v>
      </c>
      <c r="N96" s="157">
        <f>$Q$15+$C$31*MIN($L25,$M$90)+IF($M$90-$L25&gt;0,$C$32*($M$90-$L25))+('Incremental Rev Req'!$F$87*$M$90)</f>
        <v>105.71431000000001</v>
      </c>
      <c r="O96" s="157">
        <f>$Q$15+$C$34*MIN($M25,$M$90)+IF($M$90-$M25&gt;0,$C$35*($M$90-$M25))+('Incremental Rev Req'!$F$87*$M$90)</f>
        <v>101.9979</v>
      </c>
      <c r="P96" s="157">
        <f>$Q$15+$D$31*MIN($L25,$B$90)+IF($B$90-$L25&gt;0,$D$32*($B$90-$L25))+('Incremental Rev Req'!$F$87*$B$90)</f>
        <v>116.13122999999999</v>
      </c>
      <c r="Q96" s="157">
        <f>$Q$15+$D$34*MIN($M25,$B$90)+IF($B$90-$M25&gt;0,$D$35*($B$90-$M25))+('Incremental Rev Req'!$F$87*$B$90)</f>
        <v>111.9499</v>
      </c>
      <c r="R96" s="157">
        <f>$Q$15+$E$31*MIN($L25,$B$90)+IF($B$90-$L25&gt;0,$E$32*($B$90-$L25))+('Incremental Rev Req'!$F$87*$B$90)</f>
        <v>114.17767500066006</v>
      </c>
      <c r="S96" s="157">
        <f>$Q$15+$E$34*MIN($M25,$B$90)+IF($B$90-$M25&gt;0,$E$35*($B$90-$M25))+('Incremental Rev Req'!$F$87*$B$90)</f>
        <v>110.07072723273026</v>
      </c>
      <c r="T96" s="157">
        <f>$Q$15+$F$31*MIN(L25,$B$90)+IF($B$90-L25&gt;0,$F$32*($B$90-L25))+('Incremental Rev Req'!$F$87*$B$90)</f>
        <v>118.29793866740144</v>
      </c>
      <c r="U96" s="157">
        <f>$Q$15+$F$34*MIN($M25,$B$90)+IF($B$90-$M25&gt;0,$F$35*($B$90-$M25))+('Incremental Rev Req'!$F$87*$B$90)</f>
        <v>114.03411054117431</v>
      </c>
      <c r="X96" s="508"/>
      <c r="Y96" s="508"/>
      <c r="Z96" s="508"/>
      <c r="AA96" s="508"/>
      <c r="AB96" s="508"/>
      <c r="AC96" s="508"/>
      <c r="AD96" s="508"/>
      <c r="AE96" s="508"/>
      <c r="AF96" s="508"/>
      <c r="AG96" s="508"/>
      <c r="AH96" s="508"/>
      <c r="AI96" s="508"/>
    </row>
    <row r="97" spans="2:35">
      <c r="B97" s="6" t="s">
        <v>112</v>
      </c>
      <c r="C97" s="155">
        <f>SUMPRODUCT(C93:C96,$V$22:$V$25)</f>
        <v>103.54243824200174</v>
      </c>
      <c r="D97" s="155">
        <f t="shared" ref="D97:J97" si="18">SUMPRODUCT(D93:D96,$V$22:$V$25)</f>
        <v>104.09292989834205</v>
      </c>
      <c r="E97" s="155">
        <f t="shared" si="18"/>
        <v>113.6876587745779</v>
      </c>
      <c r="F97" s="155">
        <f t="shared" si="18"/>
        <v>114.30701650889824</v>
      </c>
      <c r="G97" s="155">
        <f t="shared" si="18"/>
        <v>111.77757278676525</v>
      </c>
      <c r="H97" s="155">
        <f t="shared" si="18"/>
        <v>112.3859126844813</v>
      </c>
      <c r="I97" s="155">
        <f>SUMPRODUCT(I93:I96,$V$22:$V$25)</f>
        <v>115.80615549807636</v>
      </c>
      <c r="J97" s="155">
        <f t="shared" si="18"/>
        <v>116.43773323238372</v>
      </c>
      <c r="M97" s="6" t="s">
        <v>112</v>
      </c>
      <c r="N97" s="155">
        <f>SUMPRODUCT(N93:N96,$V$31:$V$34)</f>
        <v>108.6388111905039</v>
      </c>
      <c r="O97" s="155">
        <f t="shared" ref="O97:U97" si="19">SUMPRODUCT(O93:O96,$V$31:$V$34)</f>
        <v>103.60656825563282</v>
      </c>
      <c r="P97" s="155">
        <f t="shared" si="19"/>
        <v>119.42158401446277</v>
      </c>
      <c r="Q97" s="155">
        <f t="shared" si="19"/>
        <v>113.75981140302741</v>
      </c>
      <c r="R97" s="155">
        <f t="shared" si="19"/>
        <v>117.4094964726311</v>
      </c>
      <c r="S97" s="155">
        <f t="shared" si="19"/>
        <v>111.84844188256994</v>
      </c>
      <c r="T97" s="155">
        <f t="shared" si="19"/>
        <v>121.65321174848106</v>
      </c>
      <c r="U97" s="155">
        <f t="shared" si="19"/>
        <v>115.87973170625995</v>
      </c>
      <c r="X97" s="508"/>
      <c r="Y97" s="508"/>
      <c r="Z97" s="508"/>
      <c r="AA97" s="508"/>
      <c r="AB97" s="508"/>
      <c r="AC97" s="508"/>
      <c r="AD97" s="508"/>
      <c r="AE97" s="508"/>
      <c r="AF97" s="508"/>
      <c r="AG97" s="508"/>
      <c r="AH97" s="508"/>
      <c r="AI97" s="508"/>
    </row>
  </sheetData>
  <mergeCells count="67">
    <mergeCell ref="I41:J41"/>
    <mergeCell ref="B2:D2"/>
    <mergeCell ref="E3:K3"/>
    <mergeCell ref="P3:V3"/>
    <mergeCell ref="C39:J39"/>
    <mergeCell ref="R41:S41"/>
    <mergeCell ref="T41:U41"/>
    <mergeCell ref="U20:V20"/>
    <mergeCell ref="Q21:R21"/>
    <mergeCell ref="S21:T21"/>
    <mergeCell ref="S30:T30"/>
    <mergeCell ref="U29:V29"/>
    <mergeCell ref="Q30:R30"/>
    <mergeCell ref="N39:U39"/>
    <mergeCell ref="N41:O41"/>
    <mergeCell ref="P41:Q41"/>
    <mergeCell ref="C41:D41"/>
    <mergeCell ref="E41:F41"/>
    <mergeCell ref="G41:H41"/>
    <mergeCell ref="C61:D61"/>
    <mergeCell ref="E61:F61"/>
    <mergeCell ref="G61:H61"/>
    <mergeCell ref="I61:J61"/>
    <mergeCell ref="C51:D51"/>
    <mergeCell ref="E51:F51"/>
    <mergeCell ref="G51:H51"/>
    <mergeCell ref="I51:J51"/>
    <mergeCell ref="C60:J60"/>
    <mergeCell ref="C70:J70"/>
    <mergeCell ref="C71:D71"/>
    <mergeCell ref="E71:F71"/>
    <mergeCell ref="G71:H71"/>
    <mergeCell ref="I71:J71"/>
    <mergeCell ref="C80:J80"/>
    <mergeCell ref="C81:D81"/>
    <mergeCell ref="E81:F81"/>
    <mergeCell ref="G81:H81"/>
    <mergeCell ref="I81:J81"/>
    <mergeCell ref="C90:J90"/>
    <mergeCell ref="C91:D91"/>
    <mergeCell ref="E91:F91"/>
    <mergeCell ref="G91:H91"/>
    <mergeCell ref="I91:J91"/>
    <mergeCell ref="R51:S51"/>
    <mergeCell ref="T51:U51"/>
    <mergeCell ref="R71:S71"/>
    <mergeCell ref="T71:U71"/>
    <mergeCell ref="N60:U60"/>
    <mergeCell ref="N61:O61"/>
    <mergeCell ref="P61:Q61"/>
    <mergeCell ref="R61:S61"/>
    <mergeCell ref="T61:U61"/>
    <mergeCell ref="N70:U70"/>
    <mergeCell ref="N71:O71"/>
    <mergeCell ref="P71:Q71"/>
    <mergeCell ref="N51:O51"/>
    <mergeCell ref="P51:Q51"/>
    <mergeCell ref="N90:U90"/>
    <mergeCell ref="N91:O91"/>
    <mergeCell ref="P91:Q91"/>
    <mergeCell ref="R91:S91"/>
    <mergeCell ref="T91:U91"/>
    <mergeCell ref="N80:U80"/>
    <mergeCell ref="N81:O81"/>
    <mergeCell ref="P81:Q81"/>
    <mergeCell ref="R81:S81"/>
    <mergeCell ref="T81:U8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19720-4F19-4227-95C9-1B60B672F29A}">
  <dimension ref="A1:AF84"/>
  <sheetViews>
    <sheetView zoomScaleNormal="100" workbookViewId="0"/>
  </sheetViews>
  <sheetFormatPr defaultColWidth="8.81640625" defaultRowHeight="14.5"/>
  <cols>
    <col min="1" max="1" width="3.54296875" style="6" customWidth="1"/>
    <col min="2" max="2" width="23.81640625" style="6" customWidth="1"/>
    <col min="3" max="3" width="19.453125" style="6" customWidth="1"/>
    <col min="4" max="4" width="17.54296875" style="6" customWidth="1"/>
    <col min="5" max="6" width="16.26953125" style="6" customWidth="1"/>
    <col min="7" max="7" width="20.81640625" style="6" customWidth="1"/>
    <col min="8" max="8" width="16.54296875" style="6" customWidth="1"/>
    <col min="9" max="9" width="14.1796875" style="6" customWidth="1"/>
    <col min="10" max="10" width="13.54296875" style="6" customWidth="1"/>
    <col min="11" max="11" width="15.1796875" style="6" customWidth="1"/>
    <col min="12" max="12" width="14.81640625" style="6" customWidth="1"/>
    <col min="13" max="15" width="15.453125" style="6" customWidth="1"/>
    <col min="16" max="16" width="13" style="6" customWidth="1"/>
    <col min="17" max="17" width="15.54296875" style="6" customWidth="1"/>
    <col min="18" max="18" width="17.54296875" style="6" customWidth="1"/>
    <col min="19" max="19" width="14.1796875" style="6" customWidth="1"/>
    <col min="20" max="21" width="14" style="6" customWidth="1"/>
    <col min="22" max="22" width="15" style="6" customWidth="1"/>
    <col min="23" max="23" width="14.1796875" style="6" customWidth="1"/>
    <col min="24" max="24" width="14.81640625" style="6" bestFit="1" customWidth="1"/>
    <col min="25" max="26" width="14.81640625" style="6" customWidth="1"/>
    <col min="27" max="27" width="19.453125" style="6" customWidth="1"/>
    <col min="28" max="28" width="15.1796875" style="6" bestFit="1" customWidth="1"/>
    <col min="29" max="32" width="11.81640625" style="6" customWidth="1"/>
    <col min="33" max="16384" width="8.81640625" style="6"/>
  </cols>
  <sheetData>
    <row r="1" spans="1:32" s="169" customFormat="1" ht="25.5" customHeight="1">
      <c r="A1" s="395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</row>
    <row r="2" spans="1:32" ht="15.5">
      <c r="B2" s="75"/>
      <c r="C2" s="557" t="s">
        <v>157</v>
      </c>
      <c r="D2" s="557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32">
      <c r="B3" s="76"/>
      <c r="C3" s="77" t="s">
        <v>154</v>
      </c>
      <c r="D3" s="77" t="s">
        <v>158</v>
      </c>
      <c r="S3" s="78"/>
      <c r="T3" s="78"/>
      <c r="U3" s="78"/>
      <c r="V3" s="78"/>
      <c r="W3" s="78"/>
      <c r="X3" s="78"/>
      <c r="Y3" s="78"/>
      <c r="Z3" s="78"/>
      <c r="AA3" s="78"/>
    </row>
    <row r="4" spans="1:32" ht="15.5">
      <c r="B4" s="231" t="s">
        <v>3</v>
      </c>
      <c r="C4" s="152">
        <f>INDEX('Incremental Rev Req'!$N$8:$S$23,MATCH(B4,'Incremental Rev Req'!$N$8:$N$23,0),MATCH(Summary!$D$2,'Incremental Rev Req'!$N$8:$S$8,0))</f>
        <v>593786.90867280017</v>
      </c>
      <c r="D4" s="152">
        <f>INDEX('Incremental Rev Req'!$N$103:$S$121,MATCH(B4,'Incremental Rev Req'!$N$103:$N$121,0),MATCH(Summary!$D$2,'Incremental Rev Req'!$N$103:$S$103,0))</f>
        <v>594455.1947555698</v>
      </c>
      <c r="H4" s="563" t="s">
        <v>159</v>
      </c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38"/>
      <c r="W4" s="38"/>
      <c r="X4" s="38"/>
      <c r="Y4" s="38"/>
      <c r="Z4" s="38"/>
      <c r="AA4" s="38"/>
      <c r="AB4" s="38"/>
      <c r="AC4" s="38"/>
      <c r="AD4" s="38"/>
    </row>
    <row r="5" spans="1:32" ht="25.15" customHeight="1">
      <c r="B5" s="231" t="s">
        <v>373</v>
      </c>
      <c r="C5" s="152">
        <f>INDEX('Incremental Rev Req'!$N$8:$S$23,MATCH(B5,'Incremental Rev Req'!$N$8:$N$23,0),MATCH(Summary!$D$2,'Incremental Rev Req'!$N$8:$S$8,0))</f>
        <v>313.03090980522069</v>
      </c>
      <c r="D5" s="152">
        <f>INDEX('Incremental Rev Req'!$N$103:$S$121,MATCH(B5,'Incremental Rev Req'!$N$103:$N$121,0),MATCH(Summary!$D$2,'Incremental Rev Req'!$N$103:$S$103,0))</f>
        <v>313.03090980522069</v>
      </c>
      <c r="G5" s="1"/>
      <c r="H5" s="81" t="s">
        <v>3</v>
      </c>
      <c r="I5" s="81" t="s">
        <v>373</v>
      </c>
      <c r="J5" s="81" t="s">
        <v>59</v>
      </c>
      <c r="K5" s="81" t="s">
        <v>5</v>
      </c>
      <c r="L5" s="81" t="s">
        <v>98</v>
      </c>
      <c r="M5" s="81" t="s">
        <v>14</v>
      </c>
      <c r="N5" s="81" t="s">
        <v>80</v>
      </c>
      <c r="O5" s="81" t="s">
        <v>99</v>
      </c>
      <c r="P5" s="81" t="s">
        <v>97</v>
      </c>
      <c r="Q5" s="81" t="s">
        <v>78</v>
      </c>
      <c r="R5" s="81" t="s">
        <v>10</v>
      </c>
      <c r="S5" s="81" t="s">
        <v>221</v>
      </c>
      <c r="T5" s="81" t="s">
        <v>87</v>
      </c>
      <c r="U5" s="81" t="s">
        <v>251</v>
      </c>
      <c r="V5" s="6" t="s">
        <v>245</v>
      </c>
      <c r="AC5" s="249"/>
      <c r="AD5" s="44"/>
    </row>
    <row r="6" spans="1:32" ht="15.5">
      <c r="B6" s="232" t="s">
        <v>59</v>
      </c>
      <c r="C6" s="152">
        <f>INDEX('Incremental Rev Req'!$N$8:$S$23,MATCH(B6,'Incremental Rev Req'!$N$8:$N$23,0),MATCH(Summary!$D$2,'Incremental Rev Req'!$N$8:$S$8,0))</f>
        <v>171405.04534484091</v>
      </c>
      <c r="D6" s="152">
        <f>INDEX('Incremental Rev Req'!$N$103:$S$121,MATCH(B6,'Incremental Rev Req'!$N$103:$N$121,0),MATCH(Summary!$D$2,'Incremental Rev Req'!$N$103:$S$103,0))</f>
        <v>171405.04534484091</v>
      </c>
      <c r="G6" s="1" t="s">
        <v>379</v>
      </c>
      <c r="H6" s="82">
        <f>IF(Summary!$D$2=2026,'Sales Allocations &amp; CCC'!D10,'Sales Allocations &amp; CCC'!D11)</f>
        <v>0.14016113775175024</v>
      </c>
      <c r="I6" s="82">
        <f>IF(Summary!$D$2=2026,'Sales Allocations &amp; CCC'!E10,'Sales Allocations &amp; CCC'!E11)</f>
        <v>0.13851677628572273</v>
      </c>
      <c r="J6" s="82">
        <f>IF(Summary!$D$2=2026,'Sales Allocations &amp; CCC'!F10,'Sales Allocations &amp; CCC'!F11)</f>
        <v>0.12314002343000448</v>
      </c>
      <c r="K6" s="82">
        <f>IF(Summary!$D$2=2026,'Sales Allocations &amp; CCC'!G10,'Sales Allocations &amp; CCC'!G11)</f>
        <v>0.16294159905784367</v>
      </c>
      <c r="L6" s="82">
        <f>IF(Summary!$D$2=2026,'Sales Allocations &amp; CCC'!H10,'Sales Allocations &amp; CCC'!H11)</f>
        <v>6.3686542882259556E-2</v>
      </c>
      <c r="M6" s="82">
        <f>IF(Summary!$D$2=2026,'Sales Allocations &amp; CCC'!I10,'Sales Allocations &amp; CCC'!I11)</f>
        <v>0.13364797448394239</v>
      </c>
      <c r="N6" s="82">
        <f>IF(Summary!$D$2=2026,'Sales Allocations &amp; CCC'!J10,'Sales Allocations &amp; CCC'!J11)</f>
        <v>0.12730852160869974</v>
      </c>
      <c r="O6" s="82">
        <f>IF(Summary!$D$2=2026,'Sales Allocations &amp; CCC'!K10,'Sales Allocations &amp; CCC'!K11)</f>
        <v>0.13306316061036613</v>
      </c>
      <c r="P6" s="82">
        <f>IF(Summary!$D$2=2026,'Sales Allocations &amp; CCC'!L10,'Sales Allocations &amp; CCC'!L11)</f>
        <v>0</v>
      </c>
      <c r="Q6" s="82">
        <f>IF(Summary!$D$2=2026,'Sales Allocations &amp; CCC'!M10,'Sales Allocations &amp; CCC'!M11)</f>
        <v>0</v>
      </c>
      <c r="R6" s="82">
        <f>IF(Summary!$D$2=2026,'Sales Allocations &amp; CCC'!N10,'Sales Allocations &amp; CCC'!N11)</f>
        <v>0.10486024759173845</v>
      </c>
      <c r="S6" s="82">
        <f>IF(Summary!$D$2=2026,'Sales Allocations &amp; CCC'!O10,'Sales Allocations &amp; CCC'!O11)</f>
        <v>0.16257567999876396</v>
      </c>
      <c r="T6" s="82">
        <f>IF(Summary!$D$2=2026,'Sales Allocations &amp; CCC'!P10,'Sales Allocations &amp; CCC'!P11)</f>
        <v>0.14009743314379075</v>
      </c>
      <c r="U6" s="82">
        <f>IF(Summary!$D$2=2026,'Sales Allocations &amp; CCC'!Q10,'Sales Allocations &amp; CCC'!Q11)</f>
        <v>0.14102051159848228</v>
      </c>
      <c r="V6" s="225">
        <f>'Sales Allocations &amp; CCC'!S3</f>
        <v>1E-3</v>
      </c>
      <c r="AD6" s="250"/>
    </row>
    <row r="7" spans="1:32" ht="15.5">
      <c r="B7" s="232" t="s">
        <v>5</v>
      </c>
      <c r="C7" s="152">
        <f>INDEX('Incremental Rev Req'!$N$8:$S$23,MATCH(B7,'Incremental Rev Req'!$N$8:$N$23,0),MATCH(Summary!$D$2,'Incremental Rev Req'!$N$8:$S$8,0))</f>
        <v>2334325.4627643549</v>
      </c>
      <c r="D7" s="152">
        <f>INDEX('Incremental Rev Req'!$N$103:$S$121,MATCH(B7,'Incremental Rev Req'!$N$103:$N$121,0),MATCH(Summary!$D$2,'Incremental Rev Req'!$N$103:$S$103,0))</f>
        <v>2552615.7390374891</v>
      </c>
      <c r="G7" s="1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AD7" s="221"/>
    </row>
    <row r="8" spans="1:32" ht="15.65" customHeight="1">
      <c r="B8" s="232" t="s">
        <v>98</v>
      </c>
      <c r="C8" s="152">
        <f>INDEX('Incremental Rev Req'!$N$8:$S$23,MATCH(B8,'Incremental Rev Req'!$N$8:$N$23,0),MATCH(Summary!$D$2,'Incremental Rev Req'!$N$8:$S$8,0))</f>
        <v>-149108.549279297</v>
      </c>
      <c r="D8" s="152">
        <f>INDEX('Incremental Rev Req'!$N$103:$S$121,MATCH(B8,'Incremental Rev Req'!$N$103:$N$121,0),MATCH(Summary!$D$2,'Incremental Rev Req'!$N$103:$S$103,0))</f>
        <v>-149108.549279297</v>
      </c>
      <c r="G8" s="84"/>
      <c r="H8" s="563" t="s">
        <v>160</v>
      </c>
      <c r="I8" s="563"/>
      <c r="J8" s="563"/>
      <c r="K8" s="563"/>
      <c r="L8" s="563"/>
      <c r="M8" s="563"/>
      <c r="N8" s="563"/>
      <c r="O8" s="563"/>
      <c r="P8" s="563"/>
      <c r="Q8" s="563"/>
      <c r="R8" s="563"/>
      <c r="S8" s="563"/>
      <c r="T8" s="563"/>
      <c r="U8" s="563"/>
      <c r="AD8" s="221"/>
    </row>
    <row r="9" spans="1:32" ht="15.75" customHeight="1">
      <c r="B9" s="232" t="s">
        <v>14</v>
      </c>
      <c r="C9" s="152">
        <f>INDEX('Incremental Rev Req'!$N$8:$S$23,MATCH(B9,'Incremental Rev Req'!$N$8:$N$23,0),MATCH(Summary!$D$2,'Incremental Rev Req'!$N$8:$S$8,0))</f>
        <v>-1314.4084937329058</v>
      </c>
      <c r="D9" s="152">
        <f>INDEX('Incremental Rev Req'!$N$103:$S$121,MATCH(B9,'Incremental Rev Req'!$N$103:$N$121,0),MATCH(Summary!$D$2,'Incremental Rev Req'!$N$103:$S$103,0))</f>
        <v>-1314.4084937329058</v>
      </c>
      <c r="G9" s="85" t="s">
        <v>154</v>
      </c>
      <c r="H9" s="81" t="s">
        <v>3</v>
      </c>
      <c r="I9" s="81" t="s">
        <v>373</v>
      </c>
      <c r="J9" s="81" t="s">
        <v>59</v>
      </c>
      <c r="K9" s="81" t="s">
        <v>5</v>
      </c>
      <c r="L9" s="81" t="s">
        <v>98</v>
      </c>
      <c r="M9" s="81" t="s">
        <v>14</v>
      </c>
      <c r="N9" s="81" t="s">
        <v>80</v>
      </c>
      <c r="O9" s="81" t="s">
        <v>99</v>
      </c>
      <c r="P9" s="81" t="s">
        <v>97</v>
      </c>
      <c r="Q9" s="81" t="s">
        <v>78</v>
      </c>
      <c r="R9" s="81" t="s">
        <v>10</v>
      </c>
      <c r="S9" s="81" t="s">
        <v>221</v>
      </c>
      <c r="T9" s="81" t="s">
        <v>87</v>
      </c>
      <c r="U9" s="81" t="s">
        <v>251</v>
      </c>
      <c r="AD9" s="221"/>
    </row>
    <row r="10" spans="1:32" ht="15.5">
      <c r="B10" s="232" t="s">
        <v>80</v>
      </c>
      <c r="C10" s="152">
        <f>INDEX('Incremental Rev Req'!$N$8:$S$23,MATCH(B10,'Incremental Rev Req'!$N$8:$N$23,0),MATCH(Summary!$D$2,'Incremental Rev Req'!$N$8:$S$8,0))</f>
        <v>-64.002330000000001</v>
      </c>
      <c r="D10" s="152">
        <f>INDEX('Incremental Rev Req'!$N$103:$S$121,MATCH(B10,'Incremental Rev Req'!$N$103:$N$121,0),MATCH(Summary!$D$2,'Incremental Rev Req'!$N$103:$S$103,0))</f>
        <v>-64.002330000000001</v>
      </c>
      <c r="G10" s="1" t="s">
        <v>379</v>
      </c>
      <c r="H10" s="86">
        <f>H6*H11</f>
        <v>83225.848701674287</v>
      </c>
      <c r="I10" s="86">
        <f>I6*I11</f>
        <v>43.360032504006007</v>
      </c>
      <c r="J10" s="86">
        <f>J6*J11</f>
        <v>21106.821299784689</v>
      </c>
      <c r="K10" s="86">
        <f>K6*K11</f>
        <v>380358.72362426488</v>
      </c>
      <c r="L10" s="86">
        <f t="shared" ref="L10:T10" si="0">L6*L11</f>
        <v>-9496.2080177874614</v>
      </c>
      <c r="M10" s="86">
        <f t="shared" si="0"/>
        <v>-175.66803283189253</v>
      </c>
      <c r="N10" s="86">
        <f t="shared" si="0"/>
        <v>-8.1480420118121319</v>
      </c>
      <c r="O10" s="86">
        <f t="shared" si="0"/>
        <v>41274.008965500332</v>
      </c>
      <c r="P10" s="86">
        <f t="shared" si="0"/>
        <v>0</v>
      </c>
      <c r="Q10" s="86">
        <f t="shared" si="0"/>
        <v>0</v>
      </c>
      <c r="R10" s="86">
        <f t="shared" si="0"/>
        <v>115007.18714718752</v>
      </c>
      <c r="S10" s="86">
        <f>S6*S11</f>
        <v>14394.703934063105</v>
      </c>
      <c r="T10" s="86">
        <f t="shared" si="0"/>
        <v>118.79973476706063</v>
      </c>
      <c r="U10" s="86">
        <f>U6*U11</f>
        <v>46719.019514678141</v>
      </c>
      <c r="V10" s="86">
        <f>SUM(H10:U10)</f>
        <v>692568.4488617928</v>
      </c>
      <c r="W10" s="175"/>
      <c r="X10" s="179"/>
      <c r="AB10" s="96"/>
      <c r="AD10" s="221"/>
    </row>
    <row r="11" spans="1:32" ht="15.5">
      <c r="B11" s="233" t="s">
        <v>99</v>
      </c>
      <c r="C11" s="152">
        <f>INDEX('Incremental Rev Req'!$N$8:$S$23,MATCH(B11,'Incremental Rev Req'!$N$8:$N$23,0),MATCH(Summary!$D$2,'Incremental Rev Req'!$N$8:$S$8,0))</f>
        <v>310183.59083141247</v>
      </c>
      <c r="D11" s="152">
        <f>INDEX('Incremental Rev Req'!$N$103:$S$121,MATCH(B11,'Incremental Rev Req'!$N$103:$N$121,0),MATCH(Summary!$D$2,'Incremental Rev Req'!$N$103:$S$103,0))</f>
        <v>309018.4533180375</v>
      </c>
      <c r="G11" s="1" t="s">
        <v>161</v>
      </c>
      <c r="H11" s="87">
        <f>C4</f>
        <v>593786.90867280017</v>
      </c>
      <c r="I11" s="87">
        <f>C5</f>
        <v>313.03090980522069</v>
      </c>
      <c r="J11" s="87">
        <f>C6</f>
        <v>171405.04534484091</v>
      </c>
      <c r="K11" s="87">
        <f>C7</f>
        <v>2334325.4627643549</v>
      </c>
      <c r="L11" s="87">
        <f>C8</f>
        <v>-149108.549279297</v>
      </c>
      <c r="M11" s="87">
        <f>C9</f>
        <v>-1314.4084937329058</v>
      </c>
      <c r="N11" s="87">
        <f>C10</f>
        <v>-64.002330000000001</v>
      </c>
      <c r="O11" s="87">
        <f>C11</f>
        <v>310183.59083141247</v>
      </c>
      <c r="P11" s="87">
        <f>C12</f>
        <v>0</v>
      </c>
      <c r="Q11" s="87">
        <f>C16</f>
        <v>0</v>
      </c>
      <c r="R11" s="87">
        <f>C14</f>
        <v>1096766.3131500036</v>
      </c>
      <c r="S11" s="87">
        <f>C17</f>
        <v>88541.557594423386</v>
      </c>
      <c r="T11" s="87">
        <f>C15</f>
        <v>847.9793819286399</v>
      </c>
      <c r="U11" s="87">
        <f>C13</f>
        <v>331292.37006101565</v>
      </c>
      <c r="V11" s="86">
        <f>SUM(H11:U11)</f>
        <v>4776975.2986075543</v>
      </c>
      <c r="W11" s="174"/>
      <c r="X11" s="179"/>
      <c r="AB11" s="96"/>
      <c r="AC11" s="96"/>
    </row>
    <row r="12" spans="1:32" ht="15.5">
      <c r="B12" s="232" t="s">
        <v>97</v>
      </c>
      <c r="C12" s="152">
        <f>INDEX('Incremental Rev Req'!$N$8:$S$23,MATCH(B12,'Incremental Rev Req'!$N$8:$N$23,0),MATCH(Summary!$D$2,'Incremental Rev Req'!$N$8:$S$8,0))</f>
        <v>0</v>
      </c>
      <c r="D12" s="152">
        <f>INDEX('Incremental Rev Req'!$N$103:$S$121,MATCH(B12,'Incremental Rev Req'!$N$103:$N$121,0),MATCH(Summary!$D$2,'Incremental Rev Req'!$N$103:$S$103,0))</f>
        <v>0</v>
      </c>
      <c r="G12" s="85" t="s">
        <v>162</v>
      </c>
      <c r="V12" s="86"/>
      <c r="X12" s="179"/>
      <c r="AC12" s="179"/>
      <c r="AD12" s="165"/>
    </row>
    <row r="13" spans="1:32" ht="15.75" customHeight="1">
      <c r="B13" s="232" t="s">
        <v>251</v>
      </c>
      <c r="C13" s="152">
        <f>INDEX('Incremental Rev Req'!$N$8:$S$23,MATCH(B13,'Incremental Rev Req'!$N$8:$N$23,0),MATCH(Summary!$D$2,'Incremental Rev Req'!$N$8:$S$8,0))</f>
        <v>331292.37006101565</v>
      </c>
      <c r="D13" s="152">
        <f>INDEX('Incremental Rev Req'!$N$103:$S$121,MATCH(B13,'Incremental Rev Req'!$N$103:$N$121,0),MATCH(Summary!$D$2,'Incremental Rev Req'!$N$103:$S$103,0))</f>
        <v>333287.74290974526</v>
      </c>
      <c r="G13" s="1" t="s">
        <v>379</v>
      </c>
      <c r="H13" s="86">
        <f>H6*H14</f>
        <v>83319.516439378931</v>
      </c>
      <c r="I13" s="86">
        <f>I6*I14</f>
        <v>43.360032504006007</v>
      </c>
      <c r="J13" s="86">
        <f t="shared" ref="J13:T13" si="1">J6*J14</f>
        <v>21106.821299784689</v>
      </c>
      <c r="K13" s="86">
        <f t="shared" si="1"/>
        <v>415927.29029898782</v>
      </c>
      <c r="L13" s="86">
        <f t="shared" si="1"/>
        <v>-9496.2080177874614</v>
      </c>
      <c r="M13" s="86">
        <f t="shared" si="1"/>
        <v>-175.66803283189253</v>
      </c>
      <c r="N13" s="86">
        <f t="shared" si="1"/>
        <v>-8.1480420118121319</v>
      </c>
      <c r="O13" s="86">
        <f t="shared" si="1"/>
        <v>41118.972085424954</v>
      </c>
      <c r="P13" s="86">
        <f t="shared" si="1"/>
        <v>0</v>
      </c>
      <c r="Q13" s="86">
        <f t="shared" si="1"/>
        <v>0</v>
      </c>
      <c r="R13" s="86">
        <f t="shared" si="1"/>
        <v>115007.18714718752</v>
      </c>
      <c r="S13" s="86">
        <f>S6*S14</f>
        <v>14394.703934063105</v>
      </c>
      <c r="T13" s="86">
        <f t="shared" si="1"/>
        <v>118.79973476706063</v>
      </c>
      <c r="U13" s="86">
        <f>U6*U14</f>
        <v>47000.408014635708</v>
      </c>
      <c r="V13" s="86">
        <f>SUM(H13:U13)</f>
        <v>728357.03489410249</v>
      </c>
      <c r="W13" s="175"/>
      <c r="X13" s="179"/>
      <c r="AC13" s="96"/>
      <c r="AD13" s="96"/>
    </row>
    <row r="14" spans="1:32" ht="15.75" customHeight="1">
      <c r="B14" s="232" t="s">
        <v>10</v>
      </c>
      <c r="C14" s="152">
        <f>INDEX('Incremental Rev Req'!$N$8:$S$23,MATCH(B14,'Incremental Rev Req'!$N$8:$N$23,0),MATCH(Summary!$D$2,'Incremental Rev Req'!$N$8:$S$8,0))</f>
        <v>1096766.3131500036</v>
      </c>
      <c r="D14" s="152">
        <f>INDEX('Incremental Rev Req'!$N$103:$S$121,MATCH(B14,'Incremental Rev Req'!$N$103:$N$121,0),MATCH(Summary!$D$2,'Incremental Rev Req'!$N$103:$S$103,0))</f>
        <v>1096766.3131500036</v>
      </c>
      <c r="G14" s="1" t="s">
        <v>161</v>
      </c>
      <c r="H14" s="87">
        <f>D4</f>
        <v>594455.1947555698</v>
      </c>
      <c r="I14" s="87">
        <f>D5</f>
        <v>313.03090980522069</v>
      </c>
      <c r="J14" s="87">
        <f>D6</f>
        <v>171405.04534484091</v>
      </c>
      <c r="K14" s="87">
        <f>D7</f>
        <v>2552615.7390374891</v>
      </c>
      <c r="L14" s="87">
        <f>D8</f>
        <v>-149108.549279297</v>
      </c>
      <c r="M14" s="87">
        <f>D9</f>
        <v>-1314.4084937329058</v>
      </c>
      <c r="N14" s="87">
        <f>D10</f>
        <v>-64.002330000000001</v>
      </c>
      <c r="O14" s="87">
        <f>D11</f>
        <v>309018.4533180375</v>
      </c>
      <c r="P14" s="87">
        <f>D12</f>
        <v>0</v>
      </c>
      <c r="Q14" s="87">
        <f>D16</f>
        <v>0</v>
      </c>
      <c r="R14" s="87">
        <f>D14</f>
        <v>1096766.3131500036</v>
      </c>
      <c r="S14" s="87">
        <f>D17</f>
        <v>88541.557594423386</v>
      </c>
      <c r="T14" s="87">
        <f>D15</f>
        <v>847.9793819286399</v>
      </c>
      <c r="U14" s="87">
        <f>D13</f>
        <v>333287.74290974526</v>
      </c>
      <c r="V14" s="86">
        <f>SUM(H14:U14)</f>
        <v>4996764.0962988129</v>
      </c>
      <c r="W14" s="174"/>
      <c r="X14" s="179"/>
      <c r="AC14" s="96"/>
      <c r="AD14" s="324"/>
    </row>
    <row r="15" spans="1:32" ht="15.5">
      <c r="B15" s="232" t="s">
        <v>87</v>
      </c>
      <c r="C15" s="152">
        <f>INDEX('Incremental Rev Req'!$N$8:$S$23,MATCH(B15,'Incremental Rev Req'!$N$8:$N$23,0),MATCH(Summary!$D$2,'Incremental Rev Req'!$N$8:$S$8,0))</f>
        <v>847.9793819286399</v>
      </c>
      <c r="D15" s="152">
        <f>INDEX('Incremental Rev Req'!$N$103:$S$121,MATCH(B15,'Incremental Rev Req'!$N$103:$N$121,0),MATCH(Summary!$D$2,'Incremental Rev Req'!$N$103:$S$103,0))</f>
        <v>847.9793819286399</v>
      </c>
      <c r="G15" s="88"/>
      <c r="H15" s="36"/>
      <c r="I15" s="36"/>
      <c r="J15" s="36"/>
      <c r="K15" s="36"/>
      <c r="L15" s="84"/>
      <c r="AC15" s="1"/>
    </row>
    <row r="16" spans="1:32" ht="15.5">
      <c r="B16" s="232" t="s">
        <v>78</v>
      </c>
      <c r="C16" s="152">
        <f>INDEX('Incremental Rev Req'!$N$8:$S$23,MATCH(B16,'Incremental Rev Req'!$N$8:$N$23,0),MATCH(Summary!$D$2,'Incremental Rev Req'!$N$8:$S$8,0))</f>
        <v>0</v>
      </c>
      <c r="D16" s="152">
        <f>INDEX('Incremental Rev Req'!$N$103:$S$121,MATCH(B16,'Incremental Rev Req'!$N$103:$N$121,0),MATCH(Summary!$D$2,'Incremental Rev Req'!$N$103:$S$103,0))</f>
        <v>0</v>
      </c>
      <c r="V16" s="547" t="s">
        <v>257</v>
      </c>
      <c r="W16" s="548"/>
      <c r="X16" s="547" t="s">
        <v>253</v>
      </c>
      <c r="Y16" s="548"/>
      <c r="Z16" s="558" t="s">
        <v>254</v>
      </c>
      <c r="AA16" s="558" t="s">
        <v>255</v>
      </c>
      <c r="AC16" s="205"/>
      <c r="AD16" s="325"/>
      <c r="AE16" s="298"/>
      <c r="AF16" s="165"/>
    </row>
    <row r="17" spans="2:32" ht="15.5">
      <c r="B17" s="1" t="s">
        <v>221</v>
      </c>
      <c r="C17" s="152">
        <f>INDEX('Incremental Rev Req'!$N$8:$S$23,MATCH(B17,'Incremental Rev Req'!$N$8:$N$23,0),MATCH(Summary!$D$2,'Incremental Rev Req'!$N$8:$S$8,0))</f>
        <v>88541.557594423386</v>
      </c>
      <c r="D17" s="152">
        <f>INDEX('Incremental Rev Req'!$N$103:$S$121,MATCH(B17,'Incremental Rev Req'!$N$103:$N$121,0),MATCH(Summary!$D$2,'Incremental Rev Req'!$N$103:$S$103,0))</f>
        <v>88541.557594423386</v>
      </c>
      <c r="G17" s="84"/>
      <c r="H17" s="554" t="s">
        <v>249</v>
      </c>
      <c r="I17" s="554"/>
      <c r="J17" s="554"/>
      <c r="K17" s="554"/>
      <c r="L17" s="554"/>
      <c r="M17" s="554"/>
      <c r="N17" s="554"/>
      <c r="O17" s="554"/>
      <c r="P17" s="554"/>
      <c r="Q17" s="554"/>
      <c r="R17" s="554"/>
      <c r="S17" s="554"/>
      <c r="T17" s="554"/>
      <c r="U17" s="550"/>
      <c r="V17" s="549" t="s">
        <v>165</v>
      </c>
      <c r="W17" s="550"/>
      <c r="X17" s="549" t="s">
        <v>165</v>
      </c>
      <c r="Y17" s="550"/>
      <c r="Z17" s="559"/>
      <c r="AA17" s="559"/>
      <c r="AC17" s="205"/>
      <c r="AD17" s="89" t="s">
        <v>154</v>
      </c>
      <c r="AE17" s="89" t="s">
        <v>162</v>
      </c>
    </row>
    <row r="18" spans="2:32" ht="31">
      <c r="B18" s="2" t="s">
        <v>256</v>
      </c>
      <c r="C18" s="79">
        <f>SUM(C4:C17)</f>
        <v>4776975.2986075543</v>
      </c>
      <c r="D18" s="79">
        <f>SUM(D4:D17)</f>
        <v>4996764.0962988129</v>
      </c>
      <c r="F18" s="270"/>
      <c r="H18" s="81" t="s">
        <v>3</v>
      </c>
      <c r="I18" s="81" t="s">
        <v>373</v>
      </c>
      <c r="J18" s="81" t="s">
        <v>59</v>
      </c>
      <c r="K18" s="81" t="s">
        <v>5</v>
      </c>
      <c r="L18" s="81" t="s">
        <v>98</v>
      </c>
      <c r="M18" s="81" t="s">
        <v>14</v>
      </c>
      <c r="N18" s="81" t="s">
        <v>80</v>
      </c>
      <c r="O18" s="81" t="s">
        <v>99</v>
      </c>
      <c r="P18" s="81" t="s">
        <v>97</v>
      </c>
      <c r="Q18" s="81" t="s">
        <v>78</v>
      </c>
      <c r="R18" s="81" t="s">
        <v>10</v>
      </c>
      <c r="S18" s="81" t="s">
        <v>221</v>
      </c>
      <c r="T18" s="81" t="s">
        <v>87</v>
      </c>
      <c r="U18" s="81" t="s">
        <v>251</v>
      </c>
      <c r="V18" s="91" t="s">
        <v>112</v>
      </c>
      <c r="W18" s="703" t="s">
        <v>455</v>
      </c>
      <c r="X18" s="717" t="s">
        <v>112</v>
      </c>
      <c r="Y18" s="703" t="s">
        <v>455</v>
      </c>
      <c r="Z18" s="91" t="s">
        <v>3</v>
      </c>
      <c r="AA18" s="229" t="s">
        <v>3</v>
      </c>
      <c r="AC18" s="205" t="s">
        <v>456</v>
      </c>
      <c r="AD18" s="87">
        <f>IF(Summary!$D$2=2026,C31,C32)</f>
        <v>246924.10618431377</v>
      </c>
      <c r="AE18" s="87">
        <f>AD18</f>
        <v>246924.10618431377</v>
      </c>
      <c r="AF18" s="96"/>
    </row>
    <row r="19" spans="2:32" ht="15.5">
      <c r="C19" s="179"/>
      <c r="D19" s="179"/>
      <c r="E19" s="270"/>
      <c r="G19" s="1" t="s">
        <v>379</v>
      </c>
      <c r="H19" s="82">
        <v>1</v>
      </c>
      <c r="I19" s="82">
        <v>0</v>
      </c>
      <c r="J19" s="82">
        <v>1</v>
      </c>
      <c r="K19" s="82">
        <v>1</v>
      </c>
      <c r="L19" s="82">
        <v>1</v>
      </c>
      <c r="M19" s="82">
        <v>1</v>
      </c>
      <c r="N19" s="82">
        <v>1</v>
      </c>
      <c r="O19" s="82">
        <v>1</v>
      </c>
      <c r="P19" s="82">
        <v>1</v>
      </c>
      <c r="Q19" s="82">
        <v>1</v>
      </c>
      <c r="R19" s="82">
        <v>1</v>
      </c>
      <c r="S19" s="82">
        <v>1</v>
      </c>
      <c r="T19" s="82">
        <v>1</v>
      </c>
      <c r="U19" s="82">
        <v>0</v>
      </c>
      <c r="V19" s="93">
        <f>SUMPRODUCT(J10:T10,J19:T19)</f>
        <v>562580.2206129363</v>
      </c>
      <c r="W19" s="97">
        <f>V19-((AD18)*IF(Summary!$D$2=2026,D31,D32))</f>
        <v>552889.15743364615</v>
      </c>
      <c r="X19" s="93">
        <f>SUMPRODUCT(J13:T13,J19:T19)</f>
        <v>597993.7504075839</v>
      </c>
      <c r="Y19" s="94">
        <f>X19-((AE18)*IF(Summary!$D$2=2026,D31,D32))</f>
        <v>588302.68722829374</v>
      </c>
      <c r="Z19" s="93">
        <f>SUMPRODUCT(H10,H19)</f>
        <v>83225.848701674287</v>
      </c>
      <c r="AA19" s="230">
        <f>SUMPRODUCT(H13,H19)</f>
        <v>83319.516439378931</v>
      </c>
      <c r="AC19" s="205"/>
      <c r="AD19" s="86"/>
      <c r="AE19" s="86"/>
    </row>
    <row r="20" spans="2:32" ht="15.5">
      <c r="B20" s="2" t="s">
        <v>245</v>
      </c>
      <c r="C20" s="224">
        <f>'Sales Allocations &amp; CCC'!S3</f>
        <v>1E-3</v>
      </c>
      <c r="D20" s="224">
        <f>'Sales Allocations &amp; CCC'!S3</f>
        <v>1E-3</v>
      </c>
      <c r="G20" s="1" t="s">
        <v>161</v>
      </c>
      <c r="H20" s="82">
        <v>1</v>
      </c>
      <c r="I20" s="82">
        <v>0</v>
      </c>
      <c r="J20" s="82">
        <v>1</v>
      </c>
      <c r="K20" s="82">
        <v>1</v>
      </c>
      <c r="L20" s="82">
        <v>1</v>
      </c>
      <c r="M20" s="82">
        <v>1</v>
      </c>
      <c r="N20" s="82">
        <v>1</v>
      </c>
      <c r="O20" s="82">
        <v>1</v>
      </c>
      <c r="P20" s="82">
        <v>1</v>
      </c>
      <c r="Q20" s="82">
        <v>1</v>
      </c>
      <c r="R20" s="82">
        <v>1</v>
      </c>
      <c r="S20" s="82">
        <v>1</v>
      </c>
      <c r="T20" s="82">
        <v>1</v>
      </c>
      <c r="U20" s="82">
        <v>0</v>
      </c>
      <c r="V20" s="93">
        <f>SUMPRODUCT(J11:T11,J20:T20)</f>
        <v>3851582.9889639332</v>
      </c>
      <c r="W20" s="97">
        <f>V20-AD18</f>
        <v>3604658.8827796197</v>
      </c>
      <c r="X20" s="93">
        <f>SUMPRODUCT(J14:T14,J20:T20)</f>
        <v>4068708.1277236925</v>
      </c>
      <c r="Y20" s="94">
        <f>X20-AE18</f>
        <v>3821784.0215393789</v>
      </c>
      <c r="Z20" s="93">
        <f>SUMPRODUCT(H11,H20)</f>
        <v>593786.90867280017</v>
      </c>
      <c r="AA20" s="230">
        <f>SUMPRODUCT(H14,H20)</f>
        <v>594455.1947555698</v>
      </c>
      <c r="AC20" s="205"/>
      <c r="AD20" s="299"/>
      <c r="AE20" s="299"/>
      <c r="AF20" s="1"/>
    </row>
    <row r="21" spans="2:32" ht="15.5">
      <c r="B21" s="2"/>
      <c r="C21" s="224"/>
      <c r="D21" s="224"/>
      <c r="G21" s="1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97"/>
      <c r="V21" s="97"/>
      <c r="W21" s="97"/>
      <c r="X21" s="97"/>
      <c r="Y21" s="97"/>
      <c r="Z21" s="97"/>
      <c r="AB21" s="205"/>
      <c r="AC21" s="299"/>
      <c r="AD21" s="299"/>
      <c r="AE21" s="1"/>
    </row>
    <row r="22" spans="2:32" ht="15.5">
      <c r="B22" s="2"/>
      <c r="C22" s="224"/>
      <c r="D22" s="224"/>
      <c r="G22" s="551" t="s">
        <v>168</v>
      </c>
      <c r="H22" s="552"/>
      <c r="I22" s="552"/>
      <c r="J22" s="552"/>
      <c r="K22" s="552"/>
      <c r="L22" s="553"/>
      <c r="P22" s="1"/>
      <c r="Q22" s="551" t="s">
        <v>169</v>
      </c>
      <c r="R22" s="552"/>
      <c r="S22" s="552"/>
      <c r="T22" s="552"/>
      <c r="U22" s="552"/>
      <c r="V22" s="552"/>
      <c r="W22" s="553"/>
      <c r="X22" s="103"/>
      <c r="AB22" s="90"/>
      <c r="AC22" s="87"/>
      <c r="AD22" s="87"/>
      <c r="AE22" s="166"/>
    </row>
    <row r="23" spans="2:32" ht="46.5">
      <c r="C23" s="560" t="s">
        <v>466</v>
      </c>
      <c r="D23" s="561"/>
      <c r="E23" s="562"/>
      <c r="F23" s="80"/>
      <c r="G23" s="80" t="str">
        <f>Summary!D2&amp;" SALES DETERMINANTS BUNDLED"</f>
        <v>2030 SALES DETERMINANTS BUNDLED</v>
      </c>
      <c r="H23" s="699" t="str">
        <f>Summary!I2&amp;" Avg Rates"&amp;"(sales adj.)"</f>
        <v>1/1/26 Avg Rates(sales adj.)</v>
      </c>
      <c r="I23" s="80" t="s">
        <v>170</v>
      </c>
      <c r="J23" s="80" t="s">
        <v>171</v>
      </c>
      <c r="K23" s="80" t="s">
        <v>172</v>
      </c>
      <c r="L23" s="80" t="s">
        <v>173</v>
      </c>
      <c r="Q23" s="1"/>
      <c r="R23" s="80" t="str">
        <f>C24</f>
        <v>SYSTEM NET</v>
      </c>
      <c r="S23" s="699" t="str">
        <f>H23</f>
        <v>1/1/26 Avg Rates(sales adj.)</v>
      </c>
      <c r="T23" s="80" t="s">
        <v>170</v>
      </c>
      <c r="U23" s="80" t="s">
        <v>171</v>
      </c>
      <c r="V23" s="80" t="s">
        <v>172</v>
      </c>
      <c r="W23" s="80" t="s">
        <v>173</v>
      </c>
      <c r="X23" s="103"/>
      <c r="AB23" s="49"/>
      <c r="AC23" s="440" t="str">
        <f>'SAR and RAR'!AC23</f>
        <v>10/1/2025</v>
      </c>
      <c r="AD23" s="440" t="str">
        <f>'SAR and RAR'!AD23</f>
        <v>1/1/26</v>
      </c>
      <c r="AE23" s="440" t="str">
        <f>'SAR and RAR'!AE23</f>
        <v>10/1/2025</v>
      </c>
      <c r="AF23" s="440" t="str">
        <f>'SAR and RAR'!AF23</f>
        <v>1/1/26</v>
      </c>
    </row>
    <row r="24" spans="2:32" ht="31">
      <c r="B24" s="1"/>
      <c r="C24" s="80" t="s">
        <v>333</v>
      </c>
      <c r="D24" s="80" t="s">
        <v>334</v>
      </c>
      <c r="E24" s="80" t="s">
        <v>335</v>
      </c>
      <c r="F24" s="104" t="s">
        <v>379</v>
      </c>
      <c r="G24" s="702">
        <f>IF(Summary!$D$2=2026,E25,E38)</f>
        <v>518117.44963314955</v>
      </c>
      <c r="H24" s="716">
        <f>IF(Summary!$I$8="N",AF26,AD26)</f>
        <v>39.275999999999996</v>
      </c>
      <c r="I24" s="443">
        <f>IF(Summary!$I$8="N",SUM($H30,$J30:$K30,$M30:$T30),SUM($H30,$J30:$T30))</f>
        <v>38.668667988827274</v>
      </c>
      <c r="J24" s="443">
        <f>IF(Summary!$I$8="N",SUM($H36,$J36:$K36,$M36:$T36),SUM($H36,$J36:$T36))</f>
        <v>40.136968310527109</v>
      </c>
      <c r="K24" s="105">
        <f>I24/H24-1</f>
        <v>-1.546318390805379E-2</v>
      </c>
      <c r="L24" s="105">
        <f>J24/H24-1</f>
        <v>2.1920977455115453E-2</v>
      </c>
      <c r="M24" s="439"/>
      <c r="O24" s="275"/>
      <c r="Q24" s="104" t="s">
        <v>379</v>
      </c>
      <c r="R24" s="95">
        <f>IF(Summary!$D$2=2026,C25,C38)</f>
        <v>2442100.4570462531</v>
      </c>
      <c r="S24" s="444">
        <v>41.87191842065608</v>
      </c>
      <c r="T24" s="443">
        <f>I24+($U10/(IF(Summary!$D$2=2026,$C25,$C38)-IF(Summary!$D$2=2026,$E25,$E38))*100)+($I10/(IF(Summary!$D$2=2026,$C25,$C38)-IF(Summary!$D$2=2026,$E25,$E38))*100)</f>
        <v>41.099166562203798</v>
      </c>
      <c r="U24" s="443">
        <f>J24+($U13/(IF(Summary!$D$2=2026,$C25,$C38)-IF(Summary!$D$2=2026,$E25,$E38))*100)+($I13/(IF(Summary!$D$2=2026,$C25,$C38)-IF(Summary!$D$2=2026,$E25,$E38))*100)</f>
        <v>42.582092194983481</v>
      </c>
      <c r="V24" s="105">
        <f>T24/S24-1</f>
        <v>-1.8455133836692617E-2</v>
      </c>
      <c r="W24" s="105">
        <f>U24/S24-1</f>
        <v>1.6960621846670909E-2</v>
      </c>
      <c r="X24" s="103"/>
      <c r="Y24" s="1"/>
      <c r="Z24" s="1"/>
      <c r="AB24" s="49"/>
      <c r="AC24" s="545" t="s">
        <v>432</v>
      </c>
      <c r="AD24" s="545"/>
      <c r="AE24" s="545" t="s">
        <v>431</v>
      </c>
      <c r="AF24" s="545"/>
    </row>
    <row r="25" spans="2:32" ht="15.5">
      <c r="B25" s="104" t="s">
        <v>379</v>
      </c>
      <c r="C25" s="228">
        <v>2442100.4570462531</v>
      </c>
      <c r="D25" s="228">
        <v>2479597.9733180017</v>
      </c>
      <c r="E25" s="4">
        <v>518117.44963314955</v>
      </c>
      <c r="F25" s="104" t="s">
        <v>161</v>
      </c>
      <c r="G25" s="702">
        <f>IF(Summary!$D$2=2026,E26,E39)</f>
        <v>3218717.0926473769</v>
      </c>
      <c r="H25" s="716">
        <f>IF(Summary!$I$8="N",AF27,AD27)</f>
        <v>39.322999999999993</v>
      </c>
      <c r="I25" s="443">
        <f>IF(Summary!$I$8="N",SUM($H31,$J31:$K31,$M31:$T31),SUM($H31,$J31:$T31))</f>
        <v>38.887670178796292</v>
      </c>
      <c r="J25" s="443">
        <f>IF(Summary!$I$8="N",SUM($H37,$J37:$K37,$M37:$T37),SUM($H37,$J37:$T37))</f>
        <v>40.154730270753888</v>
      </c>
      <c r="K25" s="105">
        <f>I25/H25-1</f>
        <v>-1.1070615700829123E-2</v>
      </c>
      <c r="L25" s="105">
        <f>J25/H25-1</f>
        <v>2.1151241531772502E-2</v>
      </c>
      <c r="M25" s="439"/>
      <c r="Q25" s="104" t="s">
        <v>161</v>
      </c>
      <c r="R25" s="95">
        <f>IF(Summary!$D$2=2026,C26,C39)</f>
        <v>17431428.835748378</v>
      </c>
      <c r="S25" s="444">
        <v>41.814953036913295</v>
      </c>
      <c r="T25" s="443">
        <f>I25+($U11/(IF(Summary!$D$2=2026,$C26,$C39)-IF(Summary!$D$2=2026,$E26,$E39))*100)+($I11/(IF(Summary!$D$2=2026,$C26,$C39)-IF(Summary!$D$2=2026,$E26,$E39))*100)</f>
        <v>41.220830851894341</v>
      </c>
      <c r="U25" s="443">
        <f>J25+($U14/(IF(Summary!$D$2=2026,$C26,$C39)-IF(Summary!$D$2=2026,$E26,$E39))*100)+($I14/(IF(Summary!$D$2=2026,$C26,$C39)-IF(Summary!$D$2=2026,$E26,$E39))*100)</f>
        <v>42.501930297388384</v>
      </c>
      <c r="V25" s="105">
        <f>T25/S25-1</f>
        <v>-1.4208366669561379E-2</v>
      </c>
      <c r="W25" s="105">
        <f>U25/S25-1</f>
        <v>1.6428985580078104E-2</v>
      </c>
      <c r="X25" s="107"/>
      <c r="Y25" s="100"/>
      <c r="Z25" s="100"/>
      <c r="AB25" s="49" t="s">
        <v>335</v>
      </c>
      <c r="AC25" s="49"/>
      <c r="AD25" s="49"/>
      <c r="AE25" s="49"/>
      <c r="AF25" s="49"/>
    </row>
    <row r="26" spans="2:32" ht="15.5">
      <c r="B26" s="104" t="s">
        <v>161</v>
      </c>
      <c r="C26" s="228">
        <v>17431428.835748378</v>
      </c>
      <c r="D26" s="228">
        <v>19476455.217814039</v>
      </c>
      <c r="E26" s="4">
        <v>3218717.0926473769</v>
      </c>
      <c r="F26" s="19"/>
      <c r="S26" s="1"/>
      <c r="T26" s="1"/>
      <c r="U26" s="101"/>
      <c r="V26" s="102"/>
      <c r="W26" s="101"/>
      <c r="X26" s="103"/>
      <c r="Y26" s="102"/>
      <c r="Z26" s="102"/>
      <c r="AB26" s="49" t="s">
        <v>379</v>
      </c>
      <c r="AC26" s="442">
        <v>37.106000000000002</v>
      </c>
      <c r="AD26" s="409">
        <v>39.275999999999996</v>
      </c>
      <c r="AE26" s="409">
        <v>36.778999999999996</v>
      </c>
      <c r="AF26" s="409">
        <v>39.665000000000006</v>
      </c>
    </row>
    <row r="27" spans="2:32" ht="15.5">
      <c r="B27" s="273"/>
      <c r="C27" s="2"/>
      <c r="E27" s="19"/>
      <c r="F27" s="1"/>
      <c r="H27" s="4"/>
      <c r="I27" s="4"/>
      <c r="J27" s="4"/>
      <c r="Q27" s="1"/>
      <c r="R27" s="1"/>
      <c r="S27" s="1"/>
      <c r="T27" s="1"/>
      <c r="U27" s="1"/>
      <c r="V27" s="1"/>
      <c r="W27" s="1"/>
      <c r="X27" s="107"/>
      <c r="Y27" s="103"/>
      <c r="Z27" s="103"/>
      <c r="AB27" s="49" t="s">
        <v>161</v>
      </c>
      <c r="AC27" s="442">
        <f>'SAR and RAR'!AC27</f>
        <v>35.117000000000004</v>
      </c>
      <c r="AD27" s="442">
        <f>'SAR and RAR'!AD27</f>
        <v>39.322999999999993</v>
      </c>
      <c r="AE27" s="442">
        <f>'SAR and RAR'!AE27</f>
        <v>36.465000000000003</v>
      </c>
      <c r="AF27" s="442">
        <f>'SAR and RAR'!AF27</f>
        <v>40.177999999999997</v>
      </c>
    </row>
    <row r="28" spans="2:32" ht="15.5">
      <c r="D28" s="1"/>
      <c r="E28" s="1"/>
      <c r="F28" s="1"/>
      <c r="G28" s="486"/>
      <c r="H28" s="555" t="s">
        <v>498</v>
      </c>
      <c r="I28" s="555"/>
      <c r="J28" s="555"/>
      <c r="K28" s="555"/>
      <c r="L28" s="555"/>
      <c r="M28" s="555"/>
      <c r="N28" s="555"/>
      <c r="O28" s="555"/>
      <c r="P28" s="555"/>
      <c r="Q28" s="555"/>
      <c r="R28" s="555"/>
      <c r="S28" s="555"/>
      <c r="T28" s="555"/>
      <c r="U28" s="556"/>
      <c r="V28" s="1"/>
      <c r="W28" s="1"/>
      <c r="X28" s="107"/>
      <c r="Y28" s="103"/>
      <c r="Z28" s="103"/>
      <c r="AD28" s="1"/>
      <c r="AE28" s="1"/>
    </row>
    <row r="29" spans="2:32" ht="29">
      <c r="B29" s="424" t="s">
        <v>454</v>
      </c>
      <c r="C29" s="3"/>
      <c r="D29" s="1"/>
      <c r="E29" s="1"/>
      <c r="G29" s="487"/>
      <c r="H29" s="488" t="s">
        <v>3</v>
      </c>
      <c r="I29" s="489" t="s">
        <v>373</v>
      </c>
      <c r="J29" s="489" t="s">
        <v>59</v>
      </c>
      <c r="K29" s="489" t="s">
        <v>5</v>
      </c>
      <c r="L29" s="489" t="s">
        <v>98</v>
      </c>
      <c r="M29" s="489" t="s">
        <v>14</v>
      </c>
      <c r="N29" s="489" t="s">
        <v>80</v>
      </c>
      <c r="O29" s="489" t="s">
        <v>99</v>
      </c>
      <c r="P29" s="489" t="s">
        <v>97</v>
      </c>
      <c r="Q29" s="489" t="s">
        <v>78</v>
      </c>
      <c r="R29" s="489" t="s">
        <v>10</v>
      </c>
      <c r="S29" s="489" t="s">
        <v>221</v>
      </c>
      <c r="T29" s="489" t="s">
        <v>87</v>
      </c>
      <c r="U29" s="490" t="s">
        <v>251</v>
      </c>
      <c r="V29" s="1"/>
      <c r="W29" s="1"/>
      <c r="X29" s="103"/>
      <c r="Y29" s="103"/>
      <c r="Z29" s="103"/>
      <c r="AB29" s="106"/>
    </row>
    <row r="30" spans="2:32" ht="15.5">
      <c r="B30" s="19"/>
      <c r="C30" s="428" t="s">
        <v>147</v>
      </c>
      <c r="D30" s="430" t="s">
        <v>458</v>
      </c>
      <c r="G30" s="491" t="s">
        <v>501</v>
      </c>
      <c r="H30" s="493">
        <f>H10/IF(Summary!$D$2=2026,$E25,$E38)*100</f>
        <v>16.063124058184478</v>
      </c>
      <c r="I30" s="493">
        <f>I10/IF(Summary!$D$2=2026,$C25-$E25,$C38-$E38)*100</f>
        <v>2.2536598471472914E-3</v>
      </c>
      <c r="J30" s="493">
        <f>J10/IF(Summary!$D$2=2026,$C25,$C38)*100</f>
        <v>0.86428964209415116</v>
      </c>
      <c r="K30" s="493">
        <f>(K10-($AD$18*IF(Summary!$D$2=2026,D31,D32)))/IF(Summary!$D$2=2026,$C25,$C38)*100</f>
        <v>15.17823148410943</v>
      </c>
      <c r="L30" s="493">
        <f>L10/IF(Summary!$D$2=2026,$C25,$C38)*100</f>
        <v>-0.38885411082856219</v>
      </c>
      <c r="M30" s="493">
        <f>M10/IF(Summary!$D$2=2026,$D25,$D38)*100</f>
        <v>-7.0845368774369293E-3</v>
      </c>
      <c r="N30" s="493">
        <f>N10/IF(Summary!$D$2=2026,$D25,$D38)*100</f>
        <v>-3.2860335019991433E-4</v>
      </c>
      <c r="O30" s="493">
        <f>O10/IF(Summary!$D$2=2026,$D25,$D38)*100</f>
        <v>1.664544390245275</v>
      </c>
      <c r="P30" s="493">
        <f>P10/IF(Summary!$D$2=2026,$D25,$D38)*100</f>
        <v>0</v>
      </c>
      <c r="Q30" s="493">
        <f>Q10/IF(Summary!$D$2=2026,$C25,$C38)*100</f>
        <v>0</v>
      </c>
      <c r="R30" s="493">
        <f>R10/IF(Summary!$D$2=2026,$C25,$C38)*100</f>
        <v>4.7093552935283407</v>
      </c>
      <c r="S30" s="493">
        <f>S10/IF(Summary!$D$2=2026,$D25,$D38)*100</f>
        <v>0.58052571783647855</v>
      </c>
      <c r="T30" s="493">
        <f>T10/IF(Summary!$D$2=2026,$C25,$C38)*100</f>
        <v>4.86465388531765E-3</v>
      </c>
      <c r="U30" s="495">
        <f>U10/IF(Summary!$D$2=2026,$C25-$E25,$C38-$E38)*100</f>
        <v>2.4282449135293724</v>
      </c>
      <c r="V30" s="1"/>
      <c r="W30" s="1"/>
      <c r="X30" s="100"/>
      <c r="Y30" s="107"/>
      <c r="Z30" s="107"/>
    </row>
    <row r="31" spans="2:32" ht="15.5">
      <c r="B31" s="19" t="s">
        <v>453</v>
      </c>
      <c r="C31" s="426">
        <v>246924.10618431377</v>
      </c>
      <c r="D31" s="427">
        <v>3.9247132769031419E-2</v>
      </c>
      <c r="G31" s="492" t="s">
        <v>161</v>
      </c>
      <c r="H31" s="494">
        <f>H11/IF(Summary!$D$2=2026,$E26,$E39)*100</f>
        <v>18.447937224094886</v>
      </c>
      <c r="I31" s="494">
        <f>I11/IF(Summary!$D$2=2026,$C26-$E26,$C39-$E39)*100</f>
        <v>2.2024713894388884E-3</v>
      </c>
      <c r="J31" s="494">
        <f>J11/IF(Summary!$D$2=2026,$C26,$C39)*100</f>
        <v>0.98331035831855274</v>
      </c>
      <c r="K31" s="494">
        <f>(K11-$AD$18)/IF(Summary!$D$2=2026,$C26,$C39)*100</f>
        <v>11.974929744710302</v>
      </c>
      <c r="L31" s="494">
        <f>L11/IF(Summary!$D$2=2026,$C26,$C39)*100</f>
        <v>-0.85540061393880218</v>
      </c>
      <c r="M31" s="494">
        <f>M11/IF(Summary!$D$2=2026,$D26,$D39)*100</f>
        <v>-6.7487049313300542E-3</v>
      </c>
      <c r="N31" s="494">
        <f>N11/IF(Summary!$D$2=2026,$D26,$D39)*100</f>
        <v>-3.2861385341548493E-4</v>
      </c>
      <c r="O31" s="494">
        <f>O11/IF(Summary!$D$2=2026,$D26,$D39)*100</f>
        <v>1.592608035509997</v>
      </c>
      <c r="P31" s="494">
        <f>P11/IF(Summary!$D$2=2026,$D26,$D39)*100</f>
        <v>0</v>
      </c>
      <c r="Q31" s="494">
        <f>Q11/IF(Summary!$D$2=2026,$C26,$C39)*100</f>
        <v>0</v>
      </c>
      <c r="R31" s="494">
        <f>R11/IF(Summary!$D$2=2026,$C26,$C39)*100</f>
        <v>6.2918899161080528</v>
      </c>
      <c r="S31" s="494">
        <f>S11/IF(Summary!$D$2=2026,$D26,$D39)*100</f>
        <v>0.45460817486664262</v>
      </c>
      <c r="T31" s="494">
        <f>T11/IF(Summary!$D$2=2026,$C26,$C39)*100</f>
        <v>4.8646579114019822E-3</v>
      </c>
      <c r="U31" s="496">
        <f>U11/IF(Summary!$D$2=2026,$C26-$E26,$C39-$E39)*100</f>
        <v>2.330958201708611</v>
      </c>
      <c r="V31" s="1"/>
      <c r="W31" s="1"/>
      <c r="X31" s="103"/>
      <c r="Y31" s="103"/>
      <c r="Z31" s="103"/>
    </row>
    <row r="32" spans="2:32" ht="15.5">
      <c r="B32" s="485" t="s">
        <v>174</v>
      </c>
      <c r="C32" s="426">
        <v>246924.10618431377</v>
      </c>
      <c r="D32" s="427">
        <v>3.9247132769031419E-2</v>
      </c>
      <c r="I32" s="5"/>
      <c r="J32" s="19"/>
      <c r="K32" s="4"/>
      <c r="L32" s="19"/>
      <c r="M32" s="1"/>
      <c r="N32" s="1"/>
      <c r="O32" s="497"/>
      <c r="P32" s="1"/>
      <c r="Q32" s="1"/>
      <c r="R32" s="497"/>
      <c r="S32" s="2"/>
      <c r="T32" s="2"/>
      <c r="U32" s="2"/>
      <c r="V32" s="2"/>
      <c r="W32" s="2"/>
      <c r="X32" s="2"/>
      <c r="Y32" s="107"/>
      <c r="Z32" s="107"/>
      <c r="AA32" s="107"/>
    </row>
    <row r="33" spans="2:28" ht="15.5">
      <c r="B33" s="1"/>
      <c r="C33" s="87"/>
      <c r="D33" s="44"/>
      <c r="F33" s="1"/>
      <c r="I33" s="5"/>
      <c r="J33" s="19"/>
      <c r="K33" s="19"/>
      <c r="L33" s="19"/>
      <c r="M33" s="1"/>
      <c r="N33" s="1"/>
      <c r="O33" s="497"/>
      <c r="P33" s="1"/>
      <c r="Q33" s="1"/>
      <c r="R33" s="497"/>
      <c r="S33" s="2"/>
      <c r="T33" s="2"/>
      <c r="U33" s="2"/>
      <c r="V33" s="2"/>
      <c r="W33" s="2"/>
      <c r="X33" s="2"/>
      <c r="Y33" s="107"/>
      <c r="Z33" s="107"/>
      <c r="AA33" s="107"/>
      <c r="AB33" s="103"/>
    </row>
    <row r="34" spans="2:28" ht="15.5">
      <c r="D34" s="1"/>
      <c r="E34" s="1"/>
      <c r="F34" s="19"/>
      <c r="G34" s="486"/>
      <c r="H34" s="555" t="s">
        <v>499</v>
      </c>
      <c r="I34" s="555"/>
      <c r="J34" s="555"/>
      <c r="K34" s="555"/>
      <c r="L34" s="555"/>
      <c r="M34" s="555"/>
      <c r="N34" s="555"/>
      <c r="O34" s="555"/>
      <c r="P34" s="555"/>
      <c r="Q34" s="555"/>
      <c r="R34" s="555"/>
      <c r="S34" s="555"/>
      <c r="T34" s="555"/>
      <c r="U34" s="556"/>
      <c r="V34" s="2"/>
      <c r="W34" s="2"/>
      <c r="X34" s="2"/>
      <c r="Y34" s="103"/>
      <c r="Z34" s="103"/>
      <c r="AA34" s="107"/>
      <c r="AB34" s="103"/>
    </row>
    <row r="35" spans="2:28" ht="29">
      <c r="D35" s="1"/>
      <c r="E35" s="19"/>
      <c r="F35" s="1"/>
      <c r="G35" s="487"/>
      <c r="H35" s="488" t="s">
        <v>3</v>
      </c>
      <c r="I35" s="489" t="s">
        <v>373</v>
      </c>
      <c r="J35" s="489" t="s">
        <v>59</v>
      </c>
      <c r="K35" s="489" t="s">
        <v>5</v>
      </c>
      <c r="L35" s="489" t="s">
        <v>98</v>
      </c>
      <c r="M35" s="489" t="s">
        <v>14</v>
      </c>
      <c r="N35" s="489" t="s">
        <v>80</v>
      </c>
      <c r="O35" s="489" t="s">
        <v>99</v>
      </c>
      <c r="P35" s="489" t="s">
        <v>97</v>
      </c>
      <c r="Q35" s="489" t="s">
        <v>78</v>
      </c>
      <c r="R35" s="489" t="s">
        <v>10</v>
      </c>
      <c r="S35" s="489" t="s">
        <v>221</v>
      </c>
      <c r="T35" s="489" t="s">
        <v>87</v>
      </c>
      <c r="U35" s="490" t="s">
        <v>251</v>
      </c>
      <c r="V35" s="2"/>
      <c r="W35" s="2"/>
      <c r="X35" s="2"/>
      <c r="Y35" s="100"/>
      <c r="Z35" s="100"/>
      <c r="AA35" s="107"/>
      <c r="AB35" s="103"/>
    </row>
    <row r="36" spans="2:28" ht="15.5">
      <c r="C36" s="560" t="s">
        <v>500</v>
      </c>
      <c r="D36" s="561"/>
      <c r="E36" s="562"/>
      <c r="F36" s="104"/>
      <c r="G36" s="491" t="s">
        <v>501</v>
      </c>
      <c r="H36" s="493">
        <f>H13/IF(Summary!$D$2=2026,$E25,$E38)*100</f>
        <v>16.081202533976207</v>
      </c>
      <c r="I36" s="493">
        <f>I13/IF(Summary!$D$2=2026,$C25-$E25,$C38-$E38)*100</f>
        <v>2.2536598471472914E-3</v>
      </c>
      <c r="J36" s="493">
        <f>J13/IF(Summary!$D$2=2026,$C25,$C38)*100</f>
        <v>0.86428964209415116</v>
      </c>
      <c r="K36" s="493">
        <f>(K13-($AD$18*IF(Summary!$D$2=2026,D31,D32)))/IF(Summary!$D$2=2026,$C25,$C38)*100</f>
        <v>16.634705830694809</v>
      </c>
      <c r="L36" s="493">
        <f>L13/IF(Summary!$D$2=2026,$C25,$C38)*100</f>
        <v>-0.38885411082856219</v>
      </c>
      <c r="M36" s="493">
        <f>M13/IF(Summary!$D$2=2026,$D25,$D38)*100</f>
        <v>-7.0845368774369293E-3</v>
      </c>
      <c r="N36" s="493">
        <f>N13/IF(Summary!$D$2=2026,$D25,$D38)*100</f>
        <v>-3.2860335019991433E-4</v>
      </c>
      <c r="O36" s="493">
        <f>O13/IF(Summary!$D$2=2026,$D25,$D38)*100</f>
        <v>1.6582918895680012</v>
      </c>
      <c r="P36" s="493">
        <f>P13/IF(Summary!$D$2=2026,$D25,$D38)*100</f>
        <v>0</v>
      </c>
      <c r="Q36" s="493">
        <f>Q13/IF(Summary!$D$2=2026,$C25,$C38)*100</f>
        <v>0</v>
      </c>
      <c r="R36" s="493">
        <f>R13/IF(Summary!$D$2=2026,$C25,$C38)*100</f>
        <v>4.7093552935283407</v>
      </c>
      <c r="S36" s="493">
        <f>S13/IF(Summary!$D$2=2026,$D25,$D38)*100</f>
        <v>0.58052571783647855</v>
      </c>
      <c r="T36" s="493">
        <f>T13/IF(Summary!$D$2=2026,$C25,$C38)*100</f>
        <v>4.86465388531765E-3</v>
      </c>
      <c r="U36" s="495">
        <f>U13/IF(Summary!$D$2=2026,$C25-$E25,$C38-$E38)*100</f>
        <v>2.4428702246092198</v>
      </c>
      <c r="V36" s="2"/>
      <c r="W36" s="2"/>
      <c r="X36" s="2"/>
      <c r="Y36" s="103"/>
      <c r="Z36" s="103"/>
      <c r="AA36" s="107"/>
      <c r="AB36" s="107"/>
    </row>
    <row r="37" spans="2:28" ht="31">
      <c r="B37" s="1"/>
      <c r="C37" s="80" t="s">
        <v>333</v>
      </c>
      <c r="D37" s="80" t="s">
        <v>334</v>
      </c>
      <c r="E37" s="80" t="s">
        <v>335</v>
      </c>
      <c r="F37" s="104"/>
      <c r="G37" s="492" t="s">
        <v>161</v>
      </c>
      <c r="H37" s="494">
        <f>H14/IF(Summary!$D$2=2026,$E26,$E39)*100</f>
        <v>18.4686997224299</v>
      </c>
      <c r="I37" s="494">
        <f>I14/IF(Summary!$D$2=2026,$C26-$E26,$C39-$E39)*100</f>
        <v>2.2024713894388884E-3</v>
      </c>
      <c r="J37" s="494">
        <f>J14/IF(Summary!$D$2=2026,$C26,$C39)*100</f>
        <v>0.98331035831855274</v>
      </c>
      <c r="K37" s="494">
        <f>(K14-$AD$18)/IF(Summary!$D$2=2026,$C26,$C39)*100</f>
        <v>13.227209625665697</v>
      </c>
      <c r="L37" s="494">
        <f>L14/IF(Summary!$D$2=2026,$C26,$C39)*100</f>
        <v>-0.85540061393880218</v>
      </c>
      <c r="M37" s="494">
        <f>M14/IF(Summary!$D$2=2026,$D26,$D39)*100</f>
        <v>-6.7487049313300542E-3</v>
      </c>
      <c r="N37" s="494">
        <f>N14/IF(Summary!$D$2=2026,$D26,$D39)*100</f>
        <v>-3.2861385341548493E-4</v>
      </c>
      <c r="O37" s="494">
        <f>O14/IF(Summary!$D$2=2026,$D26,$D39)*100</f>
        <v>1.5866257481771906</v>
      </c>
      <c r="P37" s="494">
        <f>P14/IF(Summary!$D$2=2026,$D26,$D39)*100</f>
        <v>0</v>
      </c>
      <c r="Q37" s="494">
        <f>Q14/IF(Summary!$D$2=2026,$C26,$C39)*100</f>
        <v>0</v>
      </c>
      <c r="R37" s="494">
        <f>R14/IF(Summary!$D$2=2026,$C26,$C39)*100</f>
        <v>6.2918899161080528</v>
      </c>
      <c r="S37" s="494">
        <f>S14/IF(Summary!$D$2=2026,$D26,$D39)*100</f>
        <v>0.45460817486664262</v>
      </c>
      <c r="T37" s="494">
        <f>T14/IF(Summary!$D$2=2026,$C26,$C39)*100</f>
        <v>4.8646579114019822E-3</v>
      </c>
      <c r="U37" s="496">
        <f>U14/IF(Summary!$D$2=2026,$C26-$E26,$C39-$E39)*100</f>
        <v>2.3449975552450546</v>
      </c>
      <c r="V37" s="2"/>
      <c r="W37" s="2"/>
      <c r="X37" s="2"/>
      <c r="Y37" s="2"/>
      <c r="Z37" s="102"/>
      <c r="AA37" s="102"/>
      <c r="AB37" s="103"/>
    </row>
    <row r="38" spans="2:28" ht="15.5">
      <c r="B38" s="104" t="s">
        <v>379</v>
      </c>
      <c r="C38" s="228">
        <v>2442100.4570462531</v>
      </c>
      <c r="D38" s="228">
        <v>2479597.9733180017</v>
      </c>
      <c r="E38" s="4">
        <v>518117.44963314955</v>
      </c>
      <c r="F38" s="1"/>
      <c r="G38" s="19"/>
      <c r="H38" s="19"/>
      <c r="I38" s="19"/>
      <c r="J38" s="19"/>
      <c r="K38" s="19"/>
      <c r="L38" s="19"/>
      <c r="M38" s="1"/>
      <c r="N38" s="1"/>
      <c r="O38" s="1"/>
      <c r="P38" s="1"/>
      <c r="Q38" s="1"/>
      <c r="R38" s="2"/>
      <c r="S38" s="2"/>
      <c r="T38" s="2"/>
      <c r="U38" s="2"/>
      <c r="V38" s="2"/>
      <c r="W38" s="2"/>
      <c r="X38" s="2"/>
      <c r="Y38" s="2"/>
      <c r="Z38" s="102"/>
      <c r="AA38" s="107"/>
      <c r="AB38" s="102"/>
    </row>
    <row r="39" spans="2:28" ht="15.5">
      <c r="B39" s="104" t="s">
        <v>161</v>
      </c>
      <c r="C39" s="228">
        <v>17431428.835748378</v>
      </c>
      <c r="D39" s="228">
        <v>19476455.217814039</v>
      </c>
      <c r="E39" s="4">
        <v>3218717.0926473769</v>
      </c>
      <c r="F39" s="1"/>
      <c r="G39" s="19"/>
      <c r="H39" s="19"/>
      <c r="I39" s="19"/>
      <c r="J39" s="19"/>
      <c r="K39" s="19"/>
      <c r="L39" s="19"/>
      <c r="M39" s="1"/>
      <c r="N39" s="1"/>
      <c r="O39" s="1"/>
      <c r="P39" s="1"/>
      <c r="Q39" s="1"/>
      <c r="R39" s="2"/>
      <c r="S39" s="2"/>
      <c r="T39" s="2"/>
      <c r="U39" s="2"/>
      <c r="V39" s="2"/>
      <c r="W39" s="2"/>
      <c r="X39" s="2"/>
      <c r="Y39" s="2"/>
      <c r="Z39" s="107"/>
      <c r="AA39" s="103"/>
      <c r="AB39" s="103"/>
    </row>
    <row r="40" spans="2:28" ht="15.5">
      <c r="B40" s="2"/>
      <c r="C40" s="2"/>
      <c r="E40" s="1"/>
      <c r="F40" s="1"/>
      <c r="G40" s="19"/>
      <c r="H40" s="19"/>
      <c r="I40" s="19"/>
      <c r="J40" s="19"/>
      <c r="K40" s="19"/>
      <c r="L40" s="19"/>
      <c r="M40" s="1"/>
      <c r="N40" s="1"/>
      <c r="O40" s="1"/>
      <c r="P40" s="1"/>
      <c r="Q40" s="1"/>
      <c r="R40" s="2"/>
      <c r="S40" s="2"/>
      <c r="T40" s="2"/>
      <c r="U40" s="2"/>
      <c r="V40" s="2"/>
      <c r="W40" s="2"/>
      <c r="X40" s="2"/>
      <c r="Y40" s="2"/>
      <c r="Z40" s="107"/>
      <c r="AA40" s="107"/>
      <c r="AB40" s="103"/>
    </row>
    <row r="41" spans="2:28" ht="15.5">
      <c r="B41" s="2"/>
      <c r="C41" s="2"/>
      <c r="E41" s="1"/>
      <c r="F41" s="1"/>
      <c r="G41" s="19"/>
      <c r="H41" s="19"/>
      <c r="I41" s="19"/>
      <c r="J41" s="19"/>
      <c r="K41" s="19"/>
      <c r="L41" s="19"/>
      <c r="M41" s="1"/>
      <c r="N41" s="1"/>
      <c r="O41" s="1"/>
      <c r="P41" s="1"/>
      <c r="Q41" s="1"/>
      <c r="R41" s="2"/>
      <c r="S41" s="2"/>
      <c r="T41" s="2"/>
      <c r="U41" s="2"/>
      <c r="V41" s="2"/>
      <c r="W41" s="2"/>
      <c r="X41" s="2"/>
      <c r="Y41" s="2"/>
      <c r="Z41" s="107"/>
      <c r="AA41" s="107"/>
      <c r="AB41" s="107"/>
    </row>
    <row r="42" spans="2:28" ht="15.5">
      <c r="B42" s="2"/>
      <c r="C42" s="2"/>
      <c r="E42" s="1"/>
      <c r="F42" s="1"/>
      <c r="G42" s="19"/>
      <c r="H42" s="19"/>
      <c r="I42" s="19"/>
      <c r="J42" s="19"/>
      <c r="K42" s="19"/>
      <c r="L42" s="19"/>
      <c r="M42" s="1"/>
      <c r="N42" s="1"/>
      <c r="O42" s="1"/>
      <c r="P42" s="1"/>
      <c r="Q42" s="1"/>
      <c r="R42" s="1"/>
      <c r="S42" s="1"/>
      <c r="T42" s="1"/>
      <c r="U42" s="101"/>
      <c r="V42" s="102"/>
      <c r="W42" s="102"/>
      <c r="X42" s="102"/>
      <c r="Y42" s="2"/>
      <c r="Z42" s="107"/>
      <c r="AA42" s="103"/>
      <c r="AB42" s="103"/>
    </row>
    <row r="43" spans="2:28" ht="15.5">
      <c r="B43" s="2"/>
      <c r="C43" s="2"/>
      <c r="D43" s="1"/>
      <c r="E43" s="1"/>
      <c r="F43" s="1"/>
      <c r="G43" s="19"/>
      <c r="H43" s="19"/>
      <c r="I43" s="19"/>
      <c r="J43" s="19"/>
      <c r="K43" s="19"/>
      <c r="L43" s="19"/>
      <c r="M43" s="1"/>
      <c r="N43" s="1"/>
      <c r="O43" s="1"/>
      <c r="P43" s="1"/>
      <c r="Q43" s="1"/>
      <c r="R43" s="1"/>
      <c r="S43" s="1"/>
      <c r="T43" s="1"/>
      <c r="U43" s="101"/>
      <c r="V43" s="546"/>
      <c r="W43" s="546"/>
      <c r="X43" s="102"/>
      <c r="Y43" s="2"/>
      <c r="Z43" s="107"/>
      <c r="AA43" s="100"/>
      <c r="AB43" s="103"/>
    </row>
    <row r="44" spans="2:28" ht="15.5">
      <c r="B44" s="2"/>
      <c r="C44" s="2"/>
      <c r="D44" s="1"/>
      <c r="E44" s="1"/>
      <c r="F44" s="1"/>
      <c r="G44" s="19"/>
      <c r="H44" s="19"/>
      <c r="I44" s="19"/>
      <c r="J44" s="19"/>
      <c r="K44" s="19"/>
      <c r="L44" s="19"/>
      <c r="M44" s="1"/>
      <c r="N44" s="1"/>
      <c r="O44" s="1"/>
      <c r="P44" s="1"/>
      <c r="Q44" s="1"/>
      <c r="R44" s="1"/>
      <c r="S44" s="1"/>
      <c r="T44" s="1"/>
      <c r="U44" s="101"/>
      <c r="V44" s="102"/>
      <c r="W44" s="101"/>
      <c r="X44" s="107"/>
      <c r="Y44" s="2"/>
      <c r="Z44" s="107"/>
      <c r="AA44" s="103"/>
      <c r="AB44" s="100"/>
    </row>
    <row r="45" spans="2:28" ht="15.5">
      <c r="B45" s="2"/>
      <c r="C45" s="2"/>
      <c r="D45" s="1"/>
      <c r="E45" s="1"/>
      <c r="F45" s="1"/>
      <c r="G45" s="19"/>
      <c r="H45" s="19"/>
      <c r="I45" s="19"/>
      <c r="J45" s="19"/>
      <c r="K45" s="19"/>
      <c r="L45" s="19"/>
      <c r="M45" s="1"/>
      <c r="N45" s="1"/>
      <c r="O45" s="1"/>
      <c r="P45" s="1"/>
      <c r="Q45" s="1"/>
      <c r="R45" s="1"/>
      <c r="S45" s="1"/>
      <c r="T45" s="1"/>
      <c r="U45" s="101"/>
      <c r="V45" s="102"/>
      <c r="W45" s="101"/>
      <c r="X45" s="107"/>
      <c r="Y45" s="2"/>
      <c r="Z45" s="100"/>
      <c r="AA45" s="102"/>
      <c r="AB45" s="103"/>
    </row>
    <row r="46" spans="2:28" ht="15.5">
      <c r="B46" s="2"/>
      <c r="C46" s="2"/>
      <c r="D46" s="1"/>
      <c r="E46" s="1"/>
      <c r="F46" s="1"/>
      <c r="G46" s="19"/>
      <c r="H46" s="19"/>
      <c r="I46" s="19"/>
      <c r="J46" s="19"/>
      <c r="K46" s="19"/>
      <c r="L46" s="19"/>
      <c r="M46" s="1"/>
      <c r="N46" s="1"/>
      <c r="O46" s="1"/>
      <c r="P46" s="1"/>
      <c r="Q46" s="1"/>
      <c r="R46" s="1"/>
      <c r="S46" s="1"/>
      <c r="T46" s="1"/>
      <c r="U46" s="101"/>
      <c r="V46" s="102"/>
      <c r="W46" s="102"/>
      <c r="X46" s="100"/>
      <c r="Y46" s="2"/>
      <c r="Z46" s="107"/>
      <c r="AA46" s="102"/>
      <c r="AB46" s="102"/>
    </row>
    <row r="47" spans="2:28" ht="15.5">
      <c r="B47" s="2"/>
      <c r="C47" s="2"/>
      <c r="D47" s="1"/>
      <c r="E47" s="1"/>
      <c r="F47" s="1"/>
      <c r="G47" s="19"/>
      <c r="H47" s="19"/>
      <c r="I47" s="19"/>
      <c r="J47" s="19"/>
      <c r="K47" s="19"/>
      <c r="L47" s="19"/>
      <c r="M47" s="1"/>
      <c r="N47" s="1"/>
      <c r="O47" s="1"/>
      <c r="P47" s="1"/>
      <c r="Q47" s="1"/>
      <c r="R47" s="1"/>
      <c r="S47" s="1"/>
      <c r="T47" s="1"/>
      <c r="U47" s="101"/>
      <c r="V47" s="102"/>
      <c r="W47" s="101"/>
      <c r="X47" s="107"/>
      <c r="Y47" s="102"/>
      <c r="Z47" s="102"/>
      <c r="AA47" s="103"/>
      <c r="AB47" s="102"/>
    </row>
    <row r="48" spans="2:28" ht="15.5">
      <c r="B48" s="2"/>
      <c r="C48" s="2"/>
      <c r="D48" s="1"/>
      <c r="E48" s="1"/>
      <c r="F48" s="1"/>
      <c r="G48" s="19"/>
      <c r="H48" s="19"/>
      <c r="I48" s="19"/>
      <c r="J48" s="19"/>
      <c r="K48" s="19"/>
      <c r="L48" s="19"/>
      <c r="M48" s="1"/>
      <c r="N48" s="1"/>
      <c r="O48" s="1"/>
      <c r="P48" s="1"/>
      <c r="Q48" s="1"/>
      <c r="R48" s="1"/>
      <c r="S48" s="1"/>
      <c r="T48" s="1"/>
      <c r="U48" s="101"/>
      <c r="V48" s="102"/>
      <c r="W48" s="102"/>
      <c r="X48" s="102"/>
      <c r="Y48" s="102"/>
      <c r="Z48" s="102"/>
      <c r="AA48" s="103"/>
      <c r="AB48" s="103"/>
    </row>
    <row r="49" spans="2:28" ht="15.5">
      <c r="B49" s="2"/>
      <c r="C49" s="2"/>
      <c r="D49" s="1"/>
      <c r="E49" s="1"/>
      <c r="F49" s="1"/>
      <c r="G49" s="19"/>
      <c r="H49" s="19"/>
      <c r="I49" s="19"/>
      <c r="J49" s="19"/>
      <c r="K49" s="19"/>
      <c r="L49" s="19"/>
      <c r="M49" s="1"/>
      <c r="N49" s="1"/>
      <c r="O49" s="1"/>
      <c r="P49" s="1"/>
      <c r="Q49" s="1"/>
      <c r="R49" s="1"/>
      <c r="S49" s="1"/>
      <c r="T49" s="1"/>
      <c r="U49" s="101"/>
      <c r="V49" s="546"/>
      <c r="W49" s="546"/>
      <c r="X49" s="102"/>
      <c r="Y49" s="107"/>
      <c r="Z49" s="107"/>
      <c r="AA49" s="103"/>
      <c r="AB49" s="103"/>
    </row>
    <row r="50" spans="2:28" ht="15.5">
      <c r="B50" s="2"/>
      <c r="C50" s="2"/>
      <c r="D50" s="1"/>
      <c r="E50" s="1"/>
      <c r="F50" s="1"/>
      <c r="G50" s="19"/>
      <c r="H50" s="19"/>
      <c r="I50" s="19"/>
      <c r="J50" s="19"/>
      <c r="K50" s="19"/>
      <c r="L50" s="19"/>
      <c r="M50" s="1"/>
      <c r="N50" s="1"/>
      <c r="O50" s="1"/>
      <c r="P50" s="1"/>
      <c r="Q50" s="1"/>
      <c r="R50" s="1"/>
      <c r="S50" s="1"/>
      <c r="T50" s="1"/>
      <c r="U50" s="101"/>
      <c r="V50" s="102"/>
      <c r="W50" s="101"/>
      <c r="X50" s="107"/>
      <c r="Y50" s="107"/>
      <c r="Z50" s="107"/>
      <c r="AA50" s="107"/>
      <c r="AB50" s="103"/>
    </row>
    <row r="51" spans="2:28" ht="15.5">
      <c r="B51" s="2"/>
      <c r="C51" s="2"/>
      <c r="D51" s="1"/>
      <c r="E51" s="1"/>
      <c r="F51" s="1"/>
      <c r="G51" s="19"/>
      <c r="H51" s="19"/>
      <c r="I51" s="19"/>
      <c r="J51" s="19"/>
      <c r="K51" s="19"/>
      <c r="L51" s="19"/>
      <c r="M51" s="1"/>
      <c r="N51" s="1"/>
      <c r="O51" s="1"/>
      <c r="P51" s="1"/>
      <c r="Q51" s="1"/>
      <c r="R51" s="1"/>
      <c r="S51" s="1"/>
      <c r="T51" s="1"/>
      <c r="U51" s="101"/>
      <c r="V51" s="102"/>
      <c r="W51" s="101"/>
      <c r="X51" s="107"/>
      <c r="Y51" s="100"/>
      <c r="Z51" s="100"/>
      <c r="AA51" s="107"/>
      <c r="AB51" s="103"/>
    </row>
    <row r="52" spans="2:28" ht="15.5">
      <c r="B52" s="2"/>
      <c r="C52" s="2"/>
      <c r="D52" s="1"/>
      <c r="E52" s="1"/>
      <c r="F52" s="1"/>
      <c r="G52" s="19"/>
      <c r="H52" s="19"/>
      <c r="I52" s="19"/>
      <c r="J52" s="19"/>
      <c r="K52" s="19"/>
      <c r="L52" s="19"/>
      <c r="M52" s="1"/>
      <c r="N52" s="1"/>
      <c r="O52" s="1"/>
      <c r="P52" s="1"/>
      <c r="Q52" s="1"/>
      <c r="R52" s="1"/>
      <c r="S52" s="1"/>
      <c r="T52" s="1"/>
      <c r="U52" s="101"/>
      <c r="V52" s="102"/>
      <c r="W52" s="101"/>
      <c r="X52" s="103"/>
      <c r="Y52" s="107"/>
      <c r="Z52" s="107"/>
      <c r="AA52" s="103"/>
      <c r="AB52" s="103"/>
    </row>
    <row r="53" spans="2:28" ht="15.5">
      <c r="B53" s="2"/>
      <c r="C53" s="2"/>
      <c r="D53" s="1"/>
      <c r="E53" s="1"/>
      <c r="F53" s="1"/>
      <c r="G53" s="19"/>
      <c r="H53" s="19"/>
      <c r="I53" s="19"/>
      <c r="J53" s="19"/>
      <c r="K53" s="19"/>
      <c r="L53" s="19"/>
      <c r="M53" s="1"/>
      <c r="N53" s="1"/>
      <c r="O53" s="1"/>
      <c r="P53" s="1"/>
      <c r="Q53" s="1"/>
      <c r="R53" s="1"/>
      <c r="S53" s="1"/>
      <c r="T53" s="1"/>
      <c r="U53" s="101"/>
      <c r="V53" s="102"/>
      <c r="W53" s="101"/>
      <c r="X53" s="107"/>
      <c r="Y53" s="102"/>
      <c r="Z53" s="102"/>
      <c r="AA53" s="100"/>
      <c r="AB53" s="103"/>
    </row>
    <row r="54" spans="2:28" ht="15.5">
      <c r="B54" s="2"/>
      <c r="C54" s="2"/>
      <c r="D54" s="1"/>
      <c r="E54" s="1"/>
      <c r="F54" s="1"/>
      <c r="G54" s="19"/>
      <c r="H54" s="19"/>
      <c r="I54" s="19"/>
      <c r="J54" s="19"/>
      <c r="K54" s="19"/>
      <c r="L54" s="19"/>
      <c r="M54" s="1"/>
      <c r="N54" s="1"/>
      <c r="O54" s="1"/>
      <c r="P54" s="1"/>
      <c r="Q54" s="1"/>
      <c r="R54" s="1"/>
      <c r="S54" s="1"/>
      <c r="T54" s="1"/>
      <c r="U54" s="101"/>
      <c r="V54" s="102"/>
      <c r="W54" s="101"/>
      <c r="X54" s="107"/>
      <c r="Y54" s="102"/>
      <c r="Z54" s="102"/>
      <c r="AA54" s="103"/>
      <c r="AB54" s="100"/>
    </row>
    <row r="55" spans="2:28" ht="15.5">
      <c r="B55" s="2"/>
      <c r="C55" s="2"/>
      <c r="D55" s="1"/>
      <c r="E55" s="1"/>
      <c r="F55" s="1"/>
      <c r="G55" s="19"/>
      <c r="H55" s="19"/>
      <c r="I55" s="19"/>
      <c r="J55" s="19"/>
      <c r="K55" s="19"/>
      <c r="L55" s="19"/>
      <c r="M55" s="1"/>
      <c r="N55" s="1"/>
      <c r="O55" s="1"/>
      <c r="P55" s="1"/>
      <c r="Q55" s="1"/>
      <c r="R55" s="1"/>
      <c r="S55" s="1"/>
      <c r="T55" s="1"/>
      <c r="U55" s="101"/>
      <c r="V55" s="102"/>
      <c r="W55" s="102"/>
      <c r="X55" s="100"/>
      <c r="Y55" s="107"/>
      <c r="Z55" s="107"/>
      <c r="AA55" s="102"/>
      <c r="AB55" s="103"/>
    </row>
    <row r="56" spans="2:28" ht="15.5">
      <c r="B56" s="1"/>
      <c r="C56" s="1"/>
      <c r="D56" s="1"/>
      <c r="E56" s="1"/>
      <c r="F56" s="1"/>
      <c r="G56" s="19"/>
      <c r="H56" s="19"/>
      <c r="I56" s="19"/>
      <c r="J56" s="19"/>
      <c r="K56" s="19"/>
      <c r="L56" s="19"/>
      <c r="M56" s="1"/>
      <c r="N56" s="1"/>
      <c r="O56" s="1"/>
      <c r="P56" s="1"/>
      <c r="Q56" s="1"/>
      <c r="R56" s="1"/>
      <c r="S56" s="1"/>
      <c r="T56" s="1"/>
      <c r="U56" s="101"/>
      <c r="V56" s="102"/>
      <c r="W56" s="101"/>
      <c r="X56" s="103"/>
      <c r="Y56" s="107"/>
      <c r="Z56" s="107"/>
      <c r="AA56" s="102"/>
      <c r="AB56" s="102"/>
    </row>
    <row r="57" spans="2:28" ht="15.5">
      <c r="B57" s="1"/>
      <c r="C57" s="1"/>
      <c r="D57" s="1"/>
      <c r="E57" s="1"/>
      <c r="F57" s="1"/>
      <c r="G57" s="19"/>
      <c r="H57" s="19"/>
      <c r="I57" s="19"/>
      <c r="J57" s="19"/>
      <c r="K57" s="19"/>
      <c r="L57" s="19"/>
      <c r="M57" s="1"/>
      <c r="N57" s="1"/>
      <c r="O57" s="1"/>
      <c r="P57" s="1"/>
      <c r="Q57" s="1"/>
      <c r="R57" s="1"/>
      <c r="S57" s="1"/>
      <c r="T57" s="1"/>
      <c r="U57" s="101"/>
      <c r="V57" s="102"/>
      <c r="W57" s="102"/>
      <c r="X57" s="102"/>
      <c r="Y57" s="103"/>
      <c r="Z57" s="103"/>
      <c r="AA57" s="107"/>
      <c r="AB57" s="102"/>
    </row>
    <row r="58" spans="2:28" ht="15.5">
      <c r="B58" s="1"/>
      <c r="C58" s="1"/>
      <c r="D58" s="1"/>
      <c r="E58" s="1"/>
      <c r="F58" s="1"/>
      <c r="G58" s="19"/>
      <c r="H58" s="19"/>
      <c r="I58" s="19"/>
      <c r="J58" s="19"/>
      <c r="K58" s="19"/>
      <c r="L58" s="19"/>
      <c r="M58" s="1"/>
      <c r="N58" s="1"/>
      <c r="O58" s="1"/>
      <c r="P58" s="1"/>
      <c r="Q58" s="1"/>
      <c r="R58" s="1"/>
      <c r="S58" s="1"/>
      <c r="T58" s="1"/>
      <c r="U58" s="101"/>
      <c r="V58" s="102"/>
      <c r="W58" s="102"/>
      <c r="X58" s="102"/>
      <c r="Y58" s="107"/>
      <c r="Z58" s="107"/>
      <c r="AA58" s="107"/>
      <c r="AB58" s="103"/>
    </row>
    <row r="59" spans="2:28" ht="15.5">
      <c r="B59" s="1"/>
      <c r="C59" s="1"/>
      <c r="D59" s="1"/>
      <c r="E59" s="1"/>
      <c r="F59" s="1"/>
      <c r="G59" s="19"/>
      <c r="H59" s="19"/>
      <c r="I59" s="19"/>
      <c r="J59" s="19"/>
      <c r="K59" s="19"/>
      <c r="L59" s="19"/>
      <c r="M59" s="1"/>
      <c r="N59" s="1"/>
      <c r="O59" s="1"/>
      <c r="P59" s="1"/>
      <c r="Q59" s="1"/>
      <c r="R59" s="1"/>
      <c r="S59" s="1"/>
      <c r="T59" s="1"/>
      <c r="U59" s="101"/>
      <c r="V59" s="102"/>
      <c r="W59" s="101"/>
      <c r="X59" s="103"/>
      <c r="Y59" s="107"/>
      <c r="Z59" s="107"/>
      <c r="AA59" s="100"/>
      <c r="AB59" s="103"/>
    </row>
    <row r="60" spans="2:28" ht="15.5">
      <c r="B60" s="1"/>
      <c r="C60" s="1"/>
      <c r="D60" s="1"/>
      <c r="E60" s="1"/>
      <c r="F60" s="1"/>
      <c r="G60" s="19"/>
      <c r="H60" s="19"/>
      <c r="I60" s="19"/>
      <c r="J60" s="19"/>
      <c r="K60" s="19"/>
      <c r="L60" s="19"/>
      <c r="M60" s="1"/>
      <c r="N60" s="1"/>
      <c r="O60" s="1"/>
      <c r="P60" s="1"/>
      <c r="Q60" s="1"/>
      <c r="R60" s="1"/>
      <c r="S60" s="1"/>
      <c r="T60" s="1"/>
      <c r="U60" s="101"/>
      <c r="V60" s="102"/>
      <c r="W60" s="102"/>
      <c r="X60" s="100"/>
      <c r="Y60" s="100"/>
      <c r="Z60" s="100"/>
      <c r="AA60" s="107"/>
      <c r="AB60" s="100"/>
    </row>
    <row r="61" spans="2:28" ht="15.5">
      <c r="B61" s="1"/>
      <c r="C61" s="1"/>
      <c r="D61" s="1"/>
      <c r="E61" s="1"/>
      <c r="F61" s="1"/>
      <c r="G61" s="19"/>
      <c r="H61" s="19"/>
      <c r="I61" s="19"/>
      <c r="J61" s="19"/>
      <c r="K61" s="19"/>
      <c r="L61" s="19"/>
      <c r="M61" s="1"/>
      <c r="N61" s="1"/>
      <c r="O61" s="1"/>
      <c r="P61" s="1"/>
      <c r="Q61" s="1"/>
      <c r="R61" s="1"/>
      <c r="S61" s="1"/>
      <c r="T61" s="1"/>
      <c r="U61" s="101"/>
      <c r="V61" s="546"/>
      <c r="W61" s="546"/>
      <c r="X61" s="102"/>
      <c r="Y61" s="103"/>
      <c r="Z61" s="103"/>
      <c r="AA61" s="102"/>
      <c r="AB61" s="103"/>
    </row>
    <row r="62" spans="2:28" ht="15.5">
      <c r="B62" s="1"/>
      <c r="C62" s="1"/>
      <c r="D62" s="1"/>
      <c r="E62" s="1"/>
      <c r="F62" s="1"/>
      <c r="G62" s="19"/>
      <c r="H62" s="19"/>
      <c r="I62" s="19"/>
      <c r="J62" s="19"/>
      <c r="K62" s="19"/>
      <c r="L62" s="19"/>
      <c r="M62" s="1"/>
      <c r="N62" s="1"/>
      <c r="O62" s="1"/>
      <c r="P62" s="1"/>
      <c r="Q62" s="1"/>
      <c r="R62" s="1"/>
      <c r="S62" s="1"/>
      <c r="T62" s="1"/>
      <c r="U62" s="101"/>
      <c r="V62" s="102"/>
      <c r="W62" s="102"/>
      <c r="X62" s="102"/>
      <c r="Y62" s="102"/>
      <c r="Z62" s="102"/>
      <c r="AA62" s="102"/>
      <c r="AB62" s="102"/>
    </row>
    <row r="63" spans="2:28" ht="15.5">
      <c r="B63" s="1"/>
      <c r="C63" s="1"/>
      <c r="D63" s="1"/>
      <c r="E63" s="1"/>
      <c r="F63" s="1"/>
      <c r="G63" s="19"/>
      <c r="H63" s="19"/>
      <c r="I63" s="19"/>
      <c r="J63" s="19"/>
      <c r="K63" s="19"/>
      <c r="L63" s="19"/>
      <c r="M63" s="1"/>
      <c r="N63" s="1"/>
      <c r="O63" s="1"/>
      <c r="P63" s="1"/>
      <c r="Q63" s="1"/>
      <c r="R63" s="1"/>
      <c r="S63" s="1"/>
      <c r="T63" s="1"/>
      <c r="U63" s="101"/>
      <c r="V63" s="102"/>
      <c r="W63" s="101"/>
      <c r="X63" s="102"/>
      <c r="Y63" s="102"/>
      <c r="Z63" s="102"/>
      <c r="AA63" s="107"/>
      <c r="AB63" s="102"/>
    </row>
    <row r="64" spans="2:28" ht="15.5">
      <c r="B64" s="1"/>
      <c r="C64" s="1"/>
      <c r="D64" s="1"/>
      <c r="E64" s="1"/>
      <c r="F64" s="1"/>
      <c r="G64" s="19"/>
      <c r="H64" s="19"/>
      <c r="I64" s="19"/>
      <c r="J64" s="19"/>
      <c r="K64" s="19"/>
      <c r="L64" s="19"/>
      <c r="M64" s="1"/>
      <c r="N64" s="1"/>
      <c r="O64" s="1"/>
      <c r="P64" s="1"/>
      <c r="Q64" s="1"/>
      <c r="R64" s="1"/>
      <c r="S64" s="1"/>
      <c r="T64" s="1"/>
      <c r="U64" s="101"/>
      <c r="V64" s="102"/>
      <c r="W64" s="102"/>
      <c r="X64" s="100"/>
      <c r="Y64" s="103"/>
      <c r="Z64" s="103"/>
      <c r="AA64" s="107"/>
      <c r="AB64" s="103"/>
    </row>
    <row r="65" spans="2:28" ht="15.5">
      <c r="B65" s="1"/>
      <c r="C65" s="1"/>
      <c r="D65" s="1"/>
      <c r="E65" s="1"/>
      <c r="F65" s="1"/>
      <c r="G65" s="19"/>
      <c r="H65" s="19"/>
      <c r="I65" s="19"/>
      <c r="J65" s="19"/>
      <c r="K65" s="19"/>
      <c r="L65" s="19"/>
      <c r="M65" s="1"/>
      <c r="N65" s="1"/>
      <c r="O65" s="1"/>
      <c r="P65" s="1"/>
      <c r="Q65" s="1"/>
      <c r="R65" s="1"/>
      <c r="S65" s="1"/>
      <c r="T65" s="1"/>
      <c r="U65" s="101"/>
      <c r="V65" s="102"/>
      <c r="W65" s="101"/>
      <c r="X65" s="102"/>
      <c r="Y65" s="100"/>
      <c r="Z65" s="100"/>
      <c r="AA65" s="107"/>
      <c r="AB65" s="103"/>
    </row>
    <row r="66" spans="2:28" ht="15.5">
      <c r="B66" s="1"/>
      <c r="C66" s="1"/>
      <c r="D66" s="1"/>
      <c r="E66" s="1"/>
      <c r="F66" s="1"/>
      <c r="G66" s="19"/>
      <c r="H66" s="19"/>
      <c r="I66" s="19"/>
      <c r="J66" s="19"/>
      <c r="K66" s="19"/>
      <c r="L66" s="19"/>
      <c r="M66" s="1"/>
      <c r="N66" s="1"/>
      <c r="O66" s="1"/>
      <c r="P66" s="1"/>
      <c r="Q66" s="1"/>
      <c r="R66" s="1"/>
      <c r="S66" s="1"/>
      <c r="T66" s="1"/>
      <c r="U66" s="101"/>
      <c r="V66" s="102"/>
      <c r="W66" s="102"/>
      <c r="X66" s="102"/>
      <c r="Y66" s="102"/>
      <c r="Z66" s="102"/>
      <c r="AA66" s="107"/>
      <c r="AB66" s="103"/>
    </row>
    <row r="67" spans="2:28" ht="15.5">
      <c r="B67" s="1"/>
      <c r="C67" s="1"/>
      <c r="D67" s="1"/>
      <c r="E67" s="1"/>
      <c r="F67" s="1"/>
      <c r="G67" s="19"/>
      <c r="H67" s="19"/>
      <c r="I67" s="19"/>
      <c r="J67" s="19"/>
      <c r="K67" s="19"/>
      <c r="L67" s="19"/>
      <c r="M67" s="1"/>
      <c r="N67" s="1"/>
      <c r="O67" s="1"/>
      <c r="P67" s="1"/>
      <c r="Q67" s="1"/>
      <c r="R67" s="1"/>
      <c r="S67" s="1"/>
      <c r="T67" s="1"/>
      <c r="U67" s="101"/>
      <c r="V67" s="102"/>
      <c r="W67" s="102"/>
      <c r="X67" s="100"/>
      <c r="Y67" s="102"/>
      <c r="Z67" s="102"/>
      <c r="AA67" s="107"/>
      <c r="AB67" s="107"/>
    </row>
    <row r="68" spans="2:28" ht="15.5">
      <c r="B68" s="1"/>
      <c r="C68" s="1"/>
      <c r="D68" s="1"/>
      <c r="E68" s="1"/>
      <c r="F68" s="1"/>
      <c r="G68" s="19"/>
      <c r="H68" s="19"/>
      <c r="I68" s="19"/>
      <c r="J68" s="19"/>
      <c r="K68" s="19"/>
      <c r="L68" s="19"/>
      <c r="M68" s="1"/>
      <c r="N68" s="1"/>
      <c r="O68" s="1"/>
      <c r="P68" s="1"/>
      <c r="Q68" s="1"/>
      <c r="R68" s="1"/>
      <c r="S68" s="1"/>
      <c r="T68" s="1"/>
      <c r="U68" s="101"/>
      <c r="V68" s="546"/>
      <c r="W68" s="546"/>
      <c r="X68" s="103"/>
      <c r="Y68" s="102"/>
      <c r="Z68" s="102"/>
      <c r="AA68" s="100"/>
      <c r="AB68" s="107"/>
    </row>
    <row r="69" spans="2:28" ht="15.5">
      <c r="B69" s="1"/>
      <c r="C69" s="1"/>
      <c r="D69" s="1"/>
      <c r="E69" s="1"/>
      <c r="F69" s="1"/>
      <c r="G69" s="19"/>
      <c r="H69" s="19"/>
      <c r="I69" s="19"/>
      <c r="J69" s="19"/>
      <c r="K69" s="19"/>
      <c r="L69" s="1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00"/>
      <c r="Z69" s="100"/>
      <c r="AA69" s="107"/>
      <c r="AB69" s="100"/>
    </row>
    <row r="70" spans="2:28" ht="15.5">
      <c r="B70" s="1"/>
      <c r="C70" s="1"/>
      <c r="D70" s="1"/>
      <c r="E70" s="1"/>
      <c r="F70" s="1"/>
      <c r="Y70" s="102"/>
      <c r="Z70" s="102"/>
      <c r="AA70" s="102"/>
      <c r="AB70" s="103"/>
    </row>
    <row r="71" spans="2:28" ht="15.5">
      <c r="B71" s="1"/>
      <c r="C71" s="1"/>
      <c r="D71" s="1"/>
      <c r="E71" s="1"/>
      <c r="F71" s="1"/>
      <c r="Y71" s="102"/>
      <c r="Z71" s="102"/>
      <c r="AA71" s="102"/>
      <c r="AB71" s="102"/>
    </row>
    <row r="72" spans="2:28" ht="15.5">
      <c r="B72" s="1"/>
      <c r="C72" s="1"/>
      <c r="D72" s="1"/>
      <c r="E72" s="1"/>
      <c r="F72" s="1"/>
      <c r="Y72" s="100"/>
      <c r="Z72" s="100"/>
      <c r="AA72" s="103"/>
      <c r="AB72" s="102"/>
    </row>
    <row r="73" spans="2:28" ht="15.5">
      <c r="B73" s="1"/>
      <c r="C73" s="1"/>
      <c r="D73" s="1"/>
      <c r="E73" s="1"/>
      <c r="F73" s="1"/>
      <c r="Y73" s="103"/>
      <c r="Z73" s="103"/>
      <c r="AA73" s="100"/>
      <c r="AB73" s="103"/>
    </row>
    <row r="74" spans="2:28" ht="15.5">
      <c r="B74" s="1"/>
      <c r="C74" s="1"/>
      <c r="D74" s="1"/>
      <c r="E74" s="1"/>
      <c r="F74" s="1"/>
      <c r="Y74" s="1"/>
      <c r="Z74" s="1"/>
      <c r="AA74" s="102"/>
      <c r="AB74" s="100"/>
    </row>
    <row r="75" spans="2:28" ht="15.5">
      <c r="B75" s="1"/>
      <c r="C75" s="1"/>
      <c r="D75" s="1"/>
      <c r="E75" s="1"/>
      <c r="AA75" s="102"/>
      <c r="AB75" s="102"/>
    </row>
    <row r="76" spans="2:28" ht="15.5">
      <c r="B76" s="1"/>
      <c r="C76" s="1"/>
      <c r="D76" s="1"/>
      <c r="AA76" s="102"/>
      <c r="AB76" s="102"/>
    </row>
    <row r="77" spans="2:28" ht="15.5">
      <c r="B77" s="1"/>
      <c r="C77" s="1"/>
      <c r="D77" s="1"/>
      <c r="AA77" s="100"/>
      <c r="AB77" s="102"/>
    </row>
    <row r="78" spans="2:28" ht="15.5">
      <c r="B78" s="1"/>
      <c r="C78" s="1"/>
      <c r="D78" s="1"/>
      <c r="AA78" s="102"/>
      <c r="AB78" s="100"/>
    </row>
    <row r="79" spans="2:28" ht="15.5">
      <c r="B79" s="1"/>
      <c r="C79" s="1"/>
      <c r="D79" s="1"/>
      <c r="AA79" s="102"/>
      <c r="AB79" s="102"/>
    </row>
    <row r="80" spans="2:28" ht="15.5">
      <c r="B80" s="1"/>
      <c r="C80" s="1"/>
      <c r="D80" s="1"/>
      <c r="AA80" s="100"/>
      <c r="AB80" s="102"/>
    </row>
    <row r="81" spans="2:28" ht="15.5">
      <c r="B81" s="1"/>
      <c r="C81" s="1"/>
      <c r="D81" s="1"/>
      <c r="AA81" s="103"/>
      <c r="AB81" s="100"/>
    </row>
    <row r="82" spans="2:28" ht="15.5">
      <c r="B82" s="1"/>
      <c r="C82" s="1"/>
      <c r="D82" s="1"/>
      <c r="AA82" s="1"/>
      <c r="AB82" s="103"/>
    </row>
    <row r="83" spans="2:28" ht="15.5">
      <c r="B83" s="1"/>
      <c r="C83" s="1"/>
      <c r="D83" s="1"/>
      <c r="AB83" s="1"/>
    </row>
    <row r="84" spans="2:28" ht="15.5">
      <c r="B84" s="1"/>
      <c r="C84" s="1"/>
      <c r="D84" s="1"/>
    </row>
  </sheetData>
  <autoFilter ref="A1:AE83" xr:uid="{D2A1145E-5B3D-42A6-AF79-8205DD936E8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hiddenButton="1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</autoFilter>
  <mergeCells count="22">
    <mergeCell ref="C36:E36"/>
    <mergeCell ref="H17:U17"/>
    <mergeCell ref="C2:D2"/>
    <mergeCell ref="V16:W16"/>
    <mergeCell ref="H4:U4"/>
    <mergeCell ref="H8:U8"/>
    <mergeCell ref="C23:E23"/>
    <mergeCell ref="AC24:AD24"/>
    <mergeCell ref="AE24:AF24"/>
    <mergeCell ref="V43:W43"/>
    <mergeCell ref="V49:W49"/>
    <mergeCell ref="G22:L22"/>
    <mergeCell ref="Q22:W22"/>
    <mergeCell ref="H28:U28"/>
    <mergeCell ref="H34:U34"/>
    <mergeCell ref="V61:W61"/>
    <mergeCell ref="V68:W68"/>
    <mergeCell ref="X17:Y17"/>
    <mergeCell ref="AA16:AA17"/>
    <mergeCell ref="X16:Y16"/>
    <mergeCell ref="Z16:Z17"/>
    <mergeCell ref="V17:W1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0D443-B89B-4C0D-A76B-F85E3BB6BDB0}">
  <dimension ref="A1:AE40"/>
  <sheetViews>
    <sheetView zoomScale="85" zoomScaleNormal="85" workbookViewId="0"/>
  </sheetViews>
  <sheetFormatPr defaultColWidth="8.81640625" defaultRowHeight="14.5"/>
  <cols>
    <col min="1" max="1" width="7.453125" style="6" customWidth="1"/>
    <col min="2" max="2" width="18.7265625" style="6" customWidth="1"/>
    <col min="3" max="3" width="15.26953125" style="6" customWidth="1"/>
    <col min="4" max="4" width="16" style="6" customWidth="1"/>
    <col min="5" max="5" width="18" style="6" bestFit="1" customWidth="1"/>
    <col min="6" max="6" width="15.26953125" style="6" customWidth="1"/>
    <col min="7" max="7" width="16.54296875" style="6" customWidth="1"/>
    <col min="8" max="8" width="16.1796875" style="6" customWidth="1"/>
    <col min="9" max="9" width="15" style="6" customWidth="1"/>
    <col min="10" max="10" width="16" style="6" customWidth="1"/>
    <col min="11" max="11" width="15" style="6" bestFit="1" customWidth="1"/>
    <col min="12" max="12" width="13" style="6" customWidth="1"/>
    <col min="13" max="13" width="14.1796875" style="6" customWidth="1"/>
    <col min="14" max="14" width="17.7265625" style="6" customWidth="1"/>
    <col min="15" max="15" width="19.26953125" style="6" customWidth="1"/>
    <col min="16" max="16" width="13.26953125" style="6" bestFit="1" customWidth="1"/>
    <col min="17" max="17" width="13" style="6" customWidth="1"/>
    <col min="18" max="18" width="13.54296875" style="6" customWidth="1"/>
    <col min="19" max="19" width="14" style="6" customWidth="1"/>
    <col min="20" max="20" width="15.54296875" style="6" customWidth="1"/>
    <col min="21" max="21" width="16.54296875" style="6" customWidth="1"/>
    <col min="22" max="23" width="14" style="6" customWidth="1"/>
    <col min="24" max="24" width="31.81640625" style="6" customWidth="1"/>
    <col min="25" max="25" width="14.81640625" style="6" bestFit="1" customWidth="1"/>
    <col min="26" max="26" width="13.54296875" style="6" bestFit="1" customWidth="1"/>
    <col min="27" max="27" width="13.54296875" style="6" customWidth="1"/>
    <col min="28" max="28" width="8.81640625" style="6"/>
    <col min="29" max="31" width="20.54296875" style="6" customWidth="1"/>
    <col min="32" max="16384" width="8.81640625" style="6"/>
  </cols>
  <sheetData>
    <row r="1" spans="1:31" s="169" customFormat="1" ht="25.5" customHeight="1">
      <c r="A1" s="396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</row>
    <row r="2" spans="1:31">
      <c r="A2" s="84"/>
      <c r="B2" s="569"/>
      <c r="C2" s="569"/>
      <c r="D2" s="569"/>
      <c r="F2" s="84"/>
    </row>
    <row r="3" spans="1:31">
      <c r="E3" s="724" t="s">
        <v>380</v>
      </c>
      <c r="F3" s="724"/>
      <c r="G3" s="724"/>
      <c r="H3" s="724"/>
      <c r="I3" s="724"/>
      <c r="J3" s="724"/>
      <c r="K3" s="724"/>
      <c r="M3" s="108"/>
      <c r="N3" s="108"/>
      <c r="O3" s="108"/>
      <c r="P3" s="245"/>
      <c r="Q3" s="245"/>
      <c r="R3" s="245"/>
      <c r="S3" s="245"/>
      <c r="T3" s="245"/>
      <c r="U3" s="245"/>
      <c r="V3" s="245"/>
    </row>
    <row r="4" spans="1:31" ht="15.75" customHeight="1">
      <c r="D4" s="146"/>
      <c r="E4" s="146">
        <f>'Sales Allocations &amp; CCC'!$C$3</f>
        <v>2026</v>
      </c>
      <c r="F4" s="399" t="str">
        <f>Summary!I2</f>
        <v>1/1/26</v>
      </c>
      <c r="G4" s="176" t="str">
        <f>F4</f>
        <v>1/1/26</v>
      </c>
      <c r="H4" s="109" t="s">
        <v>174</v>
      </c>
      <c r="I4" s="109" t="s">
        <v>174</v>
      </c>
      <c r="J4" s="109" t="s">
        <v>174</v>
      </c>
      <c r="K4" s="109" t="s">
        <v>174</v>
      </c>
      <c r="L4" s="19"/>
      <c r="O4" s="1"/>
      <c r="P4" s="146"/>
      <c r="Q4" s="176"/>
      <c r="R4" s="176"/>
      <c r="S4" s="109"/>
      <c r="T4" s="109"/>
      <c r="U4" s="109"/>
      <c r="V4" s="109"/>
    </row>
    <row r="5" spans="1:31" ht="30.75" customHeight="1">
      <c r="E5" s="109" t="s">
        <v>261</v>
      </c>
      <c r="F5" s="109" t="s">
        <v>175</v>
      </c>
      <c r="G5" s="109" t="s">
        <v>176</v>
      </c>
      <c r="H5" s="109" t="s">
        <v>177</v>
      </c>
      <c r="I5" s="109" t="s">
        <v>178</v>
      </c>
      <c r="J5" s="109" t="s">
        <v>179</v>
      </c>
      <c r="K5" s="109" t="s">
        <v>180</v>
      </c>
      <c r="L5" s="80"/>
      <c r="M5" s="110"/>
      <c r="N5" s="110"/>
      <c r="O5" s="80"/>
      <c r="P5" s="109"/>
      <c r="Q5" s="109"/>
      <c r="R5" s="109"/>
      <c r="S5" s="109"/>
      <c r="T5" s="109"/>
      <c r="U5" s="109"/>
      <c r="V5" s="109"/>
    </row>
    <row r="6" spans="1:31" ht="42" customHeight="1">
      <c r="B6" s="111"/>
      <c r="D6" s="111"/>
      <c r="E6" s="1"/>
      <c r="F6" s="1"/>
      <c r="G6" s="1"/>
      <c r="J6" s="19"/>
      <c r="K6" s="19"/>
      <c r="L6" s="19"/>
      <c r="O6" s="111"/>
      <c r="P6" s="1"/>
      <c r="Q6" s="1"/>
      <c r="R6" s="1"/>
      <c r="U6" s="19"/>
      <c r="V6" s="19"/>
      <c r="AD6" s="44"/>
      <c r="AE6" s="44"/>
    </row>
    <row r="7" spans="1:31" ht="15.4" customHeight="1">
      <c r="D7" s="112" t="s">
        <v>381</v>
      </c>
      <c r="E7" s="241">
        <v>144755901.24835202</v>
      </c>
      <c r="F7" s="113">
        <v>0.57728000000000002</v>
      </c>
      <c r="G7" s="114">
        <f>F7*E7</f>
        <v>83564686.672648653</v>
      </c>
      <c r="H7" s="171">
        <f t="shared" ref="H7:H13" si="0">F7+(F7*$AD$16)</f>
        <v>0.56843883417847774</v>
      </c>
      <c r="I7" s="114">
        <f>E7*H7</f>
        <v>82284875.746068075</v>
      </c>
      <c r="J7" s="171">
        <f t="shared" ref="J7:J13" si="1">F7+(F7*$AE$16)</f>
        <v>0.58980831381319054</v>
      </c>
      <c r="K7" s="114">
        <f t="shared" ref="K7:K13" si="2">E7*J7</f>
        <v>85378234.029799223</v>
      </c>
      <c r="L7" s="115"/>
      <c r="O7" s="112"/>
      <c r="P7" s="327"/>
      <c r="Q7" s="119"/>
      <c r="R7" s="328"/>
      <c r="S7" s="171"/>
      <c r="T7" s="328"/>
      <c r="U7" s="171"/>
      <c r="V7" s="328"/>
      <c r="W7" s="115"/>
      <c r="X7" s="6" t="s">
        <v>382</v>
      </c>
      <c r="Y7" s="264" t="s">
        <v>112</v>
      </c>
      <c r="Z7" s="264" t="s">
        <v>324</v>
      </c>
      <c r="AA7" s="264" t="s">
        <v>3</v>
      </c>
      <c r="AC7" s="44"/>
      <c r="AD7" s="44"/>
      <c r="AE7" s="44"/>
    </row>
    <row r="8" spans="1:31" ht="15.5">
      <c r="D8" s="329"/>
      <c r="E8" s="241"/>
      <c r="F8" s="113"/>
      <c r="G8" s="114"/>
      <c r="H8" s="171"/>
      <c r="I8" s="114"/>
      <c r="J8" s="171"/>
      <c r="K8" s="114"/>
      <c r="L8" s="115"/>
      <c r="O8" s="116"/>
      <c r="P8" s="327"/>
      <c r="Q8" s="119"/>
      <c r="R8" s="328"/>
      <c r="S8" s="171"/>
      <c r="T8" s="328"/>
      <c r="U8" s="171"/>
      <c r="V8" s="328"/>
      <c r="W8" s="115"/>
      <c r="X8" s="6" t="s">
        <v>184</v>
      </c>
      <c r="Y8" s="117">
        <v>673434834</v>
      </c>
      <c r="Z8" s="117">
        <v>593691820</v>
      </c>
      <c r="AA8" s="117">
        <v>79743014</v>
      </c>
      <c r="AC8" s="96"/>
      <c r="AD8" s="96"/>
      <c r="AE8" s="96"/>
    </row>
    <row r="9" spans="1:31" ht="15.5">
      <c r="D9" s="112" t="s">
        <v>383</v>
      </c>
      <c r="E9" s="241">
        <v>479966892.11989152</v>
      </c>
      <c r="F9" s="113">
        <v>0.43218000000000001</v>
      </c>
      <c r="G9" s="114">
        <f>F9*E9</f>
        <v>207432091.43637472</v>
      </c>
      <c r="H9" s="171">
        <f t="shared" si="0"/>
        <v>0.42556107149954014</v>
      </c>
      <c r="I9" s="114">
        <f>E9*H9</f>
        <v>204255224.89484522</v>
      </c>
      <c r="J9" s="171">
        <f t="shared" si="1"/>
        <v>0.44155930755228778</v>
      </c>
      <c r="K9" s="114">
        <f t="shared" si="2"/>
        <v>211933848.53248292</v>
      </c>
      <c r="L9" s="115"/>
      <c r="O9" s="112"/>
      <c r="P9" s="327"/>
      <c r="Q9" s="119"/>
      <c r="R9" s="328"/>
      <c r="S9" s="171"/>
      <c r="T9" s="328"/>
      <c r="U9" s="171"/>
      <c r="V9" s="328"/>
      <c r="W9" s="115"/>
      <c r="X9" s="6" t="s">
        <v>186</v>
      </c>
      <c r="Y9" s="170">
        <f>SUM('SAR and RAR (TOU-A)'!W19+'SAR and RAR (TOU-A)'!Z19-'SAR and RAR (TOU-A)'!L10)*1000-Y8</f>
        <v>-27823619.846892118</v>
      </c>
      <c r="Z9" s="170">
        <f>(('SAR and RAR (TOU-A)'!W19-'SAR and RAR (TOU-A)'!L10)*1000)-Z8</f>
        <v>-31306454.548566461</v>
      </c>
      <c r="AA9" s="170">
        <f>('SAR and RAR (TOU-A)'!Z19*1000)-AA8</f>
        <v>3482834.7016742826</v>
      </c>
      <c r="AD9" s="44"/>
      <c r="AE9" s="44"/>
    </row>
    <row r="10" spans="1:31" ht="15.5">
      <c r="D10" s="329"/>
      <c r="E10" s="241"/>
      <c r="F10" s="113"/>
      <c r="G10" s="114"/>
      <c r="H10" s="171"/>
      <c r="I10" s="114"/>
      <c r="J10" s="171"/>
      <c r="K10" s="114"/>
      <c r="L10" s="115"/>
      <c r="O10" s="116"/>
      <c r="P10" s="327"/>
      <c r="Q10" s="119"/>
      <c r="R10" s="328"/>
      <c r="S10" s="171"/>
      <c r="T10" s="328"/>
      <c r="U10" s="171"/>
      <c r="V10" s="328"/>
      <c r="W10" s="115"/>
      <c r="X10" s="6" t="s">
        <v>187</v>
      </c>
      <c r="Y10" s="117">
        <f>Y8+Y9</f>
        <v>645611214.15310788</v>
      </c>
      <c r="Z10" s="117">
        <f>Z8+Z9</f>
        <v>562385365.45143354</v>
      </c>
      <c r="AA10" s="117">
        <f>AA8+AA9</f>
        <v>83225848.701674283</v>
      </c>
      <c r="AC10" s="44"/>
      <c r="AD10" s="44"/>
      <c r="AE10" s="44"/>
    </row>
    <row r="11" spans="1:31" ht="15.5">
      <c r="D11" s="112" t="s">
        <v>384</v>
      </c>
      <c r="E11" s="241">
        <v>174668476.67082587</v>
      </c>
      <c r="F11" s="113">
        <v>0.44486000000000003</v>
      </c>
      <c r="G11" s="114">
        <f>F11*E11</f>
        <v>77703018.531783596</v>
      </c>
      <c r="H11" s="171">
        <f t="shared" si="0"/>
        <v>0.43804687460614888</v>
      </c>
      <c r="I11" s="114">
        <f>E11*H11</f>
        <v>76512980.297872305</v>
      </c>
      <c r="J11" s="171">
        <f t="shared" si="1"/>
        <v>0.45451449293745833</v>
      </c>
      <c r="K11" s="114">
        <f t="shared" si="2"/>
        <v>79389354.106198683</v>
      </c>
      <c r="L11" s="115"/>
      <c r="O11" s="112"/>
      <c r="P11" s="327"/>
      <c r="Q11" s="119"/>
      <c r="R11" s="328"/>
      <c r="S11" s="171"/>
      <c r="T11" s="328"/>
      <c r="U11" s="171"/>
      <c r="V11" s="328"/>
      <c r="W11" s="115"/>
      <c r="X11" s="6" t="s">
        <v>189</v>
      </c>
      <c r="Y11" s="212">
        <f>SUM('SAR and RAR (TOU-A)'!Y19+'SAR and RAR (TOU-A)'!AA19-'SAR and RAR (TOU-A)'!L13)*1000-Y8</f>
        <v>7683577.6854600906</v>
      </c>
      <c r="Z11" s="212">
        <f>(('SAR and RAR (TOU-A)'!Y19-'SAR and RAR (TOU-A)'!L13)*1000)-Z8</f>
        <v>4107075.2460811138</v>
      </c>
      <c r="AA11" s="212">
        <f>('SAR and RAR (TOU-A)'!AA19*1000)-AA8</f>
        <v>3576502.4393789321</v>
      </c>
      <c r="AC11" s="96"/>
      <c r="AD11" s="266"/>
      <c r="AE11" s="267"/>
    </row>
    <row r="12" spans="1:31" ht="15.5">
      <c r="D12" s="329"/>
      <c r="E12" s="241"/>
      <c r="F12" s="113"/>
      <c r="G12" s="114"/>
      <c r="H12" s="171"/>
      <c r="I12" s="114"/>
      <c r="J12" s="171"/>
      <c r="K12" s="114"/>
      <c r="L12" s="115"/>
      <c r="O12" s="116"/>
      <c r="P12" s="327"/>
      <c r="Q12" s="119"/>
      <c r="R12" s="328"/>
      <c r="S12" s="171"/>
      <c r="T12" s="328"/>
      <c r="U12" s="171"/>
      <c r="V12" s="328"/>
      <c r="W12" s="115"/>
      <c r="X12" s="6" t="s">
        <v>190</v>
      </c>
      <c r="Y12" s="117">
        <f>Y8+Y11</f>
        <v>681118411.68546009</v>
      </c>
      <c r="Z12" s="117">
        <f>Z8+Z11</f>
        <v>597798895.24608111</v>
      </c>
      <c r="AA12" s="117">
        <f>AA8+AA11</f>
        <v>83319516.439378932</v>
      </c>
    </row>
    <row r="13" spans="1:31" ht="15.5">
      <c r="D13" s="112" t="s">
        <v>385</v>
      </c>
      <c r="E13" s="241">
        <v>605311800.02096272</v>
      </c>
      <c r="F13" s="113">
        <v>0.34650999999999998</v>
      </c>
      <c r="G13" s="114">
        <f>F13*E13</f>
        <v>209746591.82526377</v>
      </c>
      <c r="H13" s="171">
        <f t="shared" si="0"/>
        <v>0.34120312574692407</v>
      </c>
      <c r="I13" s="114">
        <f>E13*H13</f>
        <v>206534278.21864951</v>
      </c>
      <c r="J13" s="171">
        <f t="shared" si="1"/>
        <v>0.35403007001699111</v>
      </c>
      <c r="K13" s="114">
        <f t="shared" si="2"/>
        <v>214298578.94353235</v>
      </c>
      <c r="L13" s="115"/>
      <c r="O13" s="116"/>
      <c r="P13" s="120"/>
      <c r="Q13" s="119"/>
      <c r="R13" s="120"/>
      <c r="S13" s="1"/>
      <c r="T13" s="121"/>
      <c r="U13" s="1"/>
      <c r="V13" s="121"/>
      <c r="Z13" s="303"/>
    </row>
    <row r="14" spans="1:31" ht="15.5">
      <c r="D14" s="329"/>
      <c r="E14" s="241"/>
      <c r="F14" s="113"/>
      <c r="G14" s="114"/>
      <c r="H14" s="171"/>
      <c r="I14" s="114"/>
      <c r="J14" s="171"/>
      <c r="K14" s="114"/>
      <c r="L14" s="115"/>
      <c r="O14" s="116"/>
      <c r="P14" s="120"/>
      <c r="Q14" s="119"/>
      <c r="R14" s="120"/>
      <c r="S14" s="268"/>
      <c r="T14" s="120"/>
      <c r="U14" s="120"/>
      <c r="V14" s="120"/>
      <c r="X14" s="6" t="s">
        <v>386</v>
      </c>
      <c r="Y14" s="264" t="s">
        <v>112</v>
      </c>
      <c r="Z14" s="264" t="s">
        <v>324</v>
      </c>
      <c r="AA14" s="264" t="s">
        <v>3</v>
      </c>
      <c r="AD14" s="44" t="s">
        <v>326</v>
      </c>
      <c r="AE14" s="44" t="s">
        <v>328</v>
      </c>
    </row>
    <row r="15" spans="1:31" ht="15.5">
      <c r="D15" s="116"/>
      <c r="E15" s="118"/>
      <c r="F15" s="119"/>
      <c r="G15" s="120"/>
      <c r="H15" s="240"/>
      <c r="I15" s="120"/>
      <c r="J15" s="239"/>
      <c r="K15" s="120"/>
      <c r="L15" s="115"/>
      <c r="O15" s="122"/>
      <c r="P15" s="120"/>
      <c r="Q15" s="119"/>
      <c r="R15" s="120"/>
      <c r="S15" s="120"/>
      <c r="T15" s="120"/>
      <c r="U15" s="120"/>
      <c r="V15" s="120"/>
      <c r="X15" s="6" t="s">
        <v>363</v>
      </c>
      <c r="Y15" s="303">
        <f>+Z15+AA15</f>
        <v>39.664999999999999</v>
      </c>
      <c r="Z15" s="722">
        <v>24.273999999999997</v>
      </c>
      <c r="AA15" s="722">
        <v>15.391</v>
      </c>
      <c r="AC15" s="131" t="s">
        <v>325</v>
      </c>
      <c r="AD15" s="264" t="s">
        <v>327</v>
      </c>
      <c r="AE15" s="264" t="s">
        <v>327</v>
      </c>
    </row>
    <row r="16" spans="1:31" ht="15.5">
      <c r="E16" s="242"/>
      <c r="P16" s="120"/>
      <c r="Q16" s="119"/>
      <c r="X16" s="6" t="s">
        <v>187</v>
      </c>
      <c r="Y16" s="303">
        <f>+Z16+AA16</f>
        <v>39.057522099655834</v>
      </c>
      <c r="Z16" s="303">
        <f>SUM('SAR and RAR (TOU-A)'!J30:K30,'SAR and RAR (TOU-A)'!M30:T30)</f>
        <v>22.994398041471356</v>
      </c>
      <c r="AA16" s="303">
        <f>'SAR and RAR (TOU-A)'!H30</f>
        <v>16.063124058184478</v>
      </c>
      <c r="AC16" s="709">
        <f>'SAR and RAR (TOU-A)'!AF26/100</f>
        <v>0.39665000000000006</v>
      </c>
      <c r="AD16" s="305">
        <f>$Y17/100/$AC$16</f>
        <v>-1.5315212412559304E-2</v>
      </c>
      <c r="AE16" s="305">
        <f>$Y19/100/$AC$16</f>
        <v>2.1702317442472478E-2</v>
      </c>
    </row>
    <row r="17" spans="1:31" ht="15.5">
      <c r="O17" s="123"/>
      <c r="X17" s="6" t="s">
        <v>186</v>
      </c>
      <c r="Y17" s="432">
        <f>+Y16-Y15</f>
        <v>-0.60747790034416482</v>
      </c>
      <c r="Z17" s="303">
        <f>+Z16-Z15</f>
        <v>-1.2796019585286409</v>
      </c>
      <c r="AA17" s="303">
        <f>+AA16-AA15</f>
        <v>0.67212405818447785</v>
      </c>
      <c r="AC17" s="330"/>
      <c r="AD17" s="431"/>
      <c r="AE17" s="431"/>
    </row>
    <row r="18" spans="1:31">
      <c r="X18" s="6" t="s">
        <v>190</v>
      </c>
      <c r="Y18" s="303">
        <f>+Z18+AA18</f>
        <v>40.52582242135567</v>
      </c>
      <c r="Z18" s="303">
        <f>SUM('SAR and RAR (TOU-A)'!J36:K36,'SAR and RAR (TOU-A)'!M36:T36)</f>
        <v>24.44461988737946</v>
      </c>
      <c r="AA18" s="303">
        <f>'SAR and RAR (TOU-A)'!H36</f>
        <v>16.081202533976207</v>
      </c>
      <c r="AD18" s="165"/>
      <c r="AE18" s="165"/>
    </row>
    <row r="19" spans="1:31">
      <c r="B19" s="7"/>
      <c r="P19" s="331"/>
      <c r="Q19" s="331"/>
      <c r="R19" s="331"/>
      <c r="S19" s="331"/>
      <c r="T19" s="331"/>
      <c r="U19" s="331"/>
      <c r="V19" s="331"/>
      <c r="X19" s="6" t="s">
        <v>189</v>
      </c>
      <c r="Y19" s="432">
        <f>+Y18-Y15</f>
        <v>0.860822421355671</v>
      </c>
      <c r="Z19" s="303">
        <f>+Z18-Z15</f>
        <v>0.17061988737946265</v>
      </c>
      <c r="AA19" s="303">
        <f>+AA18-AA15</f>
        <v>0.69020253397620657</v>
      </c>
      <c r="AD19" s="165"/>
      <c r="AE19" s="165"/>
    </row>
    <row r="20" spans="1:31">
      <c r="B20" s="723" t="s">
        <v>387</v>
      </c>
      <c r="C20" s="124"/>
      <c r="E20" s="125" t="s">
        <v>174</v>
      </c>
      <c r="F20" s="125" t="s">
        <v>174</v>
      </c>
      <c r="H20" s="124"/>
      <c r="I20" s="709" t="s">
        <v>521</v>
      </c>
      <c r="J20" s="709"/>
      <c r="K20" s="709"/>
      <c r="L20" s="709"/>
      <c r="M20" s="709"/>
      <c r="N20" s="709"/>
      <c r="O20" s="709"/>
      <c r="P20" s="332"/>
      <c r="Q20" s="333"/>
      <c r="R20" s="333"/>
      <c r="S20" s="333"/>
      <c r="T20" s="333"/>
      <c r="U20" s="572"/>
      <c r="V20" s="572"/>
      <c r="Y20" s="175"/>
      <c r="AD20" s="165"/>
      <c r="AE20" s="165"/>
    </row>
    <row r="21" spans="1:31">
      <c r="B21" s="128" t="s">
        <v>175</v>
      </c>
      <c r="C21" s="359" t="str">
        <f>'Res Bill Impact'!C21</f>
        <v>10/1/2025</v>
      </c>
      <c r="D21" s="323" t="str">
        <f>'Res Bill Impact'!D21</f>
        <v>1/1/26</v>
      </c>
      <c r="E21" s="130" t="s">
        <v>154</v>
      </c>
      <c r="F21" s="130" t="s">
        <v>162</v>
      </c>
      <c r="I21" s="718" t="s">
        <v>388</v>
      </c>
      <c r="J21" s="719" t="s">
        <v>192</v>
      </c>
      <c r="K21" s="720"/>
      <c r="L21" s="719" t="s">
        <v>193</v>
      </c>
      <c r="M21" s="720"/>
      <c r="N21" s="709"/>
      <c r="O21" s="709"/>
      <c r="P21" s="331"/>
      <c r="Q21" s="572"/>
      <c r="R21" s="572"/>
      <c r="S21" s="572"/>
      <c r="T21" s="572"/>
      <c r="U21" s="334"/>
      <c r="V21" s="334"/>
      <c r="Y21" s="433"/>
    </row>
    <row r="22" spans="1:31">
      <c r="A22" s="6" t="s">
        <v>192</v>
      </c>
      <c r="B22" s="132" t="s">
        <v>389</v>
      </c>
      <c r="C22" s="219">
        <v>0.53845999999999994</v>
      </c>
      <c r="D22" s="134">
        <f>F7</f>
        <v>0.57728000000000002</v>
      </c>
      <c r="E22" s="135">
        <f>H7</f>
        <v>0.56843883417847774</v>
      </c>
      <c r="F22" s="135">
        <f>J7</f>
        <v>0.58980831381319054</v>
      </c>
      <c r="I22" s="326" t="s">
        <v>390</v>
      </c>
      <c r="J22" s="335" t="s">
        <v>391</v>
      </c>
      <c r="K22" s="335" t="s">
        <v>392</v>
      </c>
      <c r="L22" s="335" t="s">
        <v>391</v>
      </c>
      <c r="M22" s="335" t="s">
        <v>392</v>
      </c>
      <c r="N22" s="721" t="s">
        <v>196</v>
      </c>
      <c r="O22" s="721" t="s">
        <v>393</v>
      </c>
      <c r="P22" s="336"/>
      <c r="Q22" s="337"/>
      <c r="R22" s="337"/>
      <c r="S22" s="337"/>
      <c r="T22" s="337"/>
      <c r="U22" s="338"/>
      <c r="V22" s="338"/>
      <c r="Y22" s="433"/>
    </row>
    <row r="23" spans="1:31">
      <c r="B23" s="132" t="s">
        <v>394</v>
      </c>
      <c r="C23" s="133">
        <v>0.41020000000000001</v>
      </c>
      <c r="D23" s="134">
        <f>F9</f>
        <v>0.43218000000000001</v>
      </c>
      <c r="E23" s="135">
        <f>H9</f>
        <v>0.42556107149954014</v>
      </c>
      <c r="F23" s="135">
        <f>J9</f>
        <v>0.44155930755228778</v>
      </c>
      <c r="I23" s="339" t="s">
        <v>395</v>
      </c>
      <c r="J23" s="340">
        <v>155.26415030752301</v>
      </c>
      <c r="K23" s="340">
        <v>818.50720363973301</v>
      </c>
      <c r="L23" s="340">
        <v>149.84836849896999</v>
      </c>
      <c r="M23" s="340">
        <v>778.46741210596599</v>
      </c>
      <c r="N23" s="341">
        <v>0.5490840118430792</v>
      </c>
      <c r="O23" s="342">
        <v>4.2966256634931304</v>
      </c>
      <c r="P23" s="336"/>
      <c r="Q23" s="337"/>
      <c r="R23" s="337"/>
      <c r="S23" s="337"/>
      <c r="T23" s="337"/>
      <c r="U23" s="338"/>
      <c r="V23" s="338"/>
    </row>
    <row r="24" spans="1:31">
      <c r="A24" s="167" t="s">
        <v>193</v>
      </c>
      <c r="B24" s="172" t="s">
        <v>389</v>
      </c>
      <c r="C24" s="173">
        <v>0.42063</v>
      </c>
      <c r="D24" s="173">
        <f>F11</f>
        <v>0.44486000000000003</v>
      </c>
      <c r="E24" s="173">
        <f>H11</f>
        <v>0.43804687460614888</v>
      </c>
      <c r="F24" s="173">
        <f>J11</f>
        <v>0.45451449293745833</v>
      </c>
      <c r="I24" s="339" t="s">
        <v>396</v>
      </c>
      <c r="J24" s="343">
        <v>179.56444444444401</v>
      </c>
      <c r="K24" s="343">
        <v>948.39886792452796</v>
      </c>
      <c r="L24" s="343">
        <v>141.06277328541401</v>
      </c>
      <c r="M24" s="343">
        <v>810.51623240491097</v>
      </c>
      <c r="N24" s="341">
        <v>0.22066987416728348</v>
      </c>
      <c r="O24" s="342">
        <v>6.5895195667365396</v>
      </c>
      <c r="P24" s="336"/>
      <c r="Q24" s="337"/>
      <c r="R24" s="337"/>
      <c r="S24" s="337"/>
      <c r="T24" s="337"/>
      <c r="U24" s="338"/>
      <c r="V24" s="338"/>
    </row>
    <row r="25" spans="1:31">
      <c r="A25" s="167"/>
      <c r="B25" s="172" t="s">
        <v>394</v>
      </c>
      <c r="C25" s="173">
        <v>0.33616000000000001</v>
      </c>
      <c r="D25" s="173">
        <f>F13</f>
        <v>0.34650999999999998</v>
      </c>
      <c r="E25" s="173">
        <f>H13</f>
        <v>0.34120312574692407</v>
      </c>
      <c r="F25" s="173">
        <f>J13</f>
        <v>0.35403007001699111</v>
      </c>
      <c r="I25" s="344" t="s">
        <v>397</v>
      </c>
      <c r="J25" s="345">
        <v>550.87936507936502</v>
      </c>
      <c r="K25" s="345">
        <v>2425.57355836849</v>
      </c>
      <c r="L25" s="345">
        <v>441.43732598524599</v>
      </c>
      <c r="M25" s="345">
        <v>1989.22549441717</v>
      </c>
      <c r="N25" s="346">
        <v>0.23024611398963732</v>
      </c>
      <c r="O25" s="347">
        <v>9.3798992030004609</v>
      </c>
      <c r="P25" s="336"/>
      <c r="Q25" s="337"/>
      <c r="R25" s="337"/>
      <c r="S25" s="337"/>
      <c r="T25" s="337"/>
      <c r="U25" s="338"/>
      <c r="V25" s="338"/>
    </row>
    <row r="26" spans="1:31">
      <c r="I26" s="450"/>
      <c r="J26" s="450"/>
      <c r="L26" s="117"/>
      <c r="M26" s="117"/>
      <c r="N26" s="449"/>
      <c r="O26" s="447"/>
      <c r="P26" s="336"/>
      <c r="Q26" s="337"/>
      <c r="R26" s="337"/>
      <c r="S26" s="337"/>
      <c r="T26" s="337"/>
      <c r="U26" s="338"/>
      <c r="V26" s="338"/>
      <c r="X26" s="709"/>
      <c r="Y26" s="709"/>
    </row>
    <row r="27" spans="1:31">
      <c r="B27" s="348"/>
      <c r="C27" s="246"/>
      <c r="D27" s="134"/>
      <c r="E27" s="135"/>
      <c r="F27" s="135"/>
      <c r="I27" s="117"/>
      <c r="J27" s="117"/>
      <c r="M27" s="117"/>
      <c r="N27" s="117"/>
      <c r="Q27" s="147"/>
      <c r="R27" s="147"/>
      <c r="S27" s="147"/>
      <c r="T27" s="147"/>
      <c r="U27" s="138"/>
      <c r="V27" s="138"/>
    </row>
    <row r="28" spans="1:31">
      <c r="I28" s="117"/>
      <c r="J28" s="117"/>
      <c r="M28" s="117"/>
      <c r="N28" s="117"/>
      <c r="Q28" s="147"/>
      <c r="R28" s="147"/>
      <c r="S28" s="147"/>
      <c r="T28" s="147"/>
      <c r="U28" s="138"/>
      <c r="V28" s="138"/>
    </row>
    <row r="29" spans="1:31">
      <c r="B29" s="348"/>
      <c r="C29" s="246"/>
      <c r="D29" s="134"/>
      <c r="E29" s="135"/>
      <c r="F29" s="135"/>
      <c r="I29" s="117"/>
      <c r="J29" s="117"/>
      <c r="M29" s="117"/>
      <c r="N29" s="117"/>
      <c r="Q29" s="147"/>
      <c r="R29" s="147"/>
      <c r="S29" s="147"/>
      <c r="T29" s="147"/>
      <c r="U29" s="138"/>
      <c r="V29" s="138"/>
    </row>
    <row r="30" spans="1:31">
      <c r="B30" s="7"/>
      <c r="C30" s="8"/>
      <c r="D30" s="141"/>
      <c r="E30" s="9"/>
      <c r="F30" s="9"/>
      <c r="I30" s="117"/>
      <c r="J30" s="117"/>
      <c r="M30" s="117"/>
      <c r="N30" s="117"/>
      <c r="Q30" s="147"/>
      <c r="R30" s="147"/>
      <c r="S30" s="147"/>
      <c r="T30" s="147"/>
      <c r="U30" s="138"/>
      <c r="V30" s="140"/>
    </row>
    <row r="31" spans="1:31">
      <c r="B31" s="7"/>
      <c r="C31" s="8"/>
      <c r="D31" s="8"/>
      <c r="E31" s="9"/>
      <c r="F31" s="9"/>
    </row>
    <row r="32" spans="1:31" ht="27">
      <c r="B32" s="238"/>
      <c r="C32" s="571" t="s">
        <v>398</v>
      </c>
      <c r="D32" s="571"/>
      <c r="E32" s="571"/>
      <c r="F32" s="571"/>
      <c r="G32" s="571"/>
      <c r="H32" s="571"/>
      <c r="I32" s="571"/>
      <c r="J32" s="571"/>
      <c r="L32" s="125" t="s">
        <v>399</v>
      </c>
      <c r="Q32" s="349"/>
      <c r="R32" s="350"/>
      <c r="S32" s="349"/>
      <c r="T32" s="351"/>
      <c r="U32" s="351"/>
      <c r="V32" s="351"/>
    </row>
    <row r="33" spans="2:22">
      <c r="B33" s="7"/>
      <c r="C33" s="476" t="s">
        <v>535</v>
      </c>
      <c r="D33" s="477"/>
      <c r="E33" s="477"/>
      <c r="F33" s="477"/>
      <c r="G33" s="477"/>
      <c r="H33" s="477"/>
      <c r="I33" s="477"/>
      <c r="J33" s="478"/>
      <c r="L33" s="132" t="s">
        <v>400</v>
      </c>
      <c r="M33" s="352" t="str">
        <f>C21</f>
        <v>10/1/2025</v>
      </c>
      <c r="N33" s="129" t="str">
        <f>D21</f>
        <v>1/1/26</v>
      </c>
      <c r="Q33" s="349"/>
      <c r="R33" s="350"/>
      <c r="S33" s="353"/>
      <c r="T33" s="354"/>
      <c r="U33" s="354"/>
      <c r="V33" s="355"/>
    </row>
    <row r="34" spans="2:22">
      <c r="B34" s="7"/>
      <c r="C34" s="564" t="str">
        <f>C21</f>
        <v>10/1/2025</v>
      </c>
      <c r="D34" s="564"/>
      <c r="E34" s="565" t="str">
        <f>D21</f>
        <v>1/1/26</v>
      </c>
      <c r="F34" s="564"/>
      <c r="G34" s="564" t="str">
        <f>E21</f>
        <v>Authorized</v>
      </c>
      <c r="H34" s="564"/>
      <c r="I34" s="565" t="str">
        <f>F21</f>
        <v>w/Pending</v>
      </c>
      <c r="J34" s="564"/>
      <c r="L34" s="132" t="s">
        <v>401</v>
      </c>
      <c r="M34" s="356">
        <v>11.45</v>
      </c>
      <c r="N34" s="356">
        <v>11.45</v>
      </c>
      <c r="Q34" s="349"/>
      <c r="R34" s="350"/>
      <c r="S34" s="353"/>
      <c r="T34" s="354"/>
      <c r="U34" s="355"/>
      <c r="V34" s="354"/>
    </row>
    <row r="35" spans="2:22">
      <c r="B35" s="7"/>
      <c r="C35" s="8" t="s">
        <v>192</v>
      </c>
      <c r="D35" s="8" t="s">
        <v>193</v>
      </c>
      <c r="E35" s="8" t="s">
        <v>192</v>
      </c>
      <c r="F35" s="8" t="s">
        <v>193</v>
      </c>
      <c r="G35" s="8" t="s">
        <v>192</v>
      </c>
      <c r="H35" s="8" t="s">
        <v>193</v>
      </c>
      <c r="I35" s="8" t="s">
        <v>192</v>
      </c>
      <c r="J35" s="8" t="s">
        <v>193</v>
      </c>
      <c r="L35" s="132" t="s">
        <v>402</v>
      </c>
      <c r="M35" s="356">
        <v>18.32</v>
      </c>
      <c r="N35" s="356">
        <v>18.32</v>
      </c>
      <c r="Q35" s="349"/>
      <c r="R35" s="353"/>
      <c r="S35" s="357"/>
      <c r="T35" s="354"/>
      <c r="U35" s="354"/>
      <c r="V35" s="354"/>
    </row>
    <row r="36" spans="2:22">
      <c r="B36" s="136" t="s">
        <v>395</v>
      </c>
      <c r="C36" s="157">
        <f>((C22*$J$23)+(C23*$K$23))+IF($O23&lt;5.1,$M$34,IF(AND($O23&gt;5,$O23&lt;20.1),$M$35,IF(AND($O23&gt;20,$O23&lt;50.1),$M$36,IF($O23&gt;50,$M$37))))+('Incremental Rev Req'!F87*$J$23+'Incremental Rev Req'!F87*$K$23)</f>
        <v>431.77896066155455</v>
      </c>
      <c r="D36" s="157">
        <f>((C24*$L$23)+(C25*$M$23))+IF($O23&lt;5.1,$M$34,IF(AND($O23&gt;5,$O23&lt;20.1),$M$35,IF(AND($O23&gt;20,$O23&lt;50.1),$M$36,IF($O23&gt;50,$M$37))))+('Incremental Rev Req'!F87*$L$23+'Incremental Rev Req'!F87*$M$23)</f>
        <v>337.09864027586815</v>
      </c>
      <c r="E36" s="157">
        <f>((D22*$J$23)+(D23*$K$23))+IF($O23&lt;5.1,$N$34,IF(AND($O23&gt;5,$O23&lt;20.1),$N$35,IF(AND($O23&gt;20,$O23&lt;50.1),$N$36,IF($O23&gt;50,$N$37))))+('Incremental Rev Req'!F87*$J$23+'Incremental Rev Req'!F87*$K$23)</f>
        <v>455.79710331249396</v>
      </c>
      <c r="F36" s="157">
        <f>((D24*$L$23)+(D25*$M$23))+IF($O23&lt;5.1,$N$34,IF(AND($O23&gt;5,$O23&lt;20.1),$N$35,IF(AND($O23&gt;20,$O23&lt;50.1),$N$36,IF($O23&gt;50,$N$37))))+('Incremental Rev Req'!F87*$L$23+'Incremental Rev Req'!F87*$M$23)</f>
        <v>348.78660395989493</v>
      </c>
      <c r="G36" s="157">
        <f>((E22*J23)+(E23*K23))+IF($O23&lt;5.1,$N$34,IF(AND($O23&gt;5,$O23&lt;20.1),$N$35,IF(AND($O23&gt;20,$O23&lt;50.1),$N$36,IF($O23&gt;50,$N$37))))+('Incremental Rev Req'!F87*$J$23+'Incremental Rev Req'!F87*$K$23)</f>
        <v>449.00674655548465</v>
      </c>
      <c r="H36" s="157">
        <f>((E24*L23)+(E25*M23))+IF($O23&lt;5.1,$N$34,IF(AND($O23&gt;5,$O23&lt;20.1),$N$35,IF(AND($O23&gt;20,$O23&lt;50.1),$N$36,IF($O23&gt;50,$N$37))))+('Incremental Rev Req'!F87*$L$23+'Incremental Rev Req'!F87*$M$23)</f>
        <v>343.63443956908367</v>
      </c>
      <c r="I36" s="157">
        <f>((F22*J23)+(F23*K23))+IF($O23&lt;5.1,$N$34,IF(AND($O23&gt;5,$O23&lt;20.1),$N$35,IF(AND($O23&gt;20,$O23&lt;50.1),$N$36,IF($O23&gt;50,$N$37))))+('Incremental Rev Req'!F87*$J$23+'Incremental Rev Req'!F87*$K$23)</f>
        <v>465.41933210818507</v>
      </c>
      <c r="J36" s="157">
        <f>((F24*L23)+(F25*M23))+IF($O23&lt;5.1,$N$34,IF(AND($O23&gt;5,$O23&lt;20.1),$N$35,IF(AND($O23&gt;20,$O23&lt;50.1),$N$36,IF($O23&gt;50,$N$37))))+('Incremental Rev Req'!F87*$L$23+'Incremental Rev Req'!F87*$M$23)</f>
        <v>356.08744342024067</v>
      </c>
      <c r="L36" s="132" t="s">
        <v>403</v>
      </c>
      <c r="M36" s="356">
        <v>34.35</v>
      </c>
      <c r="N36" s="356">
        <v>34.35</v>
      </c>
      <c r="Q36" s="349"/>
      <c r="R36" s="350"/>
      <c r="S36" s="357"/>
      <c r="T36" s="354"/>
      <c r="U36" s="354"/>
      <c r="V36" s="354"/>
    </row>
    <row r="37" spans="2:22">
      <c r="B37" s="139" t="s">
        <v>396</v>
      </c>
      <c r="C37" s="157">
        <f>((C22*$J$24)+(C23*$K$24))+IF($O24&lt;5.1,$M$34,IF(AND($O24&gt;5,$O24&lt;20.1),$M$35,IF(AND($O24&gt;20,$O24&lt;50.1),$M$36,IF($O24&gt;50,$M$37))))+('Incremental Rev Req'!F87*$J$24+'Incremental Rev Req'!F87*$K$24)</f>
        <v>505.16944969056567</v>
      </c>
      <c r="D37" s="157">
        <f>((C24*$L$24)+(C25*$M$24))+IF($O24&lt;5.1,$M$34,IF(AND($O24&gt;5,$O24&lt;20.1),$M$35,IF(AND($O24&gt;20,$O24&lt;50.1),$M$36,IF($O24&gt;50,$M$37))))+('Incremental Rev Req'!F87*$L$24+'Incremental Rev Req'!F87*$M$24)</f>
        <v>351.06995001796889</v>
      </c>
      <c r="E37" s="157">
        <f>((D22*$J$24)+(D23*$K$24))+IF($O24&lt;5.1,$N$34,IF(AND($O24&gt;5,$O24&lt;20.1),$N$35,IF(AND($O24&gt;20,$O24&lt;50.1),$N$36,IF($O24&gt;50,$N$37))))+('Incremental Rev Req'!F87*$J$24+'Incremental Rev Req'!F87*$K$24)</f>
        <v>532.98594854088014</v>
      </c>
      <c r="F37" s="157">
        <f>((D24*$L$24)+(D25*$M$24))+IF($O24&lt;5.1,$N$34,IF(AND($O24&gt;5,$O24&lt;20.1),$N$35,IF(AND($O24&gt;20,$O24&lt;50.1),$N$36,IF($O24&gt;50,$N$37))))+('Incremental Rev Req'!F87*$L$24+'Incremental Rev Req'!F87*$M$24)</f>
        <v>362.8767440200653</v>
      </c>
      <c r="G37" s="157">
        <f>((E22*J24)+(E23*K24))+IF($O24&lt;5.1,$N$34,IF(AND($O24&gt;5,$O24&lt;20.1),$N$35,IF(AND($O24&gt;20,$O24&lt;50.1),$N$36,IF($O24&gt;50,$N$37))))+('Incremental Rev Req'!F87*$J$24+'Incremental Rev Req'!F87*$K$24)</f>
        <v>525.12100521518778</v>
      </c>
      <c r="H37" s="157">
        <f>((E24*L24)+(E25*M24))+IF($O24&lt;5.1,$N$34,IF(AND($O24&gt;5,$O24&lt;20.1),$N$35,IF(AND($O24&gt;20,$O24&lt;50.1),$N$36,IF($O24&gt;50,$N$37))))+('Incremental Rev Req'!F87*$L$24+'Incremental Rev Req'!F87*$M$24)</f>
        <v>357.61435793181766</v>
      </c>
      <c r="I37" s="157">
        <f>((F22*J24)+(F23*K24))+IF($O24&lt;5.1,$N$34,IF(AND($O24&gt;5,$O24&lt;20.1),$N$35,IF(AND($O24&gt;20,$O24&lt;50.1),$N$36,IF($O24&gt;50,$N$37))))+('Incremental Rev Req'!F87*$J$24+'Incremental Rev Req'!F87*$K$24)</f>
        <v>544.13091291507703</v>
      </c>
      <c r="J37" s="157">
        <f>((F24*L24)+(F25*M24))+IF($O24&lt;5.1,$N$34,IF(AND($O24&gt;5,$O24&lt;20.1),$N$35,IF(AND($O24&gt;20,$O24&lt;50.1),$N$36,IF($O24&gt;50,$N$37))))+('Incremental Rev Req'!F87*$L$24+'Incremental Rev Req'!F87*$M$24)</f>
        <v>370.3337723860804</v>
      </c>
      <c r="L37" s="132" t="s">
        <v>404</v>
      </c>
      <c r="M37" s="356">
        <v>85.87</v>
      </c>
      <c r="N37" s="356">
        <v>85.87</v>
      </c>
      <c r="Q37" s="349"/>
      <c r="R37" s="350"/>
      <c r="S37" s="353"/>
      <c r="T37" s="354"/>
      <c r="U37" s="354"/>
      <c r="V37" s="355"/>
    </row>
    <row r="38" spans="2:22">
      <c r="B38" s="142" t="s">
        <v>397</v>
      </c>
      <c r="C38" s="157">
        <f>((C22*$J$25)+(C23*$K$25))+IF($O25&lt;5.1,$M$34,IF(AND($O25&gt;5,$O25&lt;20.1),$M$35,IF(AND($O25&gt;20,$O25&lt;50.1),$M$36,IF($O25&gt;50,$M$37))))+('Incremental Rev Req'!F87*$J$25+'Incremental Rev Req'!F87*$K$25)</f>
        <v>1312.8932294868373</v>
      </c>
      <c r="D38" s="157">
        <f>((C24*$L$25)+(C25*$M$25))+IF($O25&lt;5.1,$M$34,IF(AND($O25&gt;5,$O25&lt;20.1),$M$35,IF(AND($O25&gt;20,$O25&lt;50.1),$M$36,IF($O25&gt;50,$M$37))))+('Incremental Rev Req'!F87*$L$25+'Incremental Rev Req'!F87*$M$25)</f>
        <v>875.13048745285244</v>
      </c>
      <c r="E38" s="157">
        <f>((D22*$J$25)+(D23*$K$25))+IF($O25&lt;5.1,$N$34,IF(AND($O25&gt;5,$O25&lt;20.1),$N$35,IF(AND($O25&gt;20,$O25&lt;50.1),$N$36,IF($O25&gt;50,$N$37))))+('Incremental Rev Req'!F87*$J$25+'Incremental Rev Req'!F87*$K$25)</f>
        <v>1387.5924732521576</v>
      </c>
      <c r="F38" s="157">
        <f>((D24*$L$25)+(D25*$M$25))+IF($O25&lt;5.1,$N$34,IF(AND($O25&gt;5,$O25&lt;20.1),$N$35,IF(AND($O25&gt;20,$O25&lt;50.1),$N$36,IF($O25&gt;50,$N$37))))+('Incremental Rev Req'!F87*$L$25+'Incremental Rev Req'!F87*$M$25)</f>
        <v>906.41499772869258</v>
      </c>
      <c r="G38" s="157">
        <f>((E22*J25)+(E23*K25))+IF($O25&lt;5.1,$N$34,IF(AND($O25&gt;5,$O25&lt;20.1),$N$35,IF(AND($O25&gt;20,$O25&lt;50.1),$N$36,IF($O25&gt;50,$N$37))))+('Incremental Rev Req'!F87*$J$25+'Incremental Rev Req'!F87*$K$25)</f>
        <v>1366.667359482389</v>
      </c>
      <c r="H38" s="157">
        <f>((E24*L25)+(E25*M25))+IF($O25&lt;5.1,$N$34,IF(AND($O25&gt;5,$O25&lt;20.1),$N$35,IF(AND($O25&gt;20,$O25&lt;50.1),$N$36,IF($O25&gt;50,$N$37))))+('Incremental Rev Req'!F87*$L$25+'Incremental Rev Req'!F87*$M$25)</f>
        <v>892.85086031334401</v>
      </c>
      <c r="I38" s="157">
        <f>((F22*J25)+(F23*K25))+IF($O25&lt;5.1,$N$34,IF(AND($O25&gt;5,$O25&lt;20.1),$N$35,IF(AND($O25&gt;20,$O25&lt;50.1),$N$36,IF($O25&gt;50,$N$37))))+('Incremental Rev Req'!F87*$J$25+'Incremental Rev Req'!F87*$K$25)</f>
        <v>1417.2442632057182</v>
      </c>
      <c r="J38" s="157">
        <f>((F24*L25)+(F25*M25))+IF($O25&lt;5.1,$N$34,IF(AND($O25&gt;5,$O25&lt;20.1),$N$35,IF(AND($O25&gt;20,$O25&lt;50.1),$N$36,IF($O25&gt;50,$N$37))))+('Incremental Rev Req'!F87*$L$25+'Incremental Rev Req'!F87*$M$25)</f>
        <v>925.63596627234847</v>
      </c>
      <c r="L38" s="10"/>
      <c r="M38" s="10"/>
      <c r="N38" s="10"/>
      <c r="Q38" s="349"/>
      <c r="R38" s="350"/>
      <c r="S38" s="353"/>
      <c r="T38" s="354"/>
      <c r="U38" s="355"/>
      <c r="V38" s="354"/>
    </row>
    <row r="39" spans="2:22" s="10" customFormat="1">
      <c r="B39" s="6" t="s">
        <v>112</v>
      </c>
      <c r="C39" s="155">
        <f t="shared" ref="C39:J39" si="3">SUMPRODUCT(C36:C38,$N$23:$N$25)</f>
        <v>650.8471670185038</v>
      </c>
      <c r="D39" s="155">
        <f t="shared" si="3"/>
        <v>464.06142945377678</v>
      </c>
      <c r="E39" s="155">
        <f t="shared" si="3"/>
        <v>687.37261903830392</v>
      </c>
      <c r="F39" s="155">
        <f t="shared" si="3"/>
        <v>480.28764410952107</v>
      </c>
      <c r="G39" s="155">
        <f t="shared" si="3"/>
        <v>677.09066052402591</v>
      </c>
      <c r="H39" s="155">
        <f t="shared" si="3"/>
        <v>473.17433301072066</v>
      </c>
      <c r="I39" s="155">
        <f t="shared" si="3"/>
        <v>701.94259832401121</v>
      </c>
      <c r="J39" s="155">
        <f t="shared" si="3"/>
        <v>490.36751315571422</v>
      </c>
      <c r="L39" s="6"/>
      <c r="M39" s="6"/>
      <c r="N39" s="6"/>
      <c r="O39" s="6"/>
      <c r="P39" s="357"/>
      <c r="Q39" s="349"/>
      <c r="S39" s="357"/>
      <c r="T39" s="354"/>
      <c r="U39" s="354"/>
      <c r="V39" s="354"/>
    </row>
    <row r="40" spans="2:22">
      <c r="P40" s="353"/>
      <c r="Q40" s="349"/>
      <c r="S40" s="353"/>
      <c r="T40" s="358"/>
      <c r="U40" s="358"/>
      <c r="V40" s="358"/>
    </row>
  </sheetData>
  <mergeCells count="12">
    <mergeCell ref="B2:D2"/>
    <mergeCell ref="E3:K3"/>
    <mergeCell ref="U20:V20"/>
    <mergeCell ref="J21:K21"/>
    <mergeCell ref="L21:M21"/>
    <mergeCell ref="Q21:R21"/>
    <mergeCell ref="S21:T21"/>
    <mergeCell ref="C32:J32"/>
    <mergeCell ref="C34:D34"/>
    <mergeCell ref="E34:F34"/>
    <mergeCell ref="G34:H34"/>
    <mergeCell ref="I34:J3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08F375954AB64099D51457439E4AE5" ma:contentTypeVersion="2" ma:contentTypeDescription="Create a new document." ma:contentTypeScope="" ma:versionID="66577174593b819ef36cb5c14413b33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45b1eb723395c1f2f5ab635b757ccd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B4B413-4F52-4644-A212-849DA6920F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C9681C-E5B5-4BBE-99AC-F9DC208A5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003733F-400F-4A33-BEAC-A0F541BFE9C3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Notable Assumptions</vt:lpstr>
      <vt:lpstr>Summary</vt:lpstr>
      <vt:lpstr>Selected Data</vt:lpstr>
      <vt:lpstr>Authorized Rev Req</vt:lpstr>
      <vt:lpstr>Incremental Rev Req</vt:lpstr>
      <vt:lpstr>SAR and RAR</vt:lpstr>
      <vt:lpstr>Res Bill Impact</vt:lpstr>
      <vt:lpstr>SAR and RAR (TOU-A)</vt:lpstr>
      <vt:lpstr>Bill Impact (TOU-A)</vt:lpstr>
      <vt:lpstr>Hypothetical Summary</vt:lpstr>
      <vt:lpstr>Hypothetical SAR and RAR</vt:lpstr>
      <vt:lpstr>Hypothetical Res Bill Impact</vt:lpstr>
      <vt:lpstr>Hypoth. SAR and RAR (TOU-A)</vt:lpstr>
      <vt:lpstr>Hypoth. Bill Impact (TOU-A)</vt:lpstr>
      <vt:lpstr>% of CARE Sales</vt:lpstr>
      <vt:lpstr>Sales Allocations &amp; CCC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Sieren-Smith, Bridget</dc:creator>
  <cp:lastModifiedBy>Aquino, Tiffany M</cp:lastModifiedBy>
  <cp:lastPrinted>2025-11-20T00:43:10Z</cp:lastPrinted>
  <dcterms:created xsi:type="dcterms:W3CDTF">2019-06-24T18:17:17Z</dcterms:created>
  <dcterms:modified xsi:type="dcterms:W3CDTF">2026-03-02T19:42:01Z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0x010100C208F375954AB64099D51457439E4AE5</vt:lpwstr>
  </property>
</Properties>
</file>