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Proceedings\Other\ED Bill Tracker Tool\2026\Q3 2026\"/>
    </mc:Choice>
  </mc:AlternateContent>
  <xr:revisionPtr revIDLastSave="0" documentId="13_ncr:1_{E19863D2-77FB-4593-A8E2-F95AED6B3092}" xr6:coauthVersionLast="47" xr6:coauthVersionMax="47" xr10:uidLastSave="{00000000-0000-0000-0000-000000000000}"/>
  <bookViews>
    <workbookView xWindow="-28920" yWindow="-120" windowWidth="29040" windowHeight="15720" firstSheet="1" activeTab="1" xr2:uid="{A7467D6C-F259-4162-BAA9-C0E57C88CC0E}"/>
  </bookViews>
  <sheets>
    <sheet name="SDG&amp;E INPUTS" sheetId="28" state="hidden" r:id="rId1"/>
    <sheet name="Notable Assumptions" sheetId="23" r:id="rId2"/>
    <sheet name="Summary" sheetId="10" r:id="rId3"/>
    <sheet name="Selected Data" sheetId="17" r:id="rId4"/>
    <sheet name="Authorized Rev Req" sheetId="2" r:id="rId5"/>
    <sheet name="Incremental Rev Req" sheetId="11" r:id="rId6"/>
    <sheet name="SAR and RAR" sheetId="3" r:id="rId7"/>
    <sheet name="Res Bill Impact (TOU-DR1)" sheetId="24" r:id="rId8"/>
    <sheet name="Res Bill Impact" sheetId="4" r:id="rId9"/>
    <sheet name="SAR and RAR (TOU-A)" sheetId="19" r:id="rId10"/>
    <sheet name="Bill Impact (TOU-A)" sheetId="20" r:id="rId11"/>
    <sheet name="Hypothetical Summary" sheetId="12" r:id="rId12"/>
    <sheet name="Hypothetical SAR and RAR" sheetId="13" r:id="rId13"/>
    <sheet name="Hypothetical Res Bill Impact" sheetId="14" r:id="rId14"/>
    <sheet name="Hypoth. Res Bill Imp. (TOU-DR1)" sheetId="25" r:id="rId15"/>
    <sheet name="Hypoth. SAR and RAR (TOU-A)" sheetId="21" r:id="rId16"/>
    <sheet name="Hypoth. Bill Impact (TOU-A)" sheetId="22" r:id="rId17"/>
    <sheet name="% of CARE Sales" sheetId="15" r:id="rId18"/>
  </sheets>
  <definedNames>
    <definedName name="___huh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_2017_Labor_Escalation_Rate">#REF!</definedName>
    <definedName name="_4ColName">SUBSTITUTE(SUBSTITUTE(SUBSTITUTE(SUBSTITUTE(SUBSTITUTE(TRIM(T(#REF!)&amp;"."&amp;T(#REF!)&amp;"."&amp;T(#REF!)&amp;"."&amp;T(#REF!)&amp;"."),"+","and"),"%","pct"),"-",""),"..","."),"&amp;","and")</definedName>
    <definedName name="_xlnm._FilterDatabase" localSheetId="4" hidden="1">'Authorized Rev Req'!$A$7:$Y$174</definedName>
    <definedName name="_xlnm._FilterDatabase" localSheetId="5" hidden="1">'Incremental Rev Req'!$A$8:$K$103</definedName>
    <definedName name="_xlnm._FilterDatabase" localSheetId="6" hidden="1">'SAR and RAR'!$A$1:$AE$83</definedName>
    <definedName name="_xlnm._FilterDatabase" localSheetId="9" hidden="1">'SAR and RAR (TOU-A)'!$A$1:$AE$83</definedName>
    <definedName name="_FPV1">#REF!</definedName>
    <definedName name="_FPV3">#REF!</definedName>
    <definedName name="_huh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_SPV1">#REF!</definedName>
    <definedName name="_SPV3">#REF!</definedName>
    <definedName name="Actuals">#REF!</definedName>
    <definedName name="Aflag">#REF!</definedName>
    <definedName name="Aflag2">#REF!</definedName>
    <definedName name="again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AIR">#REF!</definedName>
    <definedName name="Balancing_Authority">#REF!</definedName>
    <definedName name="BondsIssued">#REF!</definedName>
    <definedName name="Boolean">#REF!</definedName>
    <definedName name="bt_d">#REF!</definedName>
    <definedName name="Bundled_Unbundled">#REF!</definedName>
    <definedName name="CBond">#REF!</definedName>
    <definedName name="CECRA">#REF!</definedName>
    <definedName name="Construction_Status">#REF!</definedName>
    <definedName name="copy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copyprint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copyrap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copyrevalloc" hidden="1">{#N/A,#N/A,FALSE,"RRQ inputs ";#N/A,#N/A,FALSE,"FERC Rev @ PR";#N/A,#N/A,FALSE,"Distribution Revenue Allocation";#N/A,#N/A,FALSE,"Nonallocated Revenues";#N/A,#N/A,FALSE,"MC Revenues-03 sales, 96 MC's";#N/A,#N/A,FALSE,"FTA"}</definedName>
    <definedName name="copyschudel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CORE_U">#REF!</definedName>
    <definedName name="Country">#REF!</definedName>
    <definedName name="CPUC_Approval_Status">#REF!</definedName>
    <definedName name="CREZ">#REF!</definedName>
    <definedName name="CTAC">#REF!</definedName>
    <definedName name="CTRBA">#REF!</definedName>
    <definedName name="DACRS">SUM(#REF!)</definedName>
    <definedName name="_xlnm.Database">#REF!</definedName>
    <definedName name="Dchoice">#REF!</definedName>
    <definedName name="Delay_Termination_Reason">#REF!</definedName>
    <definedName name="DeliverabilityStatusOptions">#REF!</definedName>
    <definedName name="Distflag">#REF!</definedName>
    <definedName name="Dmdmult">#REF!</definedName>
    <definedName name="EPC_Contract_Status">#REF!</definedName>
    <definedName name="F_E">#REF!</definedName>
    <definedName name="Facility_Status">#REF!</definedName>
    <definedName name="FAIR">#REF!</definedName>
    <definedName name="FBUILD">#REF!</definedName>
    <definedName name="FCOMM">#REF!</definedName>
    <definedName name="FCOMP">#REF!</definedName>
    <definedName name="Financing_Status">#REF!</definedName>
    <definedName name="Flat">#REF!</definedName>
    <definedName name="FM">#REF!</definedName>
    <definedName name="FOPROD">#REF!</definedName>
    <definedName name="FSONG2">#REF!</definedName>
    <definedName name="FSTEAM">#REF!</definedName>
    <definedName name="FT_D">#REF!</definedName>
    <definedName name="gsur">#REF!</definedName>
    <definedName name="head1">#REF!</definedName>
    <definedName name="head10">#REF!</definedName>
    <definedName name="head11">#REF!</definedName>
    <definedName name="head2">#REF!</definedName>
    <definedName name="head3">#REF!</definedName>
    <definedName name="head4">#REF!</definedName>
    <definedName name="head5">#REF!</definedName>
    <definedName name="head6">#REF!</definedName>
    <definedName name="head7">#REF!</definedName>
    <definedName name="head8">#REF!</definedName>
    <definedName name="head9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"10/13/1999"</definedName>
    <definedName name="HTML_LineAfter" hidden="1">FALSE</definedName>
    <definedName name="HTML_LineBefore" hidden="1">FALSE</definedName>
    <definedName name="HTML_Name" hidden="1">"Sharim Chaudhury"</definedName>
    <definedName name="HTML_OBDlg2" hidden="1">TRUE</definedName>
    <definedName name="HTML_OBDlg4" hidden="1">TRUE</definedName>
    <definedName name="HTML_OS" hidden="1">0</definedName>
    <definedName name="HTML_PathFile" hidden="1">"W:\19991013\default.htm"</definedName>
    <definedName name="HTML_Title" hidden="1">"Daily MTM  Report"</definedName>
    <definedName name="huh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huhnd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huhnd2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huhprint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huhrap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huhrevalloc" hidden="1">{#N/A,#N/A,FALSE,"RRQ inputs ";#N/A,#N/A,FALSE,"FERC Rev @ PR";#N/A,#N/A,FALSE,"Distribution Revenue Allocation";#N/A,#N/A,FALSE,"Nonallocated Revenues";#N/A,#N/A,FALSE,"MC Revenues-03 sales, 96 MC's";#N/A,#N/A,FALSE,"FTA"}</definedName>
    <definedName name="huhschudel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IterationType">#REF!</definedName>
    <definedName name="LineLoss">#REF!</definedName>
    <definedName name="LocalAreaOptions">#REF!</definedName>
    <definedName name="LOLD">1</definedName>
    <definedName name="LOLD_Table">7</definedName>
    <definedName name="Mflag">#REF!</definedName>
    <definedName name="NCORE_U">#REF!</definedName>
    <definedName name="ND">#REF!</definedName>
    <definedName name="Out_Start_Date">#REF!</definedName>
    <definedName name="Out_Term_Date">#REF!</definedName>
    <definedName name="Overall_Project_Status">#REF!</definedName>
    <definedName name="Party_that_Terminated_Contract">#REF!</definedName>
    <definedName name="Path26DesignationOptions">#REF!</definedName>
    <definedName name="PBond">#REF!</definedName>
    <definedName name="PCC_Classification">#REF!</definedName>
    <definedName name="PECRA">#REF!</definedName>
    <definedName name="Print_All_Tariff">#REF!</definedName>
    <definedName name="Program_Origination">#REF!</definedName>
    <definedName name="RAM_Auction_Round">#REF!</definedName>
    <definedName name="record1">#REF!</definedName>
    <definedName name="Record2">#REF!</definedName>
    <definedName name="Reporting_LSE">#REF!</definedName>
    <definedName name="Resource_Designation">#REF!</definedName>
    <definedName name="SAIR">#REF!</definedName>
    <definedName name="SAPBEXhrIndnt" hidden="1">"Wide"</definedName>
    <definedName name="SAPsysID" hidden="1">"708C5W7SBKP804JT78WJ0JNKI"</definedName>
    <definedName name="SAPwbID" hidden="1">"ARS"</definedName>
    <definedName name="SBUILD">#REF!</definedName>
    <definedName name="SchedulingID">#REF!</definedName>
    <definedName name="SCOMM">#REF!</definedName>
    <definedName name="SCOMP">#REF!</definedName>
    <definedName name="sds">#REF!</definedName>
    <definedName name="Season">#REF!</definedName>
    <definedName name="Sflag">#REF!</definedName>
    <definedName name="SM">#REF!</definedName>
    <definedName name="SOPROD">#REF!</definedName>
    <definedName name="SSONG2">#REF!</definedName>
    <definedName name="SSTEAM">#REF!</definedName>
    <definedName name="ST_D">#REF!</definedName>
    <definedName name="Status_of_Facility_Study___Phase_II_Study">#REF!</definedName>
    <definedName name="Status_of_Feasibility_Study">#REF!</definedName>
    <definedName name="Status_of_Interconnection_Agreement">#REF!</definedName>
    <definedName name="Status_of_System_Impact_Study___Phase_I_Study">#REF!</definedName>
    <definedName name="STEAM">#REF!</definedName>
    <definedName name="TAC">#REF!</definedName>
    <definedName name="TACCalcOptions">#REF!</definedName>
    <definedName name="Technology_SubType">#REF!</definedName>
    <definedName name="Technology_Type">#REF!</definedName>
    <definedName name="TRBA">#REF!</definedName>
    <definedName name="wrn.AG." hidden="1">{#N/A,#N/A,FALSE,"AG-1";#N/A,#N/A,FALSE,"AG-R";#N/A,#N/A,FALSE,"AG-V";#N/A,#N/A,FALSE,"AG-4";#N/A,#N/A,FALSE,"AG-5";#N/A,#N/A,FALSE,"AG-6";#N/A,#N/A,FALSE,"AG-7"}</definedName>
    <definedName name="wrn.AGa." hidden="1">{#N/A,#N/A,FALSE,"UN-AGRA";#N/A,#N/A,FALSE,"UN-AG1A";#N/A,#N/A,FALSE,"UN-AGVA";#N/A,#N/A,FALSE,"UN-AG4A ";#N/A,#N/A,FALSE,"UN-AG5A";#N/A,#N/A,FALSE,"UN-AG6A";#N/A,#N/A,FALSE,"Dist Calcs";#N/A,#N/A,FALSE,"7A-Avg.";#N/A,#N/A,FALSE,"7A Tier1-avg";#N/A,#N/A,FALSE,"7A Tier2-avg";#N/A,#N/A,FALSE,"Ag-7A Dist Calc"}</definedName>
    <definedName name="wrn.Agb." hidden="1">{#N/A,#N/A,FALSE,"UN-AG1B";#N/A,#N/A,FALSE,"UN-AGRB  ";#N/A,#N/A,FALSE,"UN-AGVB ";#N/A,#N/A,FALSE,"UN-AG4B";#N/A,#N/A,FALSE,"UN-AG4C";#N/A,#N/A,FALSE,"UN-AG5B";#N/A,#N/A,FALSE,"UN-AG5C ";#N/A,#N/A,FALSE,"UN-AG6B";#N/A,#N/A,FALSE,"Dist Cals";#N/A,#N/A,FALSE,"7B-Avg.";#N/A,#N/A,FALSE,"7B Tier1-avg";#N/A,#N/A,FALSE,"7B Tier2-avg";#N/A,#N/A,FALSE,"Ag-7B Dist Calc";#N/A,#N/A,FALSE,"AG RL Calc"}</definedName>
    <definedName name="wrn.comind." hidden="1">{#N/A,#N/A,FALSE,"A-1, A-6, A-10, A-15";#N/A,#N/A,FALSE,"E-19 Firm";#N/A,#N/A,FALSE,"E-19 Nonfirm";#N/A,#N/A,FALSE,"E-20 Firm ";#N/A,#N/A,FALSE,"E-20 Nonfirm ";#N/A,#N/A,FALSE,"E-25";#N/A,#N/A,FALSE,"E-36, E-37";#N/A,#N/A,FALSE,"LS-1,-2,-3, TC-1, OL-1";#N/A,#N/A,FALSE,"Standby"}</definedName>
    <definedName name="wrn.Distr.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G_CSP_REPORT." hidden="1">{#N/A,#N/A,FALSE,"Summary";#N/A,#N/A,FALSE,"Tariff G-CSP &amp; G-SUR";#N/A,#N/A,FALSE,"Amortization Calculations";#N/A,#N/A,FALSE,"Contracted Volumes";#N/A,#N/A,FALSE,"Reservation"}</definedName>
    <definedName name="wrn.ND.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Print._.Out.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RAP.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es." hidden="1">{#N/A,#N/A,FALSE,"E-1, EM, ES";#N/A,#N/A,FALSE,"ESR, ET";#N/A,#N/A,FALSE,"E-7, E-A7";#N/A,#N/A,FALSE,"E-8";#N/A,#N/A,FALSE,"E-9 A, B, C, D";#N/A,#N/A,FALSE,"EL-1, EML";#N/A,#N/A,FALSE,"ESL, ESRL";#N/A,#N/A,FALSE,"ETL, EL-7";#N/A,#N/A,FALSE,"EL-A7, EL-8"}</definedName>
    <definedName name="wrn.Rev._.Alloc." hidden="1">{#N/A,#N/A,FALSE,"RRQ inputs ";#N/A,#N/A,FALSE,"FERC Rev @ PR";#N/A,#N/A,FALSE,"Distribution Revenue Allocation";#N/A,#N/A,FALSE,"Nonallocated Revenues";#N/A,#N/A,FALSE,"MC Revenues-03 sales, 96 MC's";#N/A,#N/A,FALSE,"FTA"}</definedName>
    <definedName name="wrn.schedules.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" i="11" l="1"/>
  <c r="M98" i="25"/>
  <c r="M88" i="25"/>
  <c r="B98" i="25"/>
  <c r="B90" i="14"/>
  <c r="B80" i="14"/>
  <c r="K90" i="14"/>
  <c r="B17" i="28" l="1"/>
  <c r="L105" i="11"/>
  <c r="L136" i="11"/>
  <c r="L101" i="11"/>
  <c r="L100" i="11"/>
  <c r="H136" i="11" l="1"/>
  <c r="I136" i="11" s="1"/>
  <c r="J136" i="11" s="1"/>
  <c r="D136" i="11" l="1"/>
  <c r="D105" i="11" l="1"/>
  <c r="F84" i="11" l="1"/>
  <c r="F81" i="11"/>
  <c r="F79" i="11"/>
  <c r="F78" i="11"/>
  <c r="F76" i="11"/>
  <c r="F75" i="11"/>
  <c r="F74" i="11"/>
  <c r="F73" i="11"/>
  <c r="F72" i="11"/>
  <c r="F71" i="11"/>
  <c r="F70" i="11"/>
  <c r="F77" i="11"/>
  <c r="F46" i="11"/>
  <c r="F45" i="11"/>
  <c r="F44" i="11"/>
  <c r="F43" i="11"/>
  <c r="F42" i="11"/>
  <c r="F26" i="11"/>
  <c r="F25" i="11"/>
  <c r="F24" i="11"/>
  <c r="F12" i="11"/>
  <c r="F53" i="11"/>
  <c r="F16" i="11"/>
  <c r="F17" i="11"/>
  <c r="F23" i="11"/>
  <c r="F22" i="11"/>
  <c r="F20" i="11"/>
  <c r="F11" i="11"/>
  <c r="F10" i="11" l="1"/>
  <c r="F83" i="11" l="1"/>
  <c r="F82" i="11"/>
  <c r="W171" i="2" l="1"/>
  <c r="F50" i="11"/>
  <c r="F52" i="11"/>
  <c r="F51" i="11"/>
  <c r="F56" i="11"/>
  <c r="F49" i="11"/>
  <c r="F48" i="11"/>
  <c r="F40" i="11"/>
  <c r="F39" i="11"/>
  <c r="F38" i="11"/>
  <c r="F37" i="11"/>
  <c r="F34" i="11"/>
  <c r="F36" i="11"/>
  <c r="F35" i="11"/>
  <c r="F47" i="11" l="1"/>
  <c r="F19" i="11" l="1"/>
  <c r="F13" i="11" l="1"/>
  <c r="F14" i="11"/>
  <c r="F15" i="11"/>
  <c r="F21" i="11" l="1"/>
  <c r="F33" i="11" l="1"/>
  <c r="W162" i="2" l="1"/>
  <c r="F18" i="11" l="1"/>
  <c r="W65" i="2" l="1"/>
  <c r="W173" i="2" l="1"/>
  <c r="Q5" i="17" s="1"/>
  <c r="E26" i="19" l="1"/>
  <c r="D26" i="19"/>
  <c r="C26" i="19"/>
  <c r="E25" i="19"/>
  <c r="D25" i="19"/>
  <c r="C25" i="19"/>
  <c r="I6" i="10"/>
  <c r="H6" i="12" l="1"/>
  <c r="C20" i="3"/>
  <c r="F87" i="11"/>
  <c r="O24" i="11"/>
  <c r="O128" i="11" s="1"/>
  <c r="V6" i="19"/>
  <c r="C20" i="19"/>
  <c r="V6" i="3"/>
  <c r="E32" i="3"/>
  <c r="E31" i="3"/>
  <c r="D20" i="3" l="1"/>
  <c r="C21" i="13"/>
  <c r="C20" i="21"/>
  <c r="D20" i="19"/>
  <c r="B22" i="28" l="1"/>
  <c r="D38" i="28"/>
  <c r="M43" i="28" l="1"/>
  <c r="M39" i="28" l="1"/>
  <c r="L39" i="28"/>
  <c r="L43" i="28" l="1"/>
  <c r="T37" i="24" l="1"/>
  <c r="S37" i="24"/>
  <c r="R37" i="24"/>
  <c r="Q37" i="24"/>
  <c r="T36" i="24"/>
  <c r="S36" i="24"/>
  <c r="R36" i="24"/>
  <c r="Q36" i="24"/>
  <c r="T35" i="24"/>
  <c r="S35" i="24"/>
  <c r="R35" i="24"/>
  <c r="Q35" i="24"/>
  <c r="T34" i="24"/>
  <c r="S34" i="24"/>
  <c r="R34" i="24"/>
  <c r="Q34" i="24"/>
  <c r="T29" i="24"/>
  <c r="S29" i="24"/>
  <c r="T28" i="24"/>
  <c r="S28" i="24"/>
  <c r="T27" i="24"/>
  <c r="S27" i="24"/>
  <c r="T26" i="24"/>
  <c r="S26" i="24"/>
  <c r="R29" i="24"/>
  <c r="R28" i="24"/>
  <c r="R27" i="24"/>
  <c r="R26" i="24"/>
  <c r="Q29" i="24"/>
  <c r="Q28" i="24"/>
  <c r="Q27" i="24"/>
  <c r="Q26" i="24"/>
  <c r="D32" i="3"/>
  <c r="D32" i="19"/>
  <c r="U44" i="24"/>
  <c r="T44" i="24"/>
  <c r="U43" i="24"/>
  <c r="T43" i="24"/>
  <c r="T42" i="24"/>
  <c r="R44" i="24"/>
  <c r="Q44" i="24"/>
  <c r="R43" i="24"/>
  <c r="Q43" i="24"/>
  <c r="R42" i="24"/>
  <c r="Q42" i="24"/>
  <c r="M165" i="28"/>
  <c r="K165" i="28"/>
  <c r="N170" i="28" l="1"/>
  <c r="M170" i="28"/>
  <c r="L170" i="28"/>
  <c r="K170" i="28"/>
  <c r="U42" i="24"/>
  <c r="M44" i="24"/>
  <c r="L44" i="24"/>
  <c r="M43" i="24"/>
  <c r="L42" i="24"/>
  <c r="J44" i="24"/>
  <c r="I44" i="24"/>
  <c r="J43" i="24"/>
  <c r="I43" i="24"/>
  <c r="J42" i="24"/>
  <c r="G165" i="28"/>
  <c r="E165" i="28"/>
  <c r="B3" i="15"/>
  <c r="A3" i="15"/>
  <c r="H179" i="28"/>
  <c r="O25" i="20"/>
  <c r="N25" i="20"/>
  <c r="M25" i="20"/>
  <c r="L25" i="20"/>
  <c r="O24" i="20"/>
  <c r="N24" i="20"/>
  <c r="M24" i="20"/>
  <c r="L24" i="20"/>
  <c r="O23" i="20"/>
  <c r="N23" i="20"/>
  <c r="M23" i="20"/>
  <c r="L23" i="20"/>
  <c r="M37" i="20"/>
  <c r="M36" i="20"/>
  <c r="M35" i="20"/>
  <c r="M34" i="20"/>
  <c r="G191" i="28"/>
  <c r="F191" i="28"/>
  <c r="H115" i="28"/>
  <c r="G115" i="28"/>
  <c r="F115" i="28"/>
  <c r="E115" i="28"/>
  <c r="Q25" i="20"/>
  <c r="P25" i="20"/>
  <c r="Q24" i="20"/>
  <c r="P24" i="20"/>
  <c r="Q23" i="20"/>
  <c r="P23" i="20"/>
  <c r="G179" i="28"/>
  <c r="F179" i="28" s="1"/>
  <c r="M147" i="28"/>
  <c r="L147" i="28" s="1"/>
  <c r="G147" i="28"/>
  <c r="F147" i="28" s="1"/>
  <c r="M134" i="28"/>
  <c r="G134" i="28"/>
  <c r="F134" i="28" s="1"/>
  <c r="H134" i="28"/>
  <c r="E13" i="20"/>
  <c r="E11" i="20"/>
  <c r="E9" i="20"/>
  <c r="E7" i="20"/>
  <c r="N147" i="28"/>
  <c r="H147" i="28"/>
  <c r="N134" i="28"/>
  <c r="C22" i="4"/>
  <c r="C23" i="4"/>
  <c r="C26" i="4"/>
  <c r="C25" i="4"/>
  <c r="P15" i="24"/>
  <c r="P14" i="24"/>
  <c r="P13" i="24"/>
  <c r="P12" i="24"/>
  <c r="P10" i="24"/>
  <c r="P9" i="24"/>
  <c r="P8" i="24"/>
  <c r="P7" i="24"/>
  <c r="E15" i="24"/>
  <c r="E14" i="24"/>
  <c r="E13" i="24"/>
  <c r="E12" i="24"/>
  <c r="E10" i="24"/>
  <c r="E9" i="24"/>
  <c r="E8" i="24"/>
  <c r="E7" i="24"/>
  <c r="Q12" i="4"/>
  <c r="Q11" i="4"/>
  <c r="P12" i="4"/>
  <c r="P11" i="4"/>
  <c r="P10" i="4"/>
  <c r="P9" i="4"/>
  <c r="P8" i="4"/>
  <c r="P7" i="4"/>
  <c r="F12" i="4"/>
  <c r="F11" i="4"/>
  <c r="F10" i="4"/>
  <c r="F9" i="4"/>
  <c r="F8" i="4"/>
  <c r="F7" i="4"/>
  <c r="E12" i="4"/>
  <c r="E11" i="4"/>
  <c r="E10" i="4"/>
  <c r="E9" i="4"/>
  <c r="E8" i="4"/>
  <c r="E7" i="4"/>
  <c r="E4" i="24"/>
  <c r="E4" i="4"/>
  <c r="K30" i="28"/>
  <c r="I6" i="28"/>
  <c r="C36" i="3" l="1"/>
  <c r="K95" i="28"/>
  <c r="F170" i="28"/>
  <c r="H170" i="28"/>
  <c r="M42" i="24"/>
  <c r="E170" i="28"/>
  <c r="I42" i="24"/>
  <c r="G170" i="28"/>
  <c r="L43" i="24"/>
  <c r="L134" i="28"/>
  <c r="C33" i="13" l="1"/>
  <c r="C36" i="19"/>
  <c r="C32" i="21"/>
  <c r="AF23" i="3"/>
  <c r="AD23" i="3"/>
  <c r="AE23" i="3"/>
  <c r="AC23" i="3"/>
  <c r="AD20" i="3"/>
  <c r="AE20" i="3" s="1"/>
  <c r="C32" i="3" l="1"/>
  <c r="C32" i="19"/>
  <c r="AE23" i="19"/>
  <c r="AD23" i="19"/>
  <c r="AD17" i="3"/>
  <c r="AC23" i="19"/>
  <c r="AF23" i="19"/>
  <c r="AE17" i="3" l="1"/>
  <c r="T34" i="4"/>
  <c r="S34" i="4"/>
  <c r="R34" i="4"/>
  <c r="T33" i="4"/>
  <c r="S33" i="4"/>
  <c r="R33" i="4"/>
  <c r="T32" i="4"/>
  <c r="S32" i="4"/>
  <c r="R32" i="4"/>
  <c r="T31" i="4"/>
  <c r="S31" i="4"/>
  <c r="R31" i="4"/>
  <c r="Q34" i="4"/>
  <c r="Q33" i="4"/>
  <c r="Q32" i="4"/>
  <c r="Q31" i="4"/>
  <c r="T25" i="4"/>
  <c r="S25" i="4"/>
  <c r="R25" i="4"/>
  <c r="T24" i="4"/>
  <c r="S24" i="4"/>
  <c r="R24" i="4"/>
  <c r="T23" i="4"/>
  <c r="S23" i="4"/>
  <c r="R23" i="4"/>
  <c r="T22" i="4"/>
  <c r="S22" i="4"/>
  <c r="R22" i="4"/>
  <c r="Q25" i="4"/>
  <c r="Q24" i="4"/>
  <c r="Q23" i="4"/>
  <c r="Q22" i="4"/>
  <c r="C38" i="3"/>
  <c r="E38" i="3"/>
  <c r="D38" i="3"/>
  <c r="C38" i="19"/>
  <c r="D38" i="19"/>
  <c r="E38" i="19"/>
  <c r="E26" i="3"/>
  <c r="D26" i="3"/>
  <c r="C26" i="3"/>
  <c r="E25" i="3"/>
  <c r="D25" i="3"/>
  <c r="D31" i="10"/>
  <c r="I2" i="10"/>
  <c r="C23" i="3" s="1"/>
  <c r="C22" i="21" l="1"/>
  <c r="C23" i="13"/>
  <c r="C23" i="19"/>
  <c r="C39" i="3"/>
  <c r="C39" i="19"/>
  <c r="D39" i="3"/>
  <c r="D39" i="19"/>
  <c r="E39" i="3"/>
  <c r="E39" i="19"/>
  <c r="U23" i="4"/>
  <c r="U27" i="24"/>
  <c r="U32" i="4"/>
  <c r="U35" i="24"/>
  <c r="V23" i="4"/>
  <c r="V27" i="24"/>
  <c r="V32" i="4"/>
  <c r="V35" i="24"/>
  <c r="U24" i="4"/>
  <c r="U28" i="24"/>
  <c r="U33" i="4"/>
  <c r="U36" i="24"/>
  <c r="V31" i="4"/>
  <c r="V34" i="24"/>
  <c r="V24" i="4"/>
  <c r="V28" i="24"/>
  <c r="V33" i="4"/>
  <c r="V36" i="24"/>
  <c r="U31" i="4"/>
  <c r="U34" i="24"/>
  <c r="V22" i="4"/>
  <c r="V26" i="24"/>
  <c r="U25" i="4"/>
  <c r="U29" i="24"/>
  <c r="U34" i="4"/>
  <c r="U37" i="24"/>
  <c r="V25" i="4"/>
  <c r="V29" i="24"/>
  <c r="V34" i="4"/>
  <c r="V37" i="24"/>
  <c r="U22" i="4"/>
  <c r="U26" i="24"/>
  <c r="C25" i="3"/>
  <c r="I24" i="4"/>
  <c r="I27" i="24"/>
  <c r="J33" i="4"/>
  <c r="J35" i="24"/>
  <c r="L22" i="4"/>
  <c r="L25" i="24"/>
  <c r="L24" i="4"/>
  <c r="L27" i="24"/>
  <c r="L31" i="4"/>
  <c r="L33" i="24"/>
  <c r="L33" i="4"/>
  <c r="L35" i="24"/>
  <c r="I31" i="4"/>
  <c r="I33" i="24"/>
  <c r="M22" i="4"/>
  <c r="M25" i="24"/>
  <c r="M24" i="4"/>
  <c r="M27" i="24"/>
  <c r="M31" i="4"/>
  <c r="M33" i="24"/>
  <c r="M33" i="4"/>
  <c r="M35" i="24"/>
  <c r="I23" i="4"/>
  <c r="I26" i="24"/>
  <c r="I25" i="4"/>
  <c r="I28" i="24"/>
  <c r="I32" i="4"/>
  <c r="I34" i="24"/>
  <c r="I34" i="4"/>
  <c r="I36" i="24"/>
  <c r="I22" i="4"/>
  <c r="I25" i="24"/>
  <c r="I33" i="4"/>
  <c r="I35" i="24"/>
  <c r="J31" i="4"/>
  <c r="J33" i="24"/>
  <c r="J23" i="4"/>
  <c r="J26" i="24"/>
  <c r="J25" i="4"/>
  <c r="J28" i="24"/>
  <c r="J32" i="4"/>
  <c r="J34" i="24"/>
  <c r="J34" i="4"/>
  <c r="J36" i="24"/>
  <c r="J22" i="4"/>
  <c r="J25" i="24"/>
  <c r="L23" i="4"/>
  <c r="L26" i="24"/>
  <c r="L25" i="4"/>
  <c r="L28" i="24"/>
  <c r="L32" i="4"/>
  <c r="L34" i="24"/>
  <c r="L34" i="4"/>
  <c r="L36" i="24"/>
  <c r="J24" i="4"/>
  <c r="J27" i="24"/>
  <c r="M23" i="4"/>
  <c r="M26" i="24"/>
  <c r="M25" i="4"/>
  <c r="M28" i="24"/>
  <c r="M32" i="4"/>
  <c r="M34" i="24"/>
  <c r="M34" i="4"/>
  <c r="M36" i="24"/>
  <c r="L107" i="11" l="1"/>
  <c r="L99" i="11"/>
  <c r="L98" i="11"/>
  <c r="D126" i="11"/>
  <c r="L108" i="11"/>
  <c r="D108" i="11" l="1"/>
  <c r="D98" i="11" l="1"/>
  <c r="L132" i="11" l="1"/>
  <c r="L131" i="11"/>
  <c r="D129" i="11" l="1"/>
  <c r="D113" i="11" l="1"/>
  <c r="D130" i="11" l="1"/>
  <c r="H127" i="11" l="1"/>
  <c r="I127" i="11" s="1"/>
  <c r="J127" i="11" s="1"/>
  <c r="D127" i="11"/>
  <c r="D122" i="11" l="1"/>
  <c r="D115" i="11" l="1"/>
  <c r="D123" i="11" l="1"/>
  <c r="D120" i="11" l="1"/>
  <c r="D114" i="11" l="1"/>
  <c r="D124" i="11" l="1"/>
  <c r="D117" i="11" l="1"/>
  <c r="D125" i="11"/>
  <c r="H128" i="11" l="1"/>
  <c r="I128" i="11" s="1"/>
  <c r="J128" i="11" s="1"/>
  <c r="D128" i="11"/>
  <c r="D116" i="11"/>
  <c r="H118" i="11" l="1"/>
  <c r="I118" i="11" s="1"/>
  <c r="J118" i="11" s="1"/>
  <c r="D118" i="11"/>
  <c r="D131" i="11" l="1"/>
  <c r="H131" i="11" l="1"/>
  <c r="I131" i="11" s="1"/>
  <c r="J131" i="11" s="1"/>
  <c r="D119" i="11" l="1"/>
  <c r="D132" i="11" l="1"/>
  <c r="H132" i="11" l="1"/>
  <c r="I132" i="11" s="1"/>
  <c r="J132" i="11" s="1"/>
  <c r="D99" i="11" l="1"/>
  <c r="D107" i="11"/>
  <c r="N162" i="25" l="1"/>
  <c r="M162" i="25"/>
  <c r="C162" i="25"/>
  <c r="B162" i="25"/>
  <c r="N152" i="25"/>
  <c r="M152" i="25"/>
  <c r="C152" i="25"/>
  <c r="B152" i="25"/>
  <c r="N142" i="25"/>
  <c r="C142" i="25"/>
  <c r="N132" i="25"/>
  <c r="C132" i="25"/>
  <c r="N122" i="25"/>
  <c r="C122" i="25"/>
  <c r="R113" i="25"/>
  <c r="G113" i="25"/>
  <c r="N112" i="25"/>
  <c r="C112" i="25"/>
  <c r="T113" i="24"/>
  <c r="R113" i="24"/>
  <c r="M162" i="24"/>
  <c r="M152" i="24"/>
  <c r="N142" i="24"/>
  <c r="N132" i="24"/>
  <c r="N122" i="24"/>
  <c r="N112" i="24"/>
  <c r="C142" i="24"/>
  <c r="C132" i="24"/>
  <c r="C122" i="24"/>
  <c r="C112" i="24"/>
  <c r="I113" i="24"/>
  <c r="G113" i="24"/>
  <c r="B162" i="24"/>
  <c r="B152" i="24"/>
  <c r="N58" i="25"/>
  <c r="C58" i="25"/>
  <c r="N48" i="25"/>
  <c r="C48" i="25"/>
  <c r="P31" i="25"/>
  <c r="P23" i="25"/>
  <c r="R4" i="25"/>
  <c r="Q4" i="25"/>
  <c r="G4" i="25"/>
  <c r="F4" i="25"/>
  <c r="U44" i="25"/>
  <c r="T44" i="25"/>
  <c r="U43" i="25"/>
  <c r="T43" i="25"/>
  <c r="U42" i="25"/>
  <c r="T42" i="25"/>
  <c r="R44" i="25"/>
  <c r="Q44" i="25"/>
  <c r="R43" i="25"/>
  <c r="Q43" i="25"/>
  <c r="R42" i="25"/>
  <c r="Q42" i="25"/>
  <c r="M44" i="25"/>
  <c r="L44" i="25"/>
  <c r="M43" i="25"/>
  <c r="L43" i="25"/>
  <c r="M42" i="25"/>
  <c r="L42" i="25"/>
  <c r="J44" i="25"/>
  <c r="I44" i="25"/>
  <c r="J43" i="25"/>
  <c r="I43" i="25"/>
  <c r="J42" i="25"/>
  <c r="I42" i="25"/>
  <c r="T37" i="25"/>
  <c r="S37" i="25"/>
  <c r="R37" i="25"/>
  <c r="Q37" i="25"/>
  <c r="T36" i="25"/>
  <c r="S36" i="25"/>
  <c r="R36" i="25"/>
  <c r="Q36" i="25"/>
  <c r="T35" i="25"/>
  <c r="S35" i="25"/>
  <c r="R35" i="25"/>
  <c r="Q35" i="25"/>
  <c r="T34" i="25"/>
  <c r="S34" i="25"/>
  <c r="R34" i="25"/>
  <c r="Q34" i="25"/>
  <c r="T29" i="25"/>
  <c r="S29" i="25"/>
  <c r="R29" i="25"/>
  <c r="Q29" i="25"/>
  <c r="T28" i="25"/>
  <c r="S28" i="25"/>
  <c r="R28" i="25"/>
  <c r="Q28" i="25"/>
  <c r="T27" i="25"/>
  <c r="S27" i="25"/>
  <c r="R27" i="25"/>
  <c r="Q27" i="25"/>
  <c r="T26" i="25"/>
  <c r="S26" i="25"/>
  <c r="R26" i="25"/>
  <c r="Q26" i="25"/>
  <c r="B88" i="25"/>
  <c r="G59" i="25"/>
  <c r="G69" i="25" s="1"/>
  <c r="G79" i="25" s="1"/>
  <c r="G89" i="25" s="1"/>
  <c r="G99" i="25" s="1"/>
  <c r="G49" i="25"/>
  <c r="R49" i="25" s="1"/>
  <c r="R59" i="25" s="1"/>
  <c r="R69" i="25" s="1"/>
  <c r="R79" i="25" s="1"/>
  <c r="R89" i="25" s="1"/>
  <c r="R99" i="25" s="1"/>
  <c r="T45" i="25" l="1"/>
  <c r="L45" i="25"/>
  <c r="Q45" i="25"/>
  <c r="J45" i="25"/>
  <c r="R45" i="25"/>
  <c r="M45" i="25"/>
  <c r="U45" i="25"/>
  <c r="I45" i="25"/>
  <c r="U45" i="24"/>
  <c r="T45" i="24"/>
  <c r="R45" i="24"/>
  <c r="Q45" i="24"/>
  <c r="M45" i="24"/>
  <c r="L45" i="24"/>
  <c r="J45" i="24"/>
  <c r="I45" i="24"/>
  <c r="E8" i="25" l="1"/>
  <c r="E14" i="25"/>
  <c r="P14" i="25"/>
  <c r="E9" i="25"/>
  <c r="E10" i="25"/>
  <c r="P9" i="25"/>
  <c r="E12" i="25"/>
  <c r="E15" i="25"/>
  <c r="P12" i="25"/>
  <c r="P15" i="25"/>
  <c r="E7" i="25"/>
  <c r="P7" i="25"/>
  <c r="P13" i="25"/>
  <c r="E13" i="25" l="1"/>
  <c r="P8" i="25"/>
  <c r="P10" i="25"/>
  <c r="M98" i="24" l="1"/>
  <c r="N98" i="24" s="1"/>
  <c r="N162" i="24" s="1"/>
  <c r="B98" i="24"/>
  <c r="C98" i="24" s="1"/>
  <c r="C162" i="24" s="1"/>
  <c r="M88" i="24"/>
  <c r="N88" i="24" s="1"/>
  <c r="N152" i="24" s="1"/>
  <c r="B88" i="24"/>
  <c r="C88" i="24" s="1"/>
  <c r="C152" i="24" s="1"/>
  <c r="I59" i="24"/>
  <c r="I69" i="24" s="1"/>
  <c r="I79" i="24" s="1"/>
  <c r="I89" i="24" s="1"/>
  <c r="I99" i="24" s="1"/>
  <c r="G59" i="24"/>
  <c r="G69" i="24" s="1"/>
  <c r="G79" i="24" s="1"/>
  <c r="G89" i="24" s="1"/>
  <c r="G99" i="24" s="1"/>
  <c r="I49" i="24"/>
  <c r="T49" i="24" s="1"/>
  <c r="T59" i="24" s="1"/>
  <c r="T69" i="24" s="1"/>
  <c r="T79" i="24" s="1"/>
  <c r="T89" i="24" s="1"/>
  <c r="T99" i="24" s="1"/>
  <c r="G49" i="24"/>
  <c r="R49" i="24" s="1"/>
  <c r="R59" i="24" s="1"/>
  <c r="R69" i="24" s="1"/>
  <c r="R79" i="24" s="1"/>
  <c r="R89" i="24" s="1"/>
  <c r="R99" i="24" s="1"/>
  <c r="V37" i="25"/>
  <c r="U37" i="25"/>
  <c r="M36" i="25"/>
  <c r="L36" i="25"/>
  <c r="J36" i="25"/>
  <c r="I36" i="25"/>
  <c r="V36" i="25"/>
  <c r="U36" i="25"/>
  <c r="M35" i="25"/>
  <c r="L35" i="25"/>
  <c r="J35" i="25"/>
  <c r="I35" i="25"/>
  <c r="V35" i="25"/>
  <c r="U35" i="25"/>
  <c r="M34" i="25"/>
  <c r="L34" i="25"/>
  <c r="J34" i="25"/>
  <c r="I34" i="25"/>
  <c r="V34" i="25"/>
  <c r="U34" i="25"/>
  <c r="M33" i="25"/>
  <c r="L33" i="25"/>
  <c r="J33" i="25"/>
  <c r="I33" i="25"/>
  <c r="V29" i="25"/>
  <c r="U29" i="25"/>
  <c r="M28" i="25"/>
  <c r="L28" i="25"/>
  <c r="J28" i="25"/>
  <c r="I28" i="25"/>
  <c r="V28" i="25"/>
  <c r="U28" i="25"/>
  <c r="M27" i="25"/>
  <c r="L27" i="25"/>
  <c r="J27" i="25"/>
  <c r="I27" i="25"/>
  <c r="V27" i="25"/>
  <c r="U27" i="25"/>
  <c r="M26" i="25"/>
  <c r="L26" i="25"/>
  <c r="J26" i="25"/>
  <c r="I26" i="25"/>
  <c r="V26" i="25"/>
  <c r="U26" i="25"/>
  <c r="M25" i="25"/>
  <c r="L25" i="25"/>
  <c r="J25" i="25"/>
  <c r="I25" i="25"/>
  <c r="C24" i="24"/>
  <c r="R4" i="24"/>
  <c r="Q4" i="24"/>
  <c r="G4" i="24"/>
  <c r="L130" i="11"/>
  <c r="L129" i="11"/>
  <c r="L128" i="11"/>
  <c r="L127" i="11"/>
  <c r="L126" i="11"/>
  <c r="L125" i="11"/>
  <c r="L124" i="11"/>
  <c r="L123" i="11"/>
  <c r="L122" i="11"/>
  <c r="L121" i="11"/>
  <c r="L120" i="11"/>
  <c r="L119" i="11"/>
  <c r="L118" i="11"/>
  <c r="L117" i="11"/>
  <c r="L116" i="11"/>
  <c r="L115" i="11"/>
  <c r="L114" i="11"/>
  <c r="L113" i="11"/>
  <c r="P4" i="24" l="1"/>
  <c r="P4" i="25" s="1"/>
  <c r="E4" i="25"/>
  <c r="C36" i="24"/>
  <c r="C113" i="24" s="1"/>
  <c r="N113" i="24" s="1"/>
  <c r="C24" i="25"/>
  <c r="Q40" i="24"/>
  <c r="I40" i="24"/>
  <c r="C49" i="24" l="1"/>
  <c r="C59" i="24"/>
  <c r="C69" i="24" s="1"/>
  <c r="C79" i="24" s="1"/>
  <c r="C89" i="24" s="1"/>
  <c r="C99" i="24" s="1"/>
  <c r="C36" i="25"/>
  <c r="I40" i="25"/>
  <c r="Q40" i="25"/>
  <c r="N49" i="24" l="1"/>
  <c r="N59" i="24" s="1"/>
  <c r="N69" i="24" s="1"/>
  <c r="N79" i="24" s="1"/>
  <c r="N89" i="24" s="1"/>
  <c r="N99" i="24" s="1"/>
  <c r="C113" i="25"/>
  <c r="N113" i="25" s="1"/>
  <c r="C49" i="25"/>
  <c r="N49" i="25" s="1"/>
  <c r="N59" i="25" s="1"/>
  <c r="C59" i="25"/>
  <c r="C79" i="25" l="1"/>
  <c r="C89" i="25" s="1"/>
  <c r="C99" i="25" s="1"/>
  <c r="C69" i="25"/>
  <c r="N79" i="25"/>
  <c r="N89" i="25" s="1"/>
  <c r="N99" i="25" s="1"/>
  <c r="N69" i="25"/>
  <c r="D12" i="11" l="1"/>
  <c r="L109" i="11" l="1"/>
  <c r="L104" i="11" l="1"/>
  <c r="L97" i="11" l="1"/>
  <c r="L96" i="11" l="1"/>
  <c r="B96" i="11"/>
  <c r="B97" i="11" s="1"/>
  <c r="L112" i="11" l="1"/>
  <c r="L111" i="11"/>
  <c r="L110" i="11"/>
  <c r="L106" i="11"/>
  <c r="L95" i="11"/>
  <c r="L94" i="11"/>
  <c r="P4" i="4" l="1"/>
  <c r="S110" i="11" l="1"/>
  <c r="R110" i="11"/>
  <c r="Q110" i="11"/>
  <c r="P110" i="11"/>
  <c r="O110" i="11"/>
  <c r="E52" i="11" l="1"/>
  <c r="D80" i="11"/>
  <c r="D55" i="11"/>
  <c r="D54" i="11"/>
  <c r="C52" i="11"/>
  <c r="C56" i="11"/>
  <c r="C26" i="11"/>
  <c r="C25" i="11"/>
  <c r="C24" i="11"/>
  <c r="C17" i="11"/>
  <c r="D82" i="11" l="1"/>
  <c r="D81" i="11"/>
  <c r="D79" i="11"/>
  <c r="D78" i="11"/>
  <c r="D73" i="11"/>
  <c r="D77" i="11"/>
  <c r="D84" i="11" l="1"/>
  <c r="T171" i="2" l="1"/>
  <c r="L50" i="14" l="1"/>
  <c r="L40" i="14"/>
  <c r="C50" i="14"/>
  <c r="C40" i="14"/>
  <c r="C33" i="22"/>
  <c r="L93" i="11" l="1"/>
  <c r="D95" i="11" l="1"/>
  <c r="D94" i="11"/>
  <c r="U171" i="2"/>
  <c r="D104" i="11"/>
  <c r="H34" i="11" l="1"/>
  <c r="D97" i="11" l="1"/>
  <c r="D96" i="11"/>
  <c r="D110" i="11"/>
  <c r="D109" i="11"/>
  <c r="G25" i="11"/>
  <c r="H25" i="11" s="1"/>
  <c r="D25" i="11"/>
  <c r="I34" i="11"/>
  <c r="D16" i="11" l="1"/>
  <c r="J34" i="11"/>
  <c r="G34" i="22" l="1"/>
  <c r="M25" i="22"/>
  <c r="L25" i="22"/>
  <c r="K25" i="22"/>
  <c r="J25" i="22"/>
  <c r="M24" i="22"/>
  <c r="L24" i="22"/>
  <c r="K24" i="22"/>
  <c r="J24" i="22"/>
  <c r="M23" i="22"/>
  <c r="L23" i="22"/>
  <c r="K23" i="22"/>
  <c r="J23" i="22"/>
  <c r="I20" i="22"/>
  <c r="F4" i="22"/>
  <c r="E4" i="22"/>
  <c r="W21" i="21"/>
  <c r="U21" i="21"/>
  <c r="C18" i="21"/>
  <c r="C17" i="21"/>
  <c r="C16" i="21"/>
  <c r="C15" i="21"/>
  <c r="C14" i="21"/>
  <c r="C13" i="21"/>
  <c r="C12" i="21"/>
  <c r="U11" i="21"/>
  <c r="T11" i="21"/>
  <c r="S11" i="21"/>
  <c r="R11" i="21"/>
  <c r="Q11" i="21"/>
  <c r="P11" i="21"/>
  <c r="O11" i="21"/>
  <c r="N11" i="21"/>
  <c r="M11" i="21"/>
  <c r="L11" i="21"/>
  <c r="K11" i="21"/>
  <c r="J11" i="21"/>
  <c r="I11" i="21"/>
  <c r="H11" i="21"/>
  <c r="G11" i="21"/>
  <c r="C11" i="21"/>
  <c r="C10" i="21"/>
  <c r="C9" i="21"/>
  <c r="C7" i="21"/>
  <c r="C6" i="21"/>
  <c r="C5" i="21"/>
  <c r="C4" i="21"/>
  <c r="P91" i="14"/>
  <c r="G91" i="14"/>
  <c r="P81" i="14"/>
  <c r="G81" i="14"/>
  <c r="K80" i="14"/>
  <c r="P71" i="14"/>
  <c r="G71" i="14"/>
  <c r="P61" i="14"/>
  <c r="G61" i="14"/>
  <c r="P51" i="14"/>
  <c r="G51" i="14"/>
  <c r="P41" i="14"/>
  <c r="G41" i="14"/>
  <c r="T34" i="14"/>
  <c r="S34" i="14"/>
  <c r="R34" i="14"/>
  <c r="Q34" i="14"/>
  <c r="T33" i="14"/>
  <c r="S33" i="14"/>
  <c r="R33" i="14"/>
  <c r="Q33" i="14"/>
  <c r="T32" i="14"/>
  <c r="S32" i="14"/>
  <c r="R32" i="14"/>
  <c r="Q32" i="14"/>
  <c r="T31" i="14"/>
  <c r="P8" i="12" s="1"/>
  <c r="S31" i="14"/>
  <c r="R31" i="14"/>
  <c r="P7" i="12" s="1"/>
  <c r="Q31" i="14"/>
  <c r="O7" i="12" s="1"/>
  <c r="P28" i="14"/>
  <c r="T25" i="14"/>
  <c r="S25" i="14"/>
  <c r="R25" i="14"/>
  <c r="Q25" i="14"/>
  <c r="T24" i="14"/>
  <c r="S24" i="14"/>
  <c r="R24" i="14"/>
  <c r="Q24" i="14"/>
  <c r="T23" i="14"/>
  <c r="S23" i="14"/>
  <c r="R23" i="14"/>
  <c r="Q23" i="14"/>
  <c r="T22" i="14"/>
  <c r="N8" i="12" s="1"/>
  <c r="S22" i="14"/>
  <c r="M8" i="12" s="1"/>
  <c r="R22" i="14"/>
  <c r="N7" i="12" s="1"/>
  <c r="Q22" i="14"/>
  <c r="M7" i="12" s="1"/>
  <c r="P19" i="14"/>
  <c r="P4" i="14"/>
  <c r="F4" i="14"/>
  <c r="E4" i="14"/>
  <c r="AB28" i="13"/>
  <c r="Z28" i="13"/>
  <c r="X21" i="13"/>
  <c r="W21" i="13"/>
  <c r="V21" i="13"/>
  <c r="U21" i="13"/>
  <c r="C18" i="13"/>
  <c r="C17" i="13"/>
  <c r="C16" i="13"/>
  <c r="C15" i="13"/>
  <c r="C14" i="13"/>
  <c r="C13" i="13"/>
  <c r="C12" i="13"/>
  <c r="T11" i="13"/>
  <c r="S11" i="13"/>
  <c r="R11" i="13"/>
  <c r="Q11" i="13"/>
  <c r="P11" i="13"/>
  <c r="O11" i="13"/>
  <c r="N11" i="13"/>
  <c r="M11" i="13"/>
  <c r="L11" i="13"/>
  <c r="K11" i="13"/>
  <c r="J11" i="13"/>
  <c r="I11" i="13"/>
  <c r="H11" i="13"/>
  <c r="G11" i="13"/>
  <c r="C11" i="13"/>
  <c r="C10" i="13"/>
  <c r="C9" i="13"/>
  <c r="C8" i="13"/>
  <c r="C7" i="13"/>
  <c r="C6" i="13"/>
  <c r="C5" i="13"/>
  <c r="C4" i="13"/>
  <c r="F100" i="12"/>
  <c r="F94" i="12"/>
  <c r="F88" i="12"/>
  <c r="L83" i="12"/>
  <c r="C83" i="12"/>
  <c r="K82" i="12"/>
  <c r="B82" i="12"/>
  <c r="O81" i="12"/>
  <c r="F81" i="12"/>
  <c r="L77" i="12"/>
  <c r="C77" i="12"/>
  <c r="K76" i="12"/>
  <c r="B76" i="12"/>
  <c r="O75" i="12"/>
  <c r="F75" i="12"/>
  <c r="L71" i="12"/>
  <c r="C71" i="12"/>
  <c r="K70" i="12"/>
  <c r="B70" i="12"/>
  <c r="O69" i="12"/>
  <c r="F69" i="12"/>
  <c r="O63" i="12"/>
  <c r="F63" i="12"/>
  <c r="O57" i="12"/>
  <c r="F57" i="12"/>
  <c r="O51" i="12"/>
  <c r="F51" i="12"/>
  <c r="O45" i="12"/>
  <c r="F45" i="12"/>
  <c r="O39" i="12"/>
  <c r="F39" i="12"/>
  <c r="O33" i="12"/>
  <c r="F33" i="12"/>
  <c r="D26" i="12"/>
  <c r="D100" i="12" s="1"/>
  <c r="D20" i="12"/>
  <c r="O8" i="12"/>
  <c r="H5" i="12"/>
  <c r="H4" i="12"/>
  <c r="H2" i="12"/>
  <c r="M35" i="22"/>
  <c r="I34" i="20"/>
  <c r="G34" i="20"/>
  <c r="O25" i="22"/>
  <c r="N25" i="22"/>
  <c r="O24" i="22"/>
  <c r="N24" i="22"/>
  <c r="N23" i="22"/>
  <c r="E11" i="22"/>
  <c r="E9" i="22"/>
  <c r="E7" i="22"/>
  <c r="F4" i="20"/>
  <c r="T91" i="4"/>
  <c r="R91" i="4"/>
  <c r="I91" i="4"/>
  <c r="G91" i="4"/>
  <c r="M90" i="4"/>
  <c r="N90" i="4" s="1"/>
  <c r="B90" i="4"/>
  <c r="C90" i="4" s="1"/>
  <c r="T81" i="4"/>
  <c r="R81" i="4"/>
  <c r="I81" i="4"/>
  <c r="G81" i="4"/>
  <c r="M80" i="4"/>
  <c r="N80" i="4" s="1"/>
  <c r="B80" i="4"/>
  <c r="C80" i="4" s="1"/>
  <c r="T71" i="4"/>
  <c r="R71" i="4"/>
  <c r="I71" i="4"/>
  <c r="G71" i="4"/>
  <c r="T61" i="4"/>
  <c r="R61" i="4"/>
  <c r="I61" i="4"/>
  <c r="G61" i="4"/>
  <c r="T51" i="4"/>
  <c r="R51" i="4"/>
  <c r="I51" i="4"/>
  <c r="G51" i="4"/>
  <c r="T41" i="4"/>
  <c r="R41" i="4"/>
  <c r="I41" i="4"/>
  <c r="G41" i="4"/>
  <c r="V34" i="14"/>
  <c r="U34" i="14"/>
  <c r="M34" i="14"/>
  <c r="L34" i="14"/>
  <c r="J34" i="14"/>
  <c r="I34" i="14"/>
  <c r="V33" i="14"/>
  <c r="U33" i="14"/>
  <c r="M33" i="14"/>
  <c r="L33" i="14"/>
  <c r="J33" i="14"/>
  <c r="I33" i="14"/>
  <c r="V32" i="14"/>
  <c r="U32" i="14"/>
  <c r="M32" i="14"/>
  <c r="L32" i="14"/>
  <c r="J32" i="14"/>
  <c r="I32" i="14"/>
  <c r="V31" i="14"/>
  <c r="U31" i="14"/>
  <c r="L31" i="14"/>
  <c r="J31" i="14"/>
  <c r="I31" i="14"/>
  <c r="C26" i="14"/>
  <c r="V25" i="14"/>
  <c r="U25" i="14"/>
  <c r="M25" i="14"/>
  <c r="L25" i="14"/>
  <c r="J25" i="14"/>
  <c r="I25" i="14"/>
  <c r="C25" i="14"/>
  <c r="V24" i="14"/>
  <c r="U24" i="14"/>
  <c r="M24" i="14"/>
  <c r="L24" i="14"/>
  <c r="J24" i="14"/>
  <c r="I24" i="14"/>
  <c r="V23" i="14"/>
  <c r="U23" i="14"/>
  <c r="M23" i="14"/>
  <c r="L23" i="14"/>
  <c r="J23" i="14"/>
  <c r="I23" i="14"/>
  <c r="C23" i="14"/>
  <c r="V22" i="14"/>
  <c r="U22" i="14"/>
  <c r="M22" i="14"/>
  <c r="L22" i="14"/>
  <c r="J22" i="14"/>
  <c r="I22" i="14"/>
  <c r="C22" i="14"/>
  <c r="C21" i="4"/>
  <c r="C21" i="20" s="1"/>
  <c r="C34" i="20" s="1"/>
  <c r="Q12" i="14"/>
  <c r="P12" i="14"/>
  <c r="F12" i="14"/>
  <c r="E12" i="14"/>
  <c r="Q11" i="14"/>
  <c r="P11" i="14"/>
  <c r="F11" i="14"/>
  <c r="E11" i="14"/>
  <c r="P10" i="14"/>
  <c r="F10" i="14"/>
  <c r="E10" i="14"/>
  <c r="P9" i="14"/>
  <c r="F9" i="14"/>
  <c r="E9" i="14"/>
  <c r="P8" i="14"/>
  <c r="F8" i="14"/>
  <c r="E8" i="14"/>
  <c r="P7" i="14"/>
  <c r="F7" i="14"/>
  <c r="E7" i="14"/>
  <c r="R4" i="4"/>
  <c r="R4" i="14" s="1"/>
  <c r="Q4" i="4"/>
  <c r="Q4" i="14" s="1"/>
  <c r="G4" i="4"/>
  <c r="G4" i="22" s="1"/>
  <c r="E35" i="21"/>
  <c r="D35" i="21"/>
  <c r="C35" i="21"/>
  <c r="E34" i="21"/>
  <c r="D34" i="21"/>
  <c r="Y27" i="21"/>
  <c r="W27" i="21"/>
  <c r="R23" i="19"/>
  <c r="H23" i="19"/>
  <c r="S23" i="19" s="1"/>
  <c r="D36" i="13"/>
  <c r="C36" i="13"/>
  <c r="E35" i="13"/>
  <c r="D35" i="13"/>
  <c r="R23" i="3"/>
  <c r="H23" i="3"/>
  <c r="G28" i="13" s="1"/>
  <c r="Q28" i="13" s="1"/>
  <c r="AA18" i="13"/>
  <c r="E84" i="11"/>
  <c r="E83" i="11"/>
  <c r="E82" i="11"/>
  <c r="E81" i="11"/>
  <c r="E79" i="11"/>
  <c r="E78" i="11"/>
  <c r="E77" i="11"/>
  <c r="E76" i="11"/>
  <c r="E75" i="11"/>
  <c r="E74" i="11"/>
  <c r="E73" i="11"/>
  <c r="E72" i="11"/>
  <c r="E71" i="11"/>
  <c r="E70" i="11"/>
  <c r="E56" i="11"/>
  <c r="E55" i="11"/>
  <c r="E54" i="11"/>
  <c r="E12" i="11"/>
  <c r="E53" i="11"/>
  <c r="E51" i="11"/>
  <c r="E50" i="11"/>
  <c r="E49" i="11"/>
  <c r="E48" i="11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24" i="11"/>
  <c r="E23" i="11"/>
  <c r="E22" i="11"/>
  <c r="E21" i="11"/>
  <c r="E20" i="11"/>
  <c r="E19" i="11"/>
  <c r="C19" i="11"/>
  <c r="E18" i="11"/>
  <c r="E17" i="11"/>
  <c r="E16" i="11"/>
  <c r="E15" i="11"/>
  <c r="E14" i="11"/>
  <c r="E13" i="11"/>
  <c r="H11" i="11"/>
  <c r="E11" i="11"/>
  <c r="H10" i="11"/>
  <c r="E10" i="11"/>
  <c r="B6" i="11"/>
  <c r="D9" i="11" s="1"/>
  <c r="C84" i="11"/>
  <c r="C83" i="11"/>
  <c r="C82" i="11"/>
  <c r="C81" i="11"/>
  <c r="C79" i="11"/>
  <c r="C78" i="11"/>
  <c r="C51" i="11"/>
  <c r="C50" i="11"/>
  <c r="C49" i="11"/>
  <c r="C48" i="11"/>
  <c r="C41" i="11"/>
  <c r="C40" i="11"/>
  <c r="C39" i="11"/>
  <c r="C38" i="11"/>
  <c r="C37" i="11"/>
  <c r="C34" i="11"/>
  <c r="C36" i="11"/>
  <c r="C35" i="11"/>
  <c r="C33" i="11"/>
  <c r="C76" i="11"/>
  <c r="C75" i="11"/>
  <c r="C74" i="11"/>
  <c r="C73" i="11"/>
  <c r="C72" i="11"/>
  <c r="C71" i="11"/>
  <c r="C70" i="11"/>
  <c r="C77" i="11"/>
  <c r="C46" i="11"/>
  <c r="C47" i="11"/>
  <c r="C45" i="11"/>
  <c r="C44" i="11"/>
  <c r="C43" i="11"/>
  <c r="C42" i="11"/>
  <c r="C21" i="11"/>
  <c r="C53" i="11"/>
  <c r="C18" i="11"/>
  <c r="C16" i="11"/>
  <c r="C15" i="11"/>
  <c r="C14" i="11"/>
  <c r="C23" i="11"/>
  <c r="C22" i="11"/>
  <c r="C20" i="11"/>
  <c r="C13" i="11"/>
  <c r="C11" i="11"/>
  <c r="C10" i="11"/>
  <c r="C76" i="10"/>
  <c r="M76" i="10" s="1"/>
  <c r="B75" i="10"/>
  <c r="B87" i="10" s="1"/>
  <c r="L87" i="10" s="1"/>
  <c r="N50" i="10"/>
  <c r="N56" i="10" s="1"/>
  <c r="N62" i="10" s="1"/>
  <c r="N68" i="10" s="1"/>
  <c r="N74" i="10" s="1"/>
  <c r="N80" i="10" s="1"/>
  <c r="N86" i="10" s="1"/>
  <c r="D50" i="10"/>
  <c r="D56" i="10" s="1"/>
  <c r="D62" i="10" s="1"/>
  <c r="D68" i="10" s="1"/>
  <c r="D74" i="10" s="1"/>
  <c r="D80" i="10" s="1"/>
  <c r="D86" i="10" s="1"/>
  <c r="D93" i="10" s="1"/>
  <c r="D99" i="10" s="1"/>
  <c r="D105" i="10" s="1"/>
  <c r="N44" i="10"/>
  <c r="D44" i="10"/>
  <c r="N38" i="10"/>
  <c r="D38" i="10"/>
  <c r="N31" i="10"/>
  <c r="H31" i="10"/>
  <c r="H99" i="10" s="1"/>
  <c r="E31" i="10"/>
  <c r="D24" i="24" s="1"/>
  <c r="P8" i="10"/>
  <c r="O8" i="10"/>
  <c r="N8" i="10"/>
  <c r="M8" i="10"/>
  <c r="P7" i="10"/>
  <c r="O7" i="10"/>
  <c r="N7" i="10"/>
  <c r="M7" i="10"/>
  <c r="G4" i="20" l="1"/>
  <c r="E4" i="20"/>
  <c r="D36" i="24"/>
  <c r="D24" i="25"/>
  <c r="L40" i="24"/>
  <c r="T40" i="24"/>
  <c r="I10" i="11"/>
  <c r="E50" i="10"/>
  <c r="E56" i="10" s="1"/>
  <c r="E62" i="10" s="1"/>
  <c r="E68" i="10" s="1"/>
  <c r="E74" i="10" s="1"/>
  <c r="E80" i="10" s="1"/>
  <c r="E86" i="10" s="1"/>
  <c r="E93" i="10" s="1"/>
  <c r="E99" i="10" s="1"/>
  <c r="E105" i="10" s="1"/>
  <c r="G4" i="14"/>
  <c r="Q17" i="11"/>
  <c r="Q119" i="11" s="1"/>
  <c r="S17" i="11"/>
  <c r="S119" i="11" s="1"/>
  <c r="O20" i="11"/>
  <c r="R17" i="11"/>
  <c r="R119" i="11" s="1"/>
  <c r="P17" i="11"/>
  <c r="P119" i="11" s="1"/>
  <c r="O17" i="11"/>
  <c r="G84" i="11"/>
  <c r="H84" i="11" s="1"/>
  <c r="I84" i="11" s="1"/>
  <c r="R20" i="11" s="1"/>
  <c r="R122" i="11" s="1"/>
  <c r="H50" i="10"/>
  <c r="H86" i="10"/>
  <c r="H38" i="10"/>
  <c r="O44" i="10"/>
  <c r="H62" i="10"/>
  <c r="H80" i="10"/>
  <c r="O31" i="10"/>
  <c r="H74" i="10"/>
  <c r="H93" i="10"/>
  <c r="M33" i="12"/>
  <c r="M39" i="12" s="1"/>
  <c r="C30" i="4"/>
  <c r="E44" i="10"/>
  <c r="L75" i="10"/>
  <c r="R31" i="10"/>
  <c r="R44" i="10"/>
  <c r="R56" i="10"/>
  <c r="R68" i="10"/>
  <c r="C82" i="10"/>
  <c r="M82" i="10" s="1"/>
  <c r="C88" i="10"/>
  <c r="M88" i="10" s="1"/>
  <c r="D33" i="12"/>
  <c r="D39" i="12" s="1"/>
  <c r="C21" i="22"/>
  <c r="M33" i="22" s="1"/>
  <c r="O38" i="10"/>
  <c r="O50" i="10"/>
  <c r="O56" i="10" s="1"/>
  <c r="O62" i="10" s="1"/>
  <c r="O68" i="10" s="1"/>
  <c r="O74" i="10" s="1"/>
  <c r="O80" i="10" s="1"/>
  <c r="O86" i="10" s="1"/>
  <c r="D21" i="4"/>
  <c r="E26" i="12"/>
  <c r="M45" i="12"/>
  <c r="M51" i="12" s="1"/>
  <c r="M57" i="12" s="1"/>
  <c r="M63" i="12" s="1"/>
  <c r="M69" i="12" s="1"/>
  <c r="M75" i="12" s="1"/>
  <c r="M81" i="12" s="1"/>
  <c r="C21" i="14"/>
  <c r="C30" i="14" s="1"/>
  <c r="C41" i="14" s="1"/>
  <c r="L41" i="14" s="1"/>
  <c r="L51" i="14" s="1"/>
  <c r="L61" i="14" s="1"/>
  <c r="B7" i="2"/>
  <c r="G26" i="12"/>
  <c r="D88" i="12"/>
  <c r="D94" i="12" s="1"/>
  <c r="G28" i="21"/>
  <c r="Q28" i="21" s="1"/>
  <c r="B81" i="10"/>
  <c r="L81" i="10" s="1"/>
  <c r="H44" i="10"/>
  <c r="H56" i="10"/>
  <c r="H68" i="10"/>
  <c r="H105" i="10"/>
  <c r="E38" i="10"/>
  <c r="I31" i="10"/>
  <c r="R38" i="10"/>
  <c r="R50" i="10"/>
  <c r="R62" i="10"/>
  <c r="R74" i="10"/>
  <c r="R80" i="10"/>
  <c r="R86" i="10"/>
  <c r="S23" i="3"/>
  <c r="M26" i="12"/>
  <c r="D45" i="12"/>
  <c r="D51" i="12" s="1"/>
  <c r="D57" i="12" s="1"/>
  <c r="D63" i="12" s="1"/>
  <c r="D69" i="12" s="1"/>
  <c r="D75" i="12" s="1"/>
  <c r="D81" i="12" s="1"/>
  <c r="M33" i="20"/>
  <c r="G8" i="14"/>
  <c r="G10" i="14"/>
  <c r="O23" i="22"/>
  <c r="C3" i="15"/>
  <c r="C162" i="2"/>
  <c r="E171" i="2"/>
  <c r="M171" i="2"/>
  <c r="K162" i="2"/>
  <c r="F171" i="2"/>
  <c r="N171" i="2"/>
  <c r="D22" i="4"/>
  <c r="D22" i="14" s="1"/>
  <c r="G12" i="14"/>
  <c r="G12" i="4"/>
  <c r="D26" i="4"/>
  <c r="D26" i="14" s="1"/>
  <c r="S65" i="2"/>
  <c r="S162" i="2"/>
  <c r="R162" i="2"/>
  <c r="S171" i="2"/>
  <c r="R65" i="2"/>
  <c r="M162" i="2"/>
  <c r="D65" i="2"/>
  <c r="L65" i="2"/>
  <c r="F162" i="2"/>
  <c r="N162" i="2"/>
  <c r="H171" i="2"/>
  <c r="P171" i="2"/>
  <c r="J65" i="2"/>
  <c r="C65" i="2"/>
  <c r="K65" i="2"/>
  <c r="E162" i="2"/>
  <c r="E65" i="2"/>
  <c r="M65" i="2"/>
  <c r="G162" i="2"/>
  <c r="O162" i="2"/>
  <c r="I171" i="2"/>
  <c r="D162" i="2"/>
  <c r="F65" i="2"/>
  <c r="N65" i="2"/>
  <c r="H162" i="2"/>
  <c r="P162" i="2"/>
  <c r="J171" i="2"/>
  <c r="G171" i="2"/>
  <c r="O171" i="2"/>
  <c r="G65" i="2"/>
  <c r="O65" i="2"/>
  <c r="I65" i="2"/>
  <c r="I162" i="2"/>
  <c r="C171" i="2"/>
  <c r="K171" i="2"/>
  <c r="R171" i="2"/>
  <c r="L162" i="2"/>
  <c r="H65" i="2"/>
  <c r="P65" i="2"/>
  <c r="J162" i="2"/>
  <c r="D171" i="2"/>
  <c r="L171" i="2"/>
  <c r="I11" i="11"/>
  <c r="G77" i="11"/>
  <c r="H77" i="11" s="1"/>
  <c r="I77" i="11" s="1"/>
  <c r="J77" i="11" s="1"/>
  <c r="G73" i="11"/>
  <c r="H73" i="11" s="1"/>
  <c r="I73" i="11" s="1"/>
  <c r="J73" i="11" s="1"/>
  <c r="M31" i="14"/>
  <c r="C34" i="21"/>
  <c r="E36" i="13"/>
  <c r="C35" i="13"/>
  <c r="AA21" i="13"/>
  <c r="E13" i="22"/>
  <c r="G8" i="4"/>
  <c r="G9" i="14"/>
  <c r="G7" i="14"/>
  <c r="G9" i="4"/>
  <c r="G7" i="4"/>
  <c r="G10" i="4"/>
  <c r="G11" i="14"/>
  <c r="R11" i="4"/>
  <c r="R11" i="14" s="1"/>
  <c r="D23" i="4"/>
  <c r="D23" i="14" s="1"/>
  <c r="D25" i="4"/>
  <c r="G11" i="4"/>
  <c r="R12" i="4"/>
  <c r="R12" i="14" s="1"/>
  <c r="J11" i="11" l="1"/>
  <c r="J10" i="11"/>
  <c r="D36" i="25"/>
  <c r="L40" i="25"/>
  <c r="T40" i="25"/>
  <c r="E113" i="24"/>
  <c r="P113" i="24" s="1"/>
  <c r="E59" i="24"/>
  <c r="E69" i="24" s="1"/>
  <c r="E79" i="24" s="1"/>
  <c r="E89" i="24" s="1"/>
  <c r="E99" i="24" s="1"/>
  <c r="E49" i="24"/>
  <c r="C51" i="4"/>
  <c r="C61" i="4" s="1"/>
  <c r="C71" i="4" s="1"/>
  <c r="C81" i="4" s="1"/>
  <c r="C91" i="4" s="1"/>
  <c r="C41" i="4"/>
  <c r="AA28" i="13"/>
  <c r="X27" i="21"/>
  <c r="O122" i="11"/>
  <c r="O119" i="11"/>
  <c r="P20" i="11"/>
  <c r="P122" i="11" s="1"/>
  <c r="Q20" i="11"/>
  <c r="Q122" i="11" s="1"/>
  <c r="J84" i="11"/>
  <c r="S20" i="11" s="1"/>
  <c r="S122" i="11" s="1"/>
  <c r="G79" i="11"/>
  <c r="H79" i="11" s="1"/>
  <c r="I79" i="11" s="1"/>
  <c r="J79" i="11" s="1"/>
  <c r="C34" i="22"/>
  <c r="L71" i="14"/>
  <c r="L81" i="14" s="1"/>
  <c r="L91" i="14" s="1"/>
  <c r="E88" i="12"/>
  <c r="E39" i="12"/>
  <c r="N45" i="12"/>
  <c r="N51" i="12" s="1"/>
  <c r="N57" i="12" s="1"/>
  <c r="N63" i="12" s="1"/>
  <c r="N69" i="12" s="1"/>
  <c r="N75" i="12" s="1"/>
  <c r="N81" i="12" s="1"/>
  <c r="N33" i="12"/>
  <c r="E33" i="12"/>
  <c r="E100" i="12"/>
  <c r="N26" i="12"/>
  <c r="N39" i="12" s="1"/>
  <c r="E45" i="12"/>
  <c r="E51" i="12" s="1"/>
  <c r="E57" i="12" s="1"/>
  <c r="E63" i="12" s="1"/>
  <c r="E69" i="12" s="1"/>
  <c r="E75" i="12" s="1"/>
  <c r="E81" i="12" s="1"/>
  <c r="E94" i="12" s="1"/>
  <c r="D21" i="20"/>
  <c r="D21" i="14"/>
  <c r="D30" i="14" s="1"/>
  <c r="D21" i="22"/>
  <c r="D30" i="4"/>
  <c r="G33" i="12"/>
  <c r="P26" i="12"/>
  <c r="P81" i="12"/>
  <c r="G45" i="12"/>
  <c r="G81" i="12"/>
  <c r="P75" i="12"/>
  <c r="G69" i="12"/>
  <c r="G63" i="12"/>
  <c r="G57" i="12"/>
  <c r="G51" i="12"/>
  <c r="P33" i="12"/>
  <c r="G88" i="12"/>
  <c r="G75" i="12"/>
  <c r="P63" i="12"/>
  <c r="P51" i="12"/>
  <c r="P57" i="12"/>
  <c r="P69" i="12"/>
  <c r="G39" i="12"/>
  <c r="C51" i="14"/>
  <c r="C71" i="14" s="1"/>
  <c r="C81" i="14" s="1"/>
  <c r="C91" i="14" s="1"/>
  <c r="I105" i="10"/>
  <c r="I68" i="10"/>
  <c r="I56" i="10"/>
  <c r="I44" i="10"/>
  <c r="H26" i="12"/>
  <c r="I93" i="10"/>
  <c r="I80" i="10"/>
  <c r="I74" i="10"/>
  <c r="S68" i="10"/>
  <c r="S56" i="10"/>
  <c r="S44" i="10"/>
  <c r="S31" i="10"/>
  <c r="I86" i="10"/>
  <c r="I50" i="10"/>
  <c r="I38" i="10"/>
  <c r="I62" i="10"/>
  <c r="S62" i="10"/>
  <c r="I99" i="10"/>
  <c r="S38" i="10"/>
  <c r="S86" i="10"/>
  <c r="S50" i="10"/>
  <c r="S80" i="10"/>
  <c r="S74" i="10"/>
  <c r="R173" i="2"/>
  <c r="N173" i="2"/>
  <c r="E173" i="2"/>
  <c r="S173" i="2"/>
  <c r="G173" i="2"/>
  <c r="M173" i="2"/>
  <c r="G78" i="11"/>
  <c r="H78" i="11" s="1"/>
  <c r="I78" i="11" s="1"/>
  <c r="J78" i="11" s="1"/>
  <c r="P173" i="2"/>
  <c r="H173" i="2"/>
  <c r="I173" i="2"/>
  <c r="K173" i="2"/>
  <c r="C173" i="2"/>
  <c r="J173" i="2"/>
  <c r="L173" i="2"/>
  <c r="D173" i="2"/>
  <c r="O173" i="2"/>
  <c r="F173" i="2"/>
  <c r="G82" i="11"/>
  <c r="H82" i="11" s="1"/>
  <c r="I82" i="11" s="1"/>
  <c r="J82" i="11" s="1"/>
  <c r="G81" i="11"/>
  <c r="D25" i="14"/>
  <c r="D101" i="11" l="1"/>
  <c r="Q11" i="17"/>
  <c r="D100" i="11"/>
  <c r="N41" i="4"/>
  <c r="N51" i="4" s="1"/>
  <c r="N61" i="4" s="1"/>
  <c r="N71" i="4" s="1"/>
  <c r="N81" i="4" s="1"/>
  <c r="N91" i="4" s="1"/>
  <c r="P49" i="24"/>
  <c r="P59" i="24" s="1"/>
  <c r="P69" i="24" s="1"/>
  <c r="P79" i="24" s="1"/>
  <c r="P89" i="24" s="1"/>
  <c r="P99" i="24" s="1"/>
  <c r="E69" i="25"/>
  <c r="E79" i="25" s="1"/>
  <c r="E89" i="25" s="1"/>
  <c r="E99" i="25" s="1"/>
  <c r="E113" i="25"/>
  <c r="P113" i="25" s="1"/>
  <c r="E49" i="25"/>
  <c r="P49" i="25" s="1"/>
  <c r="P59" i="25" s="1"/>
  <c r="P69" i="25" s="1"/>
  <c r="P79" i="25" s="1"/>
  <c r="P89" i="25" s="1"/>
  <c r="P99" i="25" s="1"/>
  <c r="E59" i="25"/>
  <c r="V171" i="2"/>
  <c r="D24" i="11"/>
  <c r="AC28" i="13"/>
  <c r="Z27" i="21"/>
  <c r="P45" i="12"/>
  <c r="P39" i="12"/>
  <c r="H33" i="12"/>
  <c r="H94" i="12"/>
  <c r="Q39" i="12"/>
  <c r="Q33" i="12"/>
  <c r="H100" i="12"/>
  <c r="H45" i="12"/>
  <c r="Q26" i="12"/>
  <c r="H88" i="12"/>
  <c r="H39" i="12"/>
  <c r="Q45" i="12"/>
  <c r="E41" i="4"/>
  <c r="E51" i="4"/>
  <c r="E61" i="4" s="1"/>
  <c r="E71" i="4" s="1"/>
  <c r="E81" i="4" s="1"/>
  <c r="E91" i="4" s="1"/>
  <c r="C61" i="14"/>
  <c r="E41" i="14"/>
  <c r="N41" i="14" s="1"/>
  <c r="N51" i="14" s="1"/>
  <c r="N61" i="14" s="1"/>
  <c r="N71" i="14" s="1"/>
  <c r="N81" i="14" s="1"/>
  <c r="N91" i="14" s="1"/>
  <c r="E61" i="14"/>
  <c r="E71" i="14" s="1"/>
  <c r="E81" i="14" s="1"/>
  <c r="E91" i="14" s="1"/>
  <c r="E51" i="14"/>
  <c r="E34" i="22"/>
  <c r="N33" i="22"/>
  <c r="G94" i="12"/>
  <c r="G100" i="12"/>
  <c r="N33" i="20"/>
  <c r="E34" i="20"/>
  <c r="G16" i="11"/>
  <c r="H81" i="11"/>
  <c r="O19" i="11" l="1"/>
  <c r="G83" i="11"/>
  <c r="D83" i="11"/>
  <c r="P41" i="4"/>
  <c r="P51" i="4" s="1"/>
  <c r="P61" i="4" s="1"/>
  <c r="P71" i="4" s="1"/>
  <c r="P81" i="4" s="1"/>
  <c r="P91" i="4" s="1"/>
  <c r="H16" i="11"/>
  <c r="I16" i="11" s="1"/>
  <c r="J16" i="11" s="1"/>
  <c r="I81" i="11"/>
  <c r="O121" i="11" l="1"/>
  <c r="P19" i="11"/>
  <c r="P121" i="11" s="1"/>
  <c r="H83" i="11"/>
  <c r="J81" i="11"/>
  <c r="Q19" i="11" l="1"/>
  <c r="Q121" i="11" s="1"/>
  <c r="I83" i="11"/>
  <c r="R19" i="11" l="1"/>
  <c r="R121" i="11" s="1"/>
  <c r="J83" i="11"/>
  <c r="S19" i="11" s="1"/>
  <c r="S121" i="11" s="1"/>
  <c r="D11" i="11" l="1"/>
  <c r="D23" i="11"/>
  <c r="G76" i="11" l="1"/>
  <c r="H76" i="11" s="1"/>
  <c r="I76" i="11" s="1"/>
  <c r="J76" i="11" s="1"/>
  <c r="D76" i="11"/>
  <c r="G75" i="11"/>
  <c r="H75" i="11" s="1"/>
  <c r="I75" i="11" s="1"/>
  <c r="J75" i="11" s="1"/>
  <c r="D75" i="11"/>
  <c r="G74" i="11"/>
  <c r="H74" i="11" s="1"/>
  <c r="I74" i="11" s="1"/>
  <c r="J74" i="11" s="1"/>
  <c r="D74" i="11"/>
  <c r="G72" i="11"/>
  <c r="H72" i="11" s="1"/>
  <c r="I72" i="11" s="1"/>
  <c r="J72" i="11" s="1"/>
  <c r="D72" i="11"/>
  <c r="G71" i="11"/>
  <c r="H71" i="11" s="1"/>
  <c r="I71" i="11" s="1"/>
  <c r="J71" i="11" s="1"/>
  <c r="D71" i="11"/>
  <c r="D10" i="11"/>
  <c r="G70" i="11"/>
  <c r="H70" i="11" s="1"/>
  <c r="I70" i="11" s="1"/>
  <c r="J70" i="11" s="1"/>
  <c r="D70" i="11"/>
  <c r="Q171" i="2" l="1"/>
  <c r="G17" i="11" l="1"/>
  <c r="H17" i="11" s="1"/>
  <c r="I17" i="11" s="1"/>
  <c r="J17" i="11" s="1"/>
  <c r="D17" i="11"/>
  <c r="H129" i="11" l="1"/>
  <c r="I129" i="11" s="1"/>
  <c r="J129" i="11" s="1"/>
  <c r="Q162" i="2" l="1"/>
  <c r="Q65" i="2" l="1"/>
  <c r="Q173" i="2" s="1"/>
  <c r="D53" i="11" l="1"/>
  <c r="D45" i="11" l="1"/>
  <c r="D44" i="11"/>
  <c r="D43" i="11"/>
  <c r="D46" i="11"/>
  <c r="D42" i="11" l="1"/>
  <c r="G22" i="11" l="1"/>
  <c r="H22" i="11" s="1"/>
  <c r="I22" i="11" s="1"/>
  <c r="J22" i="11" s="1"/>
  <c r="D22" i="11"/>
  <c r="D93" i="11" l="1"/>
  <c r="Q10" i="17" l="1"/>
  <c r="O13" i="11" l="1"/>
  <c r="D33" i="11"/>
  <c r="G33" i="11"/>
  <c r="H33" i="11" l="1"/>
  <c r="P13" i="11"/>
  <c r="Q13" i="11" l="1"/>
  <c r="I33" i="11"/>
  <c r="R13" i="11" l="1"/>
  <c r="J33" i="11"/>
  <c r="S13" i="11" s="1"/>
  <c r="T162" i="2" l="1"/>
  <c r="U162" i="2" l="1"/>
  <c r="G20" i="11" l="1"/>
  <c r="D20" i="11"/>
  <c r="H20" i="11" l="1"/>
  <c r="I20" i="11" l="1"/>
  <c r="J20" i="11" l="1"/>
  <c r="T65" i="2" l="1"/>
  <c r="T173" i="2" s="1"/>
  <c r="G49" i="11" l="1"/>
  <c r="H49" i="11" s="1"/>
  <c r="I49" i="11" s="1"/>
  <c r="J49" i="11" s="1"/>
  <c r="D49" i="11"/>
  <c r="D48" i="11"/>
  <c r="G48" i="11"/>
  <c r="H48" i="11" s="1"/>
  <c r="I48" i="11" s="1"/>
  <c r="J48" i="11" s="1"/>
  <c r="H130" i="11" l="1"/>
  <c r="I130" i="11" s="1"/>
  <c r="J130" i="11" s="1"/>
  <c r="H122" i="11" l="1"/>
  <c r="I122" i="11" l="1"/>
  <c r="J122" i="11" s="1"/>
  <c r="D14" i="11"/>
  <c r="G14" i="11"/>
  <c r="H14" i="11" s="1"/>
  <c r="I14" i="11" s="1"/>
  <c r="J14" i="11" s="1"/>
  <c r="H115" i="11" l="1"/>
  <c r="I115" i="11" s="1"/>
  <c r="J115" i="11" s="1"/>
  <c r="D21" i="11" l="1"/>
  <c r="G21" i="11"/>
  <c r="O10" i="11"/>
  <c r="P10" i="11" l="1"/>
  <c r="P112" i="11" s="1"/>
  <c r="H21" i="11"/>
  <c r="O112" i="11"/>
  <c r="Q10" i="11" l="1"/>
  <c r="Q112" i="11" s="1"/>
  <c r="I21" i="11"/>
  <c r="D15" i="11"/>
  <c r="G15" i="11"/>
  <c r="H15" i="11" s="1"/>
  <c r="I15" i="11" s="1"/>
  <c r="J15" i="11" s="1"/>
  <c r="H113" i="11"/>
  <c r="I113" i="11" s="1"/>
  <c r="J113" i="11" s="1"/>
  <c r="R10" i="11" l="1"/>
  <c r="R112" i="11" s="1"/>
  <c r="J21" i="11"/>
  <c r="S10" i="11" s="1"/>
  <c r="S112" i="11" s="1"/>
  <c r="D13" i="11" l="1"/>
  <c r="G13" i="11"/>
  <c r="H13" i="11" s="1"/>
  <c r="I13" i="11" s="1"/>
  <c r="J13" i="11" s="1"/>
  <c r="G38" i="11" l="1"/>
  <c r="H38" i="11" s="1"/>
  <c r="I38" i="11" s="1"/>
  <c r="J38" i="11" s="1"/>
  <c r="D38" i="11"/>
  <c r="D35" i="11"/>
  <c r="G35" i="11"/>
  <c r="H35" i="11" l="1"/>
  <c r="I35" i="11" l="1"/>
  <c r="D50" i="11"/>
  <c r="G50" i="11"/>
  <c r="H50" i="11" s="1"/>
  <c r="I50" i="11" s="1"/>
  <c r="J50" i="11" s="1"/>
  <c r="J35" i="11" l="1"/>
  <c r="H98" i="11" l="1"/>
  <c r="I98" i="11" s="1"/>
  <c r="J98" i="11" s="1"/>
  <c r="G40" i="11" l="1"/>
  <c r="H40" i="11" s="1"/>
  <c r="I40" i="11" s="1"/>
  <c r="J40" i="11" s="1"/>
  <c r="D40" i="11"/>
  <c r="D51" i="11"/>
  <c r="G51" i="11"/>
  <c r="H51" i="11" s="1"/>
  <c r="I51" i="11" s="1"/>
  <c r="J51" i="11" s="1"/>
  <c r="G19" i="11" l="1"/>
  <c r="H19" i="11" s="1"/>
  <c r="I19" i="11" s="1"/>
  <c r="J19" i="11" s="1"/>
  <c r="D19" i="11"/>
  <c r="D52" i="11" l="1"/>
  <c r="H123" i="11" l="1"/>
  <c r="I123" i="11" s="1"/>
  <c r="J123" i="11" s="1"/>
  <c r="D39" i="11" l="1"/>
  <c r="G39" i="11"/>
  <c r="H39" i="11" s="1"/>
  <c r="I39" i="11" s="1"/>
  <c r="J39" i="11" s="1"/>
  <c r="D56" i="11"/>
  <c r="D36" i="11" l="1"/>
  <c r="G36" i="11"/>
  <c r="D111" i="11" l="1"/>
  <c r="H36" i="11"/>
  <c r="D106" i="11"/>
  <c r="D34" i="11"/>
  <c r="I36" i="11" l="1"/>
  <c r="D37" i="11"/>
  <c r="J36" i="11" l="1"/>
  <c r="D112" i="11" l="1"/>
  <c r="D140" i="11" s="1"/>
  <c r="D47" i="11" l="1"/>
  <c r="G47" i="11"/>
  <c r="H47" i="11" s="1"/>
  <c r="I47" i="11" s="1"/>
  <c r="J47" i="11" s="1"/>
  <c r="D26" i="11" l="1"/>
  <c r="V162" i="2" l="1"/>
  <c r="H120" i="11" l="1"/>
  <c r="I120" i="11" s="1"/>
  <c r="J120" i="11" s="1"/>
  <c r="H124" i="11" l="1"/>
  <c r="I124" i="11" s="1"/>
  <c r="J124" i="11" s="1"/>
  <c r="H114" i="11"/>
  <c r="H125" i="11" l="1"/>
  <c r="I125" i="11" s="1"/>
  <c r="J125" i="11" s="1"/>
  <c r="H126" i="11"/>
  <c r="I126" i="11" s="1"/>
  <c r="J126" i="11" s="1"/>
  <c r="I114" i="11"/>
  <c r="H116" i="11"/>
  <c r="I116" i="11" s="1"/>
  <c r="J116" i="11" s="1"/>
  <c r="J114" i="11" l="1"/>
  <c r="H117" i="11"/>
  <c r="I117" i="11" l="1"/>
  <c r="J117" i="11" l="1"/>
  <c r="O115" i="11" l="1"/>
  <c r="F140" i="11" l="1"/>
  <c r="P115" i="11"/>
  <c r="G140" i="11" l="1"/>
  <c r="H119" i="11"/>
  <c r="Q115" i="11" s="1"/>
  <c r="H140" i="11" l="1"/>
  <c r="I119" i="11"/>
  <c r="R115" i="11" s="1"/>
  <c r="I140" i="11" l="1"/>
  <c r="J119" i="11"/>
  <c r="S115" i="11" s="1"/>
  <c r="J140" i="11" l="1"/>
  <c r="M34" i="22" l="1"/>
  <c r="M37" i="22"/>
  <c r="M36" i="22"/>
  <c r="E25" i="13" l="1"/>
  <c r="D25" i="13"/>
  <c r="C25" i="13"/>
  <c r="D24" i="21"/>
  <c r="C24" i="21"/>
  <c r="E24" i="21" l="1"/>
  <c r="D26" i="13" l="1"/>
  <c r="D25" i="21" l="1"/>
  <c r="C26" i="13"/>
  <c r="E26" i="13"/>
  <c r="E25" i="21" l="1"/>
  <c r="C25" i="21"/>
  <c r="U65" i="2" l="1"/>
  <c r="U173" i="2" s="1"/>
  <c r="V65" i="2" l="1"/>
  <c r="O22" i="11" l="1"/>
  <c r="G18" i="11"/>
  <c r="D18" i="11"/>
  <c r="V173" i="2"/>
  <c r="F63" i="11" l="1"/>
  <c r="Q6" i="17"/>
  <c r="H18" i="11"/>
  <c r="P22" i="11"/>
  <c r="P124" i="11" s="1"/>
  <c r="O124" i="11"/>
  <c r="F62" i="11" l="1"/>
  <c r="D62" i="11" s="1"/>
  <c r="F60" i="11"/>
  <c r="D60" i="11" s="1"/>
  <c r="F61" i="11"/>
  <c r="D61" i="11" s="1"/>
  <c r="F67" i="11"/>
  <c r="F64" i="11"/>
  <c r="F65" i="11"/>
  <c r="F66" i="11"/>
  <c r="I18" i="11"/>
  <c r="Q22" i="11"/>
  <c r="Q124" i="11" s="1"/>
  <c r="O9" i="11" l="1"/>
  <c r="G60" i="11"/>
  <c r="F85" i="11"/>
  <c r="O18" i="11"/>
  <c r="G61" i="11"/>
  <c r="G66" i="11"/>
  <c r="D66" i="11"/>
  <c r="O14" i="11"/>
  <c r="G64" i="11"/>
  <c r="D64" i="11"/>
  <c r="O16" i="11"/>
  <c r="O12" i="11"/>
  <c r="G62" i="11"/>
  <c r="G65" i="11"/>
  <c r="O15" i="11"/>
  <c r="D65" i="11"/>
  <c r="O21" i="11"/>
  <c r="G67" i="11"/>
  <c r="D67" i="11"/>
  <c r="G63" i="11"/>
  <c r="D63" i="11"/>
  <c r="O11" i="11"/>
  <c r="R22" i="11"/>
  <c r="R124" i="11" s="1"/>
  <c r="J18" i="11"/>
  <c r="D85" i="11" l="1"/>
  <c r="O117" i="11"/>
  <c r="O114" i="11"/>
  <c r="P18" i="11"/>
  <c r="P120" i="11" s="1"/>
  <c r="H61" i="11"/>
  <c r="O120" i="11"/>
  <c r="O113" i="11"/>
  <c r="H66" i="11"/>
  <c r="P14" i="11"/>
  <c r="P116" i="11" s="1"/>
  <c r="P12" i="11"/>
  <c r="P114" i="11" s="1"/>
  <c r="H62" i="11"/>
  <c r="P11" i="11"/>
  <c r="P113" i="11" s="1"/>
  <c r="H63" i="11"/>
  <c r="H67" i="11"/>
  <c r="P21" i="11"/>
  <c r="P123" i="11" s="1"/>
  <c r="O118" i="11"/>
  <c r="O123" i="11"/>
  <c r="H64" i="11"/>
  <c r="P16" i="11"/>
  <c r="P118" i="11" s="1"/>
  <c r="H60" i="11"/>
  <c r="P9" i="11"/>
  <c r="G85" i="11"/>
  <c r="H65" i="11"/>
  <c r="P15" i="11"/>
  <c r="P117" i="11" s="1"/>
  <c r="S22" i="11"/>
  <c r="S124" i="11" s="1"/>
  <c r="O116" i="11"/>
  <c r="O23" i="11"/>
  <c r="O111" i="11"/>
  <c r="O125" i="11" l="1"/>
  <c r="I65" i="11"/>
  <c r="Q15" i="11"/>
  <c r="Q117" i="11" s="1"/>
  <c r="Q11" i="11"/>
  <c r="Q113" i="11" s="1"/>
  <c r="I63" i="11"/>
  <c r="P111" i="11"/>
  <c r="P125" i="11" s="1"/>
  <c r="P23" i="11"/>
  <c r="I62" i="11"/>
  <c r="Q12" i="11"/>
  <c r="Q114" i="11" s="1"/>
  <c r="I64" i="11"/>
  <c r="Q16" i="11"/>
  <c r="Q118" i="11" s="1"/>
  <c r="Q14" i="11"/>
  <c r="Q116" i="11" s="1"/>
  <c r="I66" i="11"/>
  <c r="I60" i="11"/>
  <c r="Q9" i="11"/>
  <c r="H85" i="11"/>
  <c r="I61" i="11"/>
  <c r="Q18" i="11"/>
  <c r="Q120" i="11" s="1"/>
  <c r="Q21" i="11"/>
  <c r="Q123" i="11" s="1"/>
  <c r="I67" i="11"/>
  <c r="R15" i="11" l="1"/>
  <c r="R117" i="11" s="1"/>
  <c r="J65" i="11"/>
  <c r="S15" i="11" s="1"/>
  <c r="S117" i="11" s="1"/>
  <c r="J60" i="11"/>
  <c r="R9" i="11"/>
  <c r="I85" i="11"/>
  <c r="R16" i="11"/>
  <c r="R118" i="11" s="1"/>
  <c r="J64" i="11"/>
  <c r="S16" i="11" s="1"/>
  <c r="S118" i="11" s="1"/>
  <c r="R12" i="11"/>
  <c r="R114" i="11" s="1"/>
  <c r="J62" i="11"/>
  <c r="S12" i="11" s="1"/>
  <c r="S114" i="11" s="1"/>
  <c r="Q111" i="11"/>
  <c r="Q125" i="11" s="1"/>
  <c r="Q23" i="11"/>
  <c r="J63" i="11"/>
  <c r="S11" i="11" s="1"/>
  <c r="S113" i="11" s="1"/>
  <c r="R11" i="11"/>
  <c r="R113" i="11" s="1"/>
  <c r="Q20" i="17"/>
  <c r="P127" i="11"/>
  <c r="Q19" i="17"/>
  <c r="O127" i="11"/>
  <c r="R21" i="11"/>
  <c r="R123" i="11" s="1"/>
  <c r="J67" i="11"/>
  <c r="S21" i="11" s="1"/>
  <c r="S123" i="11" s="1"/>
  <c r="R18" i="11"/>
  <c r="R120" i="11" s="1"/>
  <c r="J61" i="11"/>
  <c r="S18" i="11" s="1"/>
  <c r="S120" i="11" s="1"/>
  <c r="J66" i="11"/>
  <c r="S14" i="11" s="1"/>
  <c r="S116" i="11" s="1"/>
  <c r="R14" i="11"/>
  <c r="R116" i="11" s="1"/>
  <c r="Q127" i="11" l="1"/>
  <c r="Q21" i="17"/>
  <c r="R23" i="11"/>
  <c r="R111" i="11"/>
  <c r="R125" i="11" s="1"/>
  <c r="S9" i="11"/>
  <c r="J85" i="11"/>
  <c r="R127" i="11" l="1"/>
  <c r="Q22" i="17"/>
  <c r="S23" i="11"/>
  <c r="S111" i="11"/>
  <c r="S125" i="11" s="1"/>
  <c r="Q23" i="17" l="1"/>
  <c r="S127" i="11"/>
  <c r="C34" i="4" l="1"/>
  <c r="C34" i="14" s="1"/>
  <c r="C35" i="4"/>
  <c r="C35" i="14" s="1"/>
  <c r="C31" i="4"/>
  <c r="C32" i="4"/>
  <c r="C32" i="14" s="1"/>
  <c r="C31" i="14" l="1"/>
  <c r="C24" i="20" l="1"/>
  <c r="C23" i="20"/>
  <c r="C23" i="22" s="1"/>
  <c r="C25" i="20"/>
  <c r="C25" i="22" s="1"/>
  <c r="C22" i="20"/>
  <c r="C37" i="20" l="1"/>
  <c r="D101" i="10" s="1"/>
  <c r="C22" i="22"/>
  <c r="C38" i="20"/>
  <c r="D102" i="10" s="1"/>
  <c r="C36" i="20"/>
  <c r="C24" i="22"/>
  <c r="D37" i="20"/>
  <c r="D107" i="10" s="1"/>
  <c r="D36" i="20"/>
  <c r="D38" i="20"/>
  <c r="D108" i="10" s="1"/>
  <c r="D38" i="22" l="1"/>
  <c r="D103" i="12" s="1"/>
  <c r="D37" i="22"/>
  <c r="D102" i="12" s="1"/>
  <c r="D36" i="22"/>
  <c r="C39" i="20"/>
  <c r="D100" i="10"/>
  <c r="D96" i="10"/>
  <c r="C38" i="22"/>
  <c r="D97" i="12" s="1"/>
  <c r="C36" i="22"/>
  <c r="C37" i="22"/>
  <c r="D96" i="12" s="1"/>
  <c r="D106" i="10"/>
  <c r="D39" i="20"/>
  <c r="D95" i="10"/>
  <c r="D94" i="10" l="1"/>
  <c r="D95" i="12"/>
  <c r="C39" i="22"/>
  <c r="D91" i="12"/>
  <c r="D39" i="22"/>
  <c r="D101" i="12"/>
  <c r="D90" i="12"/>
  <c r="AE26" i="19"/>
  <c r="Y30" i="21" s="1"/>
  <c r="D89" i="12" l="1"/>
  <c r="AC26" i="19" l="1"/>
  <c r="D33" i="10" l="1"/>
  <c r="W30" i="21"/>
  <c r="D28" i="12" s="1"/>
  <c r="N33" i="10" l="1"/>
  <c r="M28" i="12" s="1"/>
  <c r="C30" i="24" l="1"/>
  <c r="C30" i="25" s="1"/>
  <c r="C31" i="24"/>
  <c r="C31" i="25" s="1"/>
  <c r="C33" i="24"/>
  <c r="C33" i="25" s="1"/>
  <c r="C27" i="24"/>
  <c r="C27" i="25" s="1"/>
  <c r="C25" i="24"/>
  <c r="C32" i="24"/>
  <c r="C32" i="25" s="1"/>
  <c r="C26" i="24"/>
  <c r="C26" i="25" s="1"/>
  <c r="C28" i="24"/>
  <c r="C28" i="25" s="1"/>
  <c r="C25" i="25" l="1"/>
  <c r="C39" i="24" l="1"/>
  <c r="C39" i="25" s="1"/>
  <c r="C38" i="24"/>
  <c r="C38" i="25" s="1"/>
  <c r="C37" i="24"/>
  <c r="C45" i="24"/>
  <c r="C45" i="25" s="1"/>
  <c r="C42" i="24"/>
  <c r="C40" i="24"/>
  <c r="C40" i="25" s="1"/>
  <c r="C43" i="24"/>
  <c r="C43" i="25" s="1"/>
  <c r="C44" i="24"/>
  <c r="C44" i="25" s="1"/>
  <c r="C37" i="25" l="1"/>
  <c r="C42" i="25"/>
  <c r="AE26" i="3" l="1"/>
  <c r="AB31" i="13" s="1"/>
  <c r="AC26" i="3"/>
  <c r="Z31" i="13" l="1"/>
  <c r="D27" i="12" s="1"/>
  <c r="D32" i="10"/>
  <c r="N32" i="10" l="1"/>
  <c r="M27" i="12" s="1"/>
  <c r="AE27" i="3" l="1"/>
  <c r="AB32" i="13" s="1"/>
  <c r="AE27" i="19"/>
  <c r="Y31" i="21" s="1"/>
  <c r="AC27" i="3"/>
  <c r="AC27" i="19"/>
  <c r="W31" i="21" s="1"/>
  <c r="Z32" i="13" l="1"/>
  <c r="D29" i="12" s="1"/>
  <c r="D34" i="10"/>
  <c r="N34" i="10" s="1"/>
  <c r="M29" i="12" s="1"/>
  <c r="N37" i="20" l="1"/>
  <c r="N37" i="22" s="1"/>
  <c r="N35" i="20"/>
  <c r="N35" i="22" s="1"/>
  <c r="N36" i="20"/>
  <c r="N36" i="22" s="1"/>
  <c r="N34" i="20"/>
  <c r="N34" i="22" l="1"/>
  <c r="AA8" i="4" l="1"/>
  <c r="AA8" i="24" l="1"/>
  <c r="AA8" i="25" s="1"/>
  <c r="AA8" i="14"/>
  <c r="AA15" i="4" l="1"/>
  <c r="AA18" i="24" l="1"/>
  <c r="AA13" i="25" s="1"/>
  <c r="AA13" i="14"/>
  <c r="AA8" i="20" l="1"/>
  <c r="AA8" i="22" l="1"/>
  <c r="AA15" i="20" l="1"/>
  <c r="AA13" i="22" l="1"/>
  <c r="Q7" i="4" l="1"/>
  <c r="Q10" i="4"/>
  <c r="Q9" i="4"/>
  <c r="Q8" i="4"/>
  <c r="D32" i="4" l="1"/>
  <c r="D32" i="14" s="1"/>
  <c r="Q9" i="14"/>
  <c r="R9" i="4"/>
  <c r="R9" i="14" s="1"/>
  <c r="Q10" i="14"/>
  <c r="D35" i="4"/>
  <c r="D35" i="14" s="1"/>
  <c r="R10" i="4"/>
  <c r="R10" i="14" s="1"/>
  <c r="D31" i="4"/>
  <c r="D31" i="14" s="1"/>
  <c r="R7" i="4"/>
  <c r="R7" i="14" s="1"/>
  <c r="Q7" i="14"/>
  <c r="R8" i="4"/>
  <c r="R8" i="14" s="1"/>
  <c r="D34" i="4"/>
  <c r="D34" i="14" s="1"/>
  <c r="Q8" i="14"/>
  <c r="F13" i="20" l="1"/>
  <c r="F7" i="20"/>
  <c r="F11" i="20"/>
  <c r="F9" i="20"/>
  <c r="G9" i="20" l="1"/>
  <c r="F9" i="22"/>
  <c r="D23" i="20"/>
  <c r="D23" i="22" s="1"/>
  <c r="D24" i="20"/>
  <c r="F11" i="22"/>
  <c r="G11" i="20"/>
  <c r="F7" i="22"/>
  <c r="D22" i="20"/>
  <c r="G7" i="20"/>
  <c r="D25" i="20"/>
  <c r="D25" i="22" s="1"/>
  <c r="G13" i="20"/>
  <c r="F13" i="22"/>
  <c r="G11" i="22" l="1"/>
  <c r="F36" i="20"/>
  <c r="D24" i="22"/>
  <c r="F38" i="20"/>
  <c r="E108" i="10" s="1"/>
  <c r="F37" i="20"/>
  <c r="E107" i="10" s="1"/>
  <c r="D22" i="22"/>
  <c r="E38" i="20"/>
  <c r="E102" i="10" s="1"/>
  <c r="E37" i="20"/>
  <c r="E101" i="10" s="1"/>
  <c r="E36" i="20"/>
  <c r="G13" i="22"/>
  <c r="G7" i="22"/>
  <c r="G9" i="22"/>
  <c r="E96" i="10" l="1"/>
  <c r="E95" i="10"/>
  <c r="E36" i="22"/>
  <c r="E37" i="22"/>
  <c r="E96" i="12" s="1"/>
  <c r="E38" i="22"/>
  <c r="E97" i="12" s="1"/>
  <c r="F36" i="22"/>
  <c r="F38" i="22"/>
  <c r="E103" i="12" s="1"/>
  <c r="F37" i="22"/>
  <c r="E102" i="12" s="1"/>
  <c r="E106" i="10"/>
  <c r="F39" i="20"/>
  <c r="Z8" i="20"/>
  <c r="E100" i="10"/>
  <c r="E39" i="20"/>
  <c r="E94" i="10" l="1"/>
  <c r="Z15" i="20"/>
  <c r="Q181" i="28"/>
  <c r="E101" i="12"/>
  <c r="F39" i="22"/>
  <c r="E91" i="12"/>
  <c r="E90" i="12"/>
  <c r="Z8" i="22"/>
  <c r="E39" i="22"/>
  <c r="E95" i="12"/>
  <c r="E89" i="12" l="1"/>
  <c r="AF26" i="19"/>
  <c r="Z13" i="22"/>
  <c r="Y13" i="22" s="1"/>
  <c r="Y15" i="20"/>
  <c r="Y8" i="20"/>
  <c r="Z30" i="21" l="1"/>
  <c r="AC16" i="20"/>
  <c r="AC12" i="22" s="1"/>
  <c r="AD26" i="19"/>
  <c r="Y8" i="22"/>
  <c r="X30" i="21" l="1"/>
  <c r="H24" i="19"/>
  <c r="E33" i="10" l="1"/>
  <c r="E28" i="12"/>
  <c r="G29" i="21"/>
  <c r="F7" i="24" l="1"/>
  <c r="Q14" i="4"/>
  <c r="F12" i="24"/>
  <c r="F15" i="24"/>
  <c r="F14" i="24"/>
  <c r="F13" i="24"/>
  <c r="F8" i="24"/>
  <c r="F10" i="24"/>
  <c r="Q17" i="24"/>
  <c r="F9" i="24"/>
  <c r="D26" i="24" l="1"/>
  <c r="D26" i="25" s="1"/>
  <c r="F8" i="25"/>
  <c r="G8" i="24"/>
  <c r="F7" i="25"/>
  <c r="G7" i="24"/>
  <c r="D25" i="24"/>
  <c r="D25" i="25" s="1"/>
  <c r="Q17" i="25"/>
  <c r="Q18" i="25" s="1"/>
  <c r="Q18" i="24"/>
  <c r="F15" i="25"/>
  <c r="G15" i="24"/>
  <c r="D33" i="24"/>
  <c r="D33" i="25" s="1"/>
  <c r="Q15" i="4"/>
  <c r="Q14" i="14"/>
  <c r="Q15" i="14" s="1"/>
  <c r="D27" i="24"/>
  <c r="D27" i="25" s="1"/>
  <c r="G9" i="24"/>
  <c r="F9" i="25"/>
  <c r="D28" i="24"/>
  <c r="D28" i="25" s="1"/>
  <c r="F10" i="25"/>
  <c r="G10" i="24"/>
  <c r="F12" i="25"/>
  <c r="D30" i="24"/>
  <c r="D30" i="25" s="1"/>
  <c r="G12" i="24"/>
  <c r="D31" i="24"/>
  <c r="D31" i="25" s="1"/>
  <c r="F13" i="25"/>
  <c r="G13" i="24"/>
  <c r="G14" i="24"/>
  <c r="D32" i="24"/>
  <c r="D32" i="25" s="1"/>
  <c r="F14" i="25"/>
  <c r="G13" i="25" l="1"/>
  <c r="G9" i="25"/>
  <c r="G14" i="25"/>
  <c r="G10" i="25"/>
  <c r="G15" i="25"/>
  <c r="G7" i="25"/>
  <c r="M94" i="14"/>
  <c r="L96" i="14"/>
  <c r="N93" i="14"/>
  <c r="O76" i="14"/>
  <c r="O93" i="14"/>
  <c r="M76" i="14"/>
  <c r="N76" i="14"/>
  <c r="N75" i="14"/>
  <c r="D74" i="14"/>
  <c r="E54" i="14"/>
  <c r="C73" i="14"/>
  <c r="O74" i="14"/>
  <c r="C53" i="14"/>
  <c r="F76" i="14"/>
  <c r="E74" i="14"/>
  <c r="F55" i="14"/>
  <c r="C94" i="14"/>
  <c r="E75" i="14"/>
  <c r="L93" i="14"/>
  <c r="M95" i="14"/>
  <c r="O95" i="14"/>
  <c r="L54" i="14"/>
  <c r="E73" i="14"/>
  <c r="N96" i="14"/>
  <c r="L94" i="14"/>
  <c r="O54" i="14"/>
  <c r="C95" i="14"/>
  <c r="M73" i="14"/>
  <c r="D75" i="14"/>
  <c r="O94" i="14"/>
  <c r="C55" i="14"/>
  <c r="E93" i="14"/>
  <c r="L56" i="14"/>
  <c r="C76" i="14"/>
  <c r="F95" i="14"/>
  <c r="M53" i="14"/>
  <c r="C56" i="14"/>
  <c r="N55" i="14"/>
  <c r="N56" i="14"/>
  <c r="D53" i="14"/>
  <c r="N94" i="14"/>
  <c r="O73" i="14"/>
  <c r="D55" i="14"/>
  <c r="M93" i="14"/>
  <c r="L73" i="14"/>
  <c r="D54" i="14"/>
  <c r="M96" i="14"/>
  <c r="M56" i="14"/>
  <c r="O53" i="14"/>
  <c r="N53" i="14"/>
  <c r="N95" i="14"/>
  <c r="C54" i="14"/>
  <c r="F96" i="14"/>
  <c r="L75" i="14"/>
  <c r="L95" i="14"/>
  <c r="C96" i="14"/>
  <c r="E95" i="14"/>
  <c r="D56" i="14"/>
  <c r="O75" i="14"/>
  <c r="C93" i="14"/>
  <c r="E96" i="14"/>
  <c r="L74" i="14"/>
  <c r="O55" i="14"/>
  <c r="D76" i="14"/>
  <c r="F54" i="14"/>
  <c r="D95" i="14"/>
  <c r="E55" i="14"/>
  <c r="L55" i="14"/>
  <c r="D73" i="14"/>
  <c r="D93" i="14"/>
  <c r="F94" i="14"/>
  <c r="M74" i="14"/>
  <c r="D96" i="14"/>
  <c r="D94" i="14"/>
  <c r="E53" i="14"/>
  <c r="N73" i="14"/>
  <c r="O96" i="14"/>
  <c r="O56" i="14"/>
  <c r="N54" i="14"/>
  <c r="F73" i="14"/>
  <c r="C74" i="14"/>
  <c r="L53" i="14"/>
  <c r="F56" i="14"/>
  <c r="N74" i="14"/>
  <c r="C75" i="14"/>
  <c r="F74" i="14"/>
  <c r="M75" i="14"/>
  <c r="M54" i="14"/>
  <c r="F53" i="14"/>
  <c r="F75" i="14"/>
  <c r="F93" i="14"/>
  <c r="L76" i="14"/>
  <c r="M55" i="14"/>
  <c r="E56" i="14"/>
  <c r="E94" i="14"/>
  <c r="E76" i="14"/>
  <c r="N82" i="24"/>
  <c r="C103" i="24"/>
  <c r="N63" i="24"/>
  <c r="D83" i="24"/>
  <c r="O101" i="24"/>
  <c r="O82" i="24"/>
  <c r="N102" i="24"/>
  <c r="C64" i="24"/>
  <c r="N81" i="24"/>
  <c r="D82" i="24"/>
  <c r="O81" i="24"/>
  <c r="O84" i="24"/>
  <c r="C84" i="24"/>
  <c r="N103" i="24"/>
  <c r="N61" i="24"/>
  <c r="O62" i="24"/>
  <c r="D103" i="24"/>
  <c r="D102" i="24"/>
  <c r="C101" i="24"/>
  <c r="C62" i="24"/>
  <c r="C82" i="24"/>
  <c r="O83" i="24"/>
  <c r="D104" i="24"/>
  <c r="O64" i="24"/>
  <c r="N84" i="24"/>
  <c r="N101" i="24"/>
  <c r="C61" i="24"/>
  <c r="D64" i="24"/>
  <c r="O63" i="24"/>
  <c r="O61" i="24"/>
  <c r="N64" i="24"/>
  <c r="N83" i="24"/>
  <c r="N104" i="24"/>
  <c r="O103" i="24"/>
  <c r="D63" i="24"/>
  <c r="D101" i="24"/>
  <c r="C63" i="24"/>
  <c r="C102" i="24"/>
  <c r="C104" i="24"/>
  <c r="O102" i="24"/>
  <c r="D61" i="24"/>
  <c r="D84" i="24"/>
  <c r="N62" i="24"/>
  <c r="C83" i="24"/>
  <c r="C81" i="24"/>
  <c r="D62" i="24"/>
  <c r="O104" i="24"/>
  <c r="D81" i="24"/>
  <c r="P95" i="4"/>
  <c r="N76" i="4"/>
  <c r="P75" i="4"/>
  <c r="E53" i="4"/>
  <c r="D95" i="4"/>
  <c r="P93" i="4"/>
  <c r="F55" i="4"/>
  <c r="C54" i="4"/>
  <c r="Q73" i="4"/>
  <c r="C74" i="4"/>
  <c r="O54" i="4"/>
  <c r="Q55" i="4"/>
  <c r="Q94" i="4"/>
  <c r="O74" i="4"/>
  <c r="D76" i="4"/>
  <c r="E54" i="4"/>
  <c r="Q96" i="4"/>
  <c r="Q95" i="4"/>
  <c r="O56" i="4"/>
  <c r="F76" i="4"/>
  <c r="C73" i="4"/>
  <c r="E93" i="4"/>
  <c r="N94" i="4"/>
  <c r="N55" i="4"/>
  <c r="F75" i="4"/>
  <c r="O95" i="4"/>
  <c r="P73" i="4"/>
  <c r="P54" i="4"/>
  <c r="D94" i="4"/>
  <c r="E95" i="4"/>
  <c r="N96" i="4"/>
  <c r="Q76" i="4"/>
  <c r="E96" i="4"/>
  <c r="E75" i="4"/>
  <c r="P56" i="4"/>
  <c r="C94" i="4"/>
  <c r="C56" i="4"/>
  <c r="P55" i="4"/>
  <c r="P76" i="4"/>
  <c r="O55" i="4"/>
  <c r="P96" i="4"/>
  <c r="F95" i="4"/>
  <c r="Q75" i="4"/>
  <c r="E55" i="4"/>
  <c r="N74" i="4"/>
  <c r="F73" i="4"/>
  <c r="C55" i="4"/>
  <c r="F96" i="4"/>
  <c r="D53" i="4"/>
  <c r="O53" i="4"/>
  <c r="O93" i="4"/>
  <c r="O73" i="4"/>
  <c r="O94" i="4"/>
  <c r="D55" i="4"/>
  <c r="N56" i="4"/>
  <c r="N54" i="4"/>
  <c r="N73" i="4"/>
  <c r="E74" i="4"/>
  <c r="E76" i="4"/>
  <c r="D74" i="4"/>
  <c r="Q56" i="4"/>
  <c r="F74" i="4"/>
  <c r="Q74" i="4"/>
  <c r="D56" i="4"/>
  <c r="N93" i="4"/>
  <c r="E56" i="4"/>
  <c r="N53" i="4"/>
  <c r="C75" i="4"/>
  <c r="F54" i="4"/>
  <c r="D54" i="4"/>
  <c r="Q54" i="4"/>
  <c r="D93" i="4"/>
  <c r="E73" i="4"/>
  <c r="N95" i="4"/>
  <c r="P74" i="4"/>
  <c r="Q53" i="4"/>
  <c r="O96" i="4"/>
  <c r="N75" i="4"/>
  <c r="F94" i="4"/>
  <c r="D73" i="4"/>
  <c r="C53" i="4"/>
  <c r="C93" i="4"/>
  <c r="Q93" i="4"/>
  <c r="E94" i="4"/>
  <c r="C95" i="4"/>
  <c r="F53" i="4"/>
  <c r="F93" i="4"/>
  <c r="D75" i="4"/>
  <c r="O75" i="4"/>
  <c r="P94" i="4"/>
  <c r="C76" i="4"/>
  <c r="P53" i="4"/>
  <c r="D96" i="4"/>
  <c r="C96" i="4"/>
  <c r="F56" i="4"/>
  <c r="O76" i="4"/>
  <c r="D101" i="25"/>
  <c r="D84" i="25"/>
  <c r="D148" i="25" s="1"/>
  <c r="D102" i="25"/>
  <c r="C104" i="25"/>
  <c r="N61" i="25"/>
  <c r="N104" i="25"/>
  <c r="O64" i="25"/>
  <c r="O63" i="25"/>
  <c r="O127" i="25" s="1"/>
  <c r="D63" i="25"/>
  <c r="D127" i="25" s="1"/>
  <c r="C102" i="25"/>
  <c r="C166" i="25" s="1"/>
  <c r="C101" i="25"/>
  <c r="C81" i="25"/>
  <c r="D62" i="25"/>
  <c r="D126" i="25" s="1"/>
  <c r="D61" i="25"/>
  <c r="D104" i="25"/>
  <c r="C83" i="25"/>
  <c r="C147" i="25" s="1"/>
  <c r="C64" i="25"/>
  <c r="C128" i="25" s="1"/>
  <c r="N64" i="25"/>
  <c r="N128" i="25" s="1"/>
  <c r="D83" i="25"/>
  <c r="D147" i="25" s="1"/>
  <c r="O83" i="25"/>
  <c r="O103" i="25"/>
  <c r="C61" i="25"/>
  <c r="N102" i="25"/>
  <c r="C84" i="25"/>
  <c r="O84" i="25"/>
  <c r="O148" i="25" s="1"/>
  <c r="O102" i="25"/>
  <c r="O166" i="25" s="1"/>
  <c r="D81" i="25"/>
  <c r="N84" i="25"/>
  <c r="N148" i="25" s="1"/>
  <c r="N63" i="25"/>
  <c r="N127" i="25" s="1"/>
  <c r="C62" i="25"/>
  <c r="C126" i="25" s="1"/>
  <c r="D103" i="25"/>
  <c r="D64" i="25"/>
  <c r="O82" i="25"/>
  <c r="N82" i="25"/>
  <c r="N146" i="25" s="1"/>
  <c r="C82" i="25"/>
  <c r="N62" i="25"/>
  <c r="N126" i="25" s="1"/>
  <c r="O104" i="25"/>
  <c r="O62" i="25"/>
  <c r="O61" i="25"/>
  <c r="N81" i="25"/>
  <c r="N103" i="25"/>
  <c r="C103" i="25"/>
  <c r="C167" i="25" s="1"/>
  <c r="O101" i="25"/>
  <c r="D82" i="25"/>
  <c r="O81" i="25"/>
  <c r="N83" i="25"/>
  <c r="N147" i="25" s="1"/>
  <c r="C63" i="25"/>
  <c r="C127" i="25" s="1"/>
  <c r="N101" i="25"/>
  <c r="G12" i="25"/>
  <c r="G8" i="25"/>
  <c r="Q14" i="24"/>
  <c r="Q13" i="24"/>
  <c r="Q10" i="24"/>
  <c r="Q8" i="24"/>
  <c r="Q7" i="24"/>
  <c r="Q9" i="24"/>
  <c r="Q12" i="24"/>
  <c r="Q15" i="24"/>
  <c r="O167" i="25" l="1"/>
  <c r="D128" i="25"/>
  <c r="C148" i="25"/>
  <c r="D167" i="25"/>
  <c r="N168" i="25"/>
  <c r="N166" i="25"/>
  <c r="D168" i="25"/>
  <c r="D146" i="25"/>
  <c r="C146" i="25"/>
  <c r="N167" i="25"/>
  <c r="O146" i="25"/>
  <c r="O128" i="25"/>
  <c r="O168" i="25"/>
  <c r="O147" i="25"/>
  <c r="C168" i="25"/>
  <c r="O126" i="25"/>
  <c r="D166" i="25"/>
  <c r="D39" i="24"/>
  <c r="D39" i="25" s="1"/>
  <c r="R9" i="24"/>
  <c r="Q9" i="25"/>
  <c r="R9" i="25" s="1"/>
  <c r="Q7" i="25"/>
  <c r="R7" i="25" s="1"/>
  <c r="R7" i="24"/>
  <c r="D37" i="24"/>
  <c r="Q15" i="25"/>
  <c r="R15" i="25" s="1"/>
  <c r="D45" i="24"/>
  <c r="D45" i="25" s="1"/>
  <c r="R15" i="24"/>
  <c r="Q12" i="25"/>
  <c r="R12" i="25" s="1"/>
  <c r="D42" i="24"/>
  <c r="R12" i="24"/>
  <c r="Q8" i="25"/>
  <c r="R8" i="25" s="1"/>
  <c r="D38" i="24"/>
  <c r="D38" i="25" s="1"/>
  <c r="R8" i="24"/>
  <c r="C145" i="25"/>
  <c r="C85" i="25"/>
  <c r="F97" i="4"/>
  <c r="E88" i="10"/>
  <c r="D126" i="24"/>
  <c r="C166" i="24"/>
  <c r="O65" i="24"/>
  <c r="O125" i="24"/>
  <c r="O147" i="24"/>
  <c r="N167" i="24"/>
  <c r="O146" i="24"/>
  <c r="N59" i="12"/>
  <c r="N77" i="14"/>
  <c r="C97" i="14"/>
  <c r="D77" i="12"/>
  <c r="M83" i="12"/>
  <c r="M97" i="14"/>
  <c r="M47" i="12"/>
  <c r="M57" i="14"/>
  <c r="M65" i="12"/>
  <c r="M77" i="14"/>
  <c r="O85" i="25"/>
  <c r="O145" i="25"/>
  <c r="C165" i="25"/>
  <c r="C105" i="25"/>
  <c r="E70" i="10"/>
  <c r="F77" i="4"/>
  <c r="E82" i="10"/>
  <c r="E97" i="4"/>
  <c r="O82" i="10"/>
  <c r="P97" i="4"/>
  <c r="C85" i="24"/>
  <c r="C145" i="24"/>
  <c r="C127" i="24"/>
  <c r="O127" i="24"/>
  <c r="C146" i="24"/>
  <c r="C148" i="24"/>
  <c r="O105" i="24"/>
  <c r="O165" i="24"/>
  <c r="E83" i="12"/>
  <c r="F97" i="14"/>
  <c r="E41" i="12"/>
  <c r="E57" i="14"/>
  <c r="M77" i="12"/>
  <c r="L97" i="14"/>
  <c r="C77" i="14"/>
  <c r="D59" i="12"/>
  <c r="N77" i="12"/>
  <c r="N97" i="14"/>
  <c r="O125" i="25"/>
  <c r="O65" i="25"/>
  <c r="D125" i="25"/>
  <c r="D65" i="25"/>
  <c r="N125" i="25"/>
  <c r="N65" i="25"/>
  <c r="C77" i="4"/>
  <c r="D64" i="10"/>
  <c r="C147" i="24"/>
  <c r="D165" i="24"/>
  <c r="D105" i="24"/>
  <c r="D128" i="24"/>
  <c r="C126" i="24"/>
  <c r="O148" i="24"/>
  <c r="D147" i="24"/>
  <c r="M41" i="12"/>
  <c r="L57" i="14"/>
  <c r="N41" i="12"/>
  <c r="N57" i="14"/>
  <c r="O77" i="14"/>
  <c r="N65" i="12"/>
  <c r="O105" i="25"/>
  <c r="O169" i="25" s="1"/>
  <c r="O165" i="25"/>
  <c r="O46" i="10"/>
  <c r="P57" i="4"/>
  <c r="Q57" i="4"/>
  <c r="O52" i="10"/>
  <c r="N70" i="10"/>
  <c r="O77" i="4"/>
  <c r="E57" i="4"/>
  <c r="E46" i="10"/>
  <c r="N126" i="24"/>
  <c r="D127" i="24"/>
  <c r="C125" i="24"/>
  <c r="C65" i="24"/>
  <c r="C165" i="24"/>
  <c r="C105" i="24"/>
  <c r="O85" i="24"/>
  <c r="O145" i="24"/>
  <c r="N127" i="24"/>
  <c r="E47" i="12"/>
  <c r="F57" i="14"/>
  <c r="N47" i="12"/>
  <c r="O57" i="14"/>
  <c r="N85" i="25"/>
  <c r="N145" i="25"/>
  <c r="E52" i="10"/>
  <c r="F57" i="4"/>
  <c r="D40" i="24"/>
  <c r="D40" i="25" s="1"/>
  <c r="Q10" i="25"/>
  <c r="R10" i="25" s="1"/>
  <c r="R10" i="24"/>
  <c r="Q97" i="4"/>
  <c r="O88" i="10"/>
  <c r="N46" i="10"/>
  <c r="N57" i="4"/>
  <c r="O97" i="4"/>
  <c r="N88" i="10"/>
  <c r="P77" i="4"/>
  <c r="O64" i="10"/>
  <c r="D148" i="24"/>
  <c r="O167" i="24"/>
  <c r="N105" i="24"/>
  <c r="N165" i="24"/>
  <c r="D166" i="24"/>
  <c r="D146" i="24"/>
  <c r="C167" i="24"/>
  <c r="E65" i="12"/>
  <c r="F77" i="14"/>
  <c r="D47" i="12"/>
  <c r="D57" i="14"/>
  <c r="E97" i="14"/>
  <c r="E77" i="12"/>
  <c r="D85" i="25"/>
  <c r="D145" i="25"/>
  <c r="D82" i="10"/>
  <c r="C97" i="4"/>
  <c r="N52" i="10"/>
  <c r="O57" i="4"/>
  <c r="D125" i="24"/>
  <c r="D65" i="24"/>
  <c r="N168" i="24"/>
  <c r="N148" i="24"/>
  <c r="D167" i="24"/>
  <c r="N145" i="24"/>
  <c r="N85" i="24"/>
  <c r="N146" i="24"/>
  <c r="E77" i="14"/>
  <c r="E59" i="12"/>
  <c r="Q14" i="25"/>
  <c r="R14" i="25" s="1"/>
  <c r="D44" i="24"/>
  <c r="D44" i="25" s="1"/>
  <c r="R14" i="24"/>
  <c r="N105" i="25"/>
  <c r="N165" i="25"/>
  <c r="C65" i="25"/>
  <c r="C125" i="25"/>
  <c r="D105" i="25"/>
  <c r="D165" i="25"/>
  <c r="D46" i="10"/>
  <c r="C57" i="4"/>
  <c r="E64" i="10"/>
  <c r="E77" i="4"/>
  <c r="N97" i="4"/>
  <c r="N82" i="10"/>
  <c r="N64" i="10"/>
  <c r="N77" i="4"/>
  <c r="D57" i="4"/>
  <c r="D52" i="10"/>
  <c r="Q77" i="4"/>
  <c r="O70" i="10"/>
  <c r="D85" i="24"/>
  <c r="D145" i="24"/>
  <c r="O166" i="24"/>
  <c r="N147" i="24"/>
  <c r="O128" i="24"/>
  <c r="O126" i="24"/>
  <c r="C128" i="24"/>
  <c r="D83" i="12"/>
  <c r="D97" i="14"/>
  <c r="Q13" i="25"/>
  <c r="R13" i="25" s="1"/>
  <c r="D43" i="24"/>
  <c r="D43" i="25" s="1"/>
  <c r="R13" i="24"/>
  <c r="D70" i="10"/>
  <c r="D77" i="4"/>
  <c r="D97" i="4"/>
  <c r="D88" i="10"/>
  <c r="O168" i="24"/>
  <c r="C168" i="24"/>
  <c r="N128" i="24"/>
  <c r="D168" i="24"/>
  <c r="N125" i="24"/>
  <c r="N65" i="24"/>
  <c r="N166" i="24"/>
  <c r="D65" i="12"/>
  <c r="D77" i="14"/>
  <c r="M59" i="12"/>
  <c r="L77" i="14"/>
  <c r="D41" i="12"/>
  <c r="C57" i="14"/>
  <c r="O97" i="14"/>
  <c r="N83" i="12"/>
  <c r="F14" i="4"/>
  <c r="F17" i="24"/>
  <c r="N76" i="10" l="1"/>
  <c r="N169" i="25"/>
  <c r="O149" i="25"/>
  <c r="E76" i="10"/>
  <c r="E58" i="10"/>
  <c r="N58" i="10"/>
  <c r="N40" i="10"/>
  <c r="D40" i="10"/>
  <c r="D149" i="25"/>
  <c r="N149" i="25"/>
  <c r="O40" i="10"/>
  <c r="O76" i="10"/>
  <c r="C169" i="25"/>
  <c r="E40" i="10"/>
  <c r="E53" i="12"/>
  <c r="D53" i="12"/>
  <c r="D129" i="25"/>
  <c r="O169" i="24"/>
  <c r="D71" i="12"/>
  <c r="N129" i="24"/>
  <c r="D149" i="24"/>
  <c r="C129" i="25"/>
  <c r="O58" i="10"/>
  <c r="C129" i="24"/>
  <c r="P81" i="24"/>
  <c r="D37" i="25"/>
  <c r="E62" i="24"/>
  <c r="P101" i="24"/>
  <c r="P63" i="24"/>
  <c r="P102" i="24"/>
  <c r="E63" i="24"/>
  <c r="E102" i="24"/>
  <c r="E82" i="24"/>
  <c r="E83" i="24"/>
  <c r="P82" i="24"/>
  <c r="E104" i="24"/>
  <c r="E81" i="24"/>
  <c r="E84" i="24"/>
  <c r="E61" i="24"/>
  <c r="P83" i="24"/>
  <c r="P84" i="24"/>
  <c r="P103" i="24"/>
  <c r="P62" i="24"/>
  <c r="E103" i="24"/>
  <c r="E101" i="24"/>
  <c r="E64" i="24"/>
  <c r="P64" i="24"/>
  <c r="P61" i="24"/>
  <c r="P104" i="24"/>
  <c r="D35" i="12"/>
  <c r="D76" i="10"/>
  <c r="D58" i="10"/>
  <c r="M71" i="12"/>
  <c r="C149" i="24"/>
  <c r="N149" i="24"/>
  <c r="D129" i="24"/>
  <c r="N35" i="12"/>
  <c r="O129" i="25"/>
  <c r="N53" i="12"/>
  <c r="D42" i="25"/>
  <c r="F61" i="24"/>
  <c r="Q104" i="24"/>
  <c r="F62" i="24"/>
  <c r="F81" i="24"/>
  <c r="Q102" i="24"/>
  <c r="Q103" i="24"/>
  <c r="Q83" i="24"/>
  <c r="F64" i="24"/>
  <c r="Q84" i="24"/>
  <c r="Q81" i="24"/>
  <c r="Q61" i="24"/>
  <c r="Q63" i="24"/>
  <c r="Q101" i="24"/>
  <c r="F103" i="24"/>
  <c r="F101" i="24"/>
  <c r="F84" i="24"/>
  <c r="F83" i="24"/>
  <c r="F63" i="24"/>
  <c r="F104" i="24"/>
  <c r="F82" i="24"/>
  <c r="Q64" i="24"/>
  <c r="Q82" i="24"/>
  <c r="Q62" i="24"/>
  <c r="F102" i="24"/>
  <c r="F15" i="4"/>
  <c r="F14" i="14"/>
  <c r="F15" i="14" s="1"/>
  <c r="M53" i="12"/>
  <c r="N169" i="24"/>
  <c r="E35" i="12"/>
  <c r="O129" i="24"/>
  <c r="C149" i="25"/>
  <c r="O149" i="24"/>
  <c r="M35" i="12"/>
  <c r="N129" i="25"/>
  <c r="F18" i="24"/>
  <c r="F17" i="25"/>
  <c r="F18" i="25" s="1"/>
  <c r="D169" i="25"/>
  <c r="E71" i="12"/>
  <c r="C169" i="24"/>
  <c r="D169" i="24"/>
  <c r="N71" i="12"/>
  <c r="Q147" i="24" l="1"/>
  <c r="E128" i="24"/>
  <c r="Q146" i="24"/>
  <c r="F167" i="24"/>
  <c r="Q167" i="24"/>
  <c r="E165" i="24"/>
  <c r="E105" i="24"/>
  <c r="E145" i="24"/>
  <c r="E85" i="24"/>
  <c r="P127" i="24"/>
  <c r="P166" i="24"/>
  <c r="Q128" i="24"/>
  <c r="Q165" i="24"/>
  <c r="Q105" i="24"/>
  <c r="Q166" i="24"/>
  <c r="E167" i="24"/>
  <c r="E168" i="24"/>
  <c r="P165" i="24"/>
  <c r="P105" i="24"/>
  <c r="E126" i="24"/>
  <c r="Q127" i="24"/>
  <c r="P126" i="24"/>
  <c r="P146" i="24"/>
  <c r="E84" i="14"/>
  <c r="M83" i="14"/>
  <c r="F44" i="14"/>
  <c r="O44" i="14"/>
  <c r="C83" i="14"/>
  <c r="N85" i="14"/>
  <c r="F63" i="14"/>
  <c r="C45" i="14"/>
  <c r="M44" i="14"/>
  <c r="E66" i="14"/>
  <c r="E86" i="14"/>
  <c r="M46" i="14"/>
  <c r="N64" i="14"/>
  <c r="L86" i="14"/>
  <c r="C84" i="14"/>
  <c r="L43" i="14"/>
  <c r="M64" i="14"/>
  <c r="D83" i="14"/>
  <c r="N83" i="14"/>
  <c r="M86" i="14"/>
  <c r="O46" i="14"/>
  <c r="L64" i="14"/>
  <c r="C66" i="14"/>
  <c r="O83" i="14"/>
  <c r="M45" i="14"/>
  <c r="O63" i="14"/>
  <c r="C86" i="14"/>
  <c r="M63" i="14"/>
  <c r="E85" i="14"/>
  <c r="O65" i="14"/>
  <c r="E65" i="14"/>
  <c r="F83" i="14"/>
  <c r="F45" i="14"/>
  <c r="L45" i="14"/>
  <c r="E64" i="14"/>
  <c r="D85" i="14"/>
  <c r="L85" i="14"/>
  <c r="C85" i="14"/>
  <c r="O84" i="14"/>
  <c r="M43" i="14"/>
  <c r="L66" i="14"/>
  <c r="E44" i="14"/>
  <c r="C64" i="14"/>
  <c r="D63" i="14"/>
  <c r="M65" i="14"/>
  <c r="N45" i="14"/>
  <c r="M66" i="14"/>
  <c r="E46" i="14"/>
  <c r="L65" i="14"/>
  <c r="E45" i="14"/>
  <c r="E63" i="14"/>
  <c r="C65" i="14"/>
  <c r="N63" i="14"/>
  <c r="O86" i="14"/>
  <c r="F46" i="14"/>
  <c r="O64" i="14"/>
  <c r="D65" i="14"/>
  <c r="F66" i="14"/>
  <c r="L83" i="14"/>
  <c r="N86" i="14"/>
  <c r="O43" i="14"/>
  <c r="N84" i="14"/>
  <c r="L44" i="14"/>
  <c r="C44" i="14"/>
  <c r="D43" i="14"/>
  <c r="F43" i="14"/>
  <c r="D66" i="14"/>
  <c r="L46" i="14"/>
  <c r="E83" i="14"/>
  <c r="N66" i="14"/>
  <c r="D45" i="14"/>
  <c r="F85" i="14"/>
  <c r="N65" i="14"/>
  <c r="O66" i="14"/>
  <c r="D84" i="14"/>
  <c r="N43" i="14"/>
  <c r="O85" i="14"/>
  <c r="F64" i="14"/>
  <c r="D44" i="14"/>
  <c r="L84" i="14"/>
  <c r="C46" i="14"/>
  <c r="E43" i="14"/>
  <c r="M85" i="14"/>
  <c r="D86" i="14"/>
  <c r="C43" i="14"/>
  <c r="D46" i="14"/>
  <c r="O45" i="14"/>
  <c r="C63" i="14"/>
  <c r="M84" i="14"/>
  <c r="F86" i="14"/>
  <c r="F84" i="14"/>
  <c r="N46" i="14"/>
  <c r="D64" i="14"/>
  <c r="L63" i="14"/>
  <c r="N44" i="14"/>
  <c r="F65" i="14"/>
  <c r="F168" i="24"/>
  <c r="Q125" i="24"/>
  <c r="Q65" i="24"/>
  <c r="F126" i="24"/>
  <c r="P167" i="24"/>
  <c r="E147" i="24"/>
  <c r="E63" i="25"/>
  <c r="E127" i="25" s="1"/>
  <c r="E61" i="25"/>
  <c r="E84" i="25"/>
  <c r="E148" i="25" s="1"/>
  <c r="P64" i="25"/>
  <c r="P128" i="25" s="1"/>
  <c r="E82" i="25"/>
  <c r="E146" i="25" s="1"/>
  <c r="E81" i="25"/>
  <c r="P104" i="25"/>
  <c r="P168" i="25" s="1"/>
  <c r="E104" i="25"/>
  <c r="E168" i="25" s="1"/>
  <c r="E101" i="25"/>
  <c r="E62" i="25"/>
  <c r="E126" i="25" s="1"/>
  <c r="P61" i="25"/>
  <c r="P84" i="25"/>
  <c r="P148" i="25" s="1"/>
  <c r="E103" i="25"/>
  <c r="E167" i="25" s="1"/>
  <c r="P103" i="25"/>
  <c r="P167" i="25" s="1"/>
  <c r="E83" i="25"/>
  <c r="E147" i="25" s="1"/>
  <c r="P81" i="25"/>
  <c r="P101" i="25"/>
  <c r="E64" i="25"/>
  <c r="E128" i="25" s="1"/>
  <c r="P63" i="25"/>
  <c r="P127" i="25" s="1"/>
  <c r="E102" i="25"/>
  <c r="E166" i="25" s="1"/>
  <c r="P102" i="25"/>
  <c r="P166" i="25" s="1"/>
  <c r="P83" i="25"/>
  <c r="P147" i="25" s="1"/>
  <c r="P82" i="25"/>
  <c r="P146" i="25" s="1"/>
  <c r="P62" i="25"/>
  <c r="P126" i="25" s="1"/>
  <c r="F165" i="24"/>
  <c r="F105" i="24"/>
  <c r="E148" i="24"/>
  <c r="F146" i="24"/>
  <c r="F127" i="24"/>
  <c r="Q168" i="24"/>
  <c r="P168" i="24"/>
  <c r="P148" i="24"/>
  <c r="E146" i="24"/>
  <c r="P145" i="24"/>
  <c r="P85" i="24"/>
  <c r="C71" i="24"/>
  <c r="C73" i="24"/>
  <c r="Q72" i="24"/>
  <c r="Q93" i="24"/>
  <c r="Q92" i="24"/>
  <c r="F73" i="24"/>
  <c r="D73" i="24"/>
  <c r="E54" i="24"/>
  <c r="E51" i="24"/>
  <c r="F92" i="24"/>
  <c r="N51" i="24"/>
  <c r="O52" i="24"/>
  <c r="N73" i="24"/>
  <c r="F51" i="24"/>
  <c r="D71" i="24"/>
  <c r="D74" i="24"/>
  <c r="P71" i="24"/>
  <c r="N72" i="24"/>
  <c r="P74" i="24"/>
  <c r="C92" i="24"/>
  <c r="Q73" i="24"/>
  <c r="P51" i="24"/>
  <c r="E92" i="24"/>
  <c r="O54" i="24"/>
  <c r="F53" i="24"/>
  <c r="F72" i="24"/>
  <c r="F52" i="24"/>
  <c r="E71" i="24"/>
  <c r="P54" i="24"/>
  <c r="E74" i="24"/>
  <c r="O72" i="24"/>
  <c r="O73" i="24"/>
  <c r="D94" i="24"/>
  <c r="Q74" i="24"/>
  <c r="O91" i="24"/>
  <c r="P94" i="24"/>
  <c r="D72" i="24"/>
  <c r="N92" i="24"/>
  <c r="N93" i="24"/>
  <c r="D52" i="24"/>
  <c r="Q53" i="24"/>
  <c r="O71" i="24"/>
  <c r="C93" i="24"/>
  <c r="C52" i="24"/>
  <c r="N71" i="24"/>
  <c r="P93" i="24"/>
  <c r="F71" i="24"/>
  <c r="N94" i="24"/>
  <c r="E53" i="24"/>
  <c r="F54" i="24"/>
  <c r="C72" i="24"/>
  <c r="D53" i="24"/>
  <c r="O51" i="24"/>
  <c r="P92" i="24"/>
  <c r="E73" i="24"/>
  <c r="N91" i="24"/>
  <c r="Q54" i="24"/>
  <c r="N53" i="24"/>
  <c r="E91" i="24"/>
  <c r="O94" i="24"/>
  <c r="N74" i="24"/>
  <c r="F93" i="24"/>
  <c r="D92" i="24"/>
  <c r="O92" i="24"/>
  <c r="D51" i="24"/>
  <c r="C91" i="24"/>
  <c r="F94" i="24"/>
  <c r="P52" i="24"/>
  <c r="P53" i="24"/>
  <c r="Q52" i="24"/>
  <c r="N52" i="24"/>
  <c r="O53" i="24"/>
  <c r="N54" i="24"/>
  <c r="P91" i="24"/>
  <c r="Q71" i="24"/>
  <c r="P73" i="24"/>
  <c r="C51" i="24"/>
  <c r="Q94" i="24"/>
  <c r="E72" i="24"/>
  <c r="C74" i="24"/>
  <c r="F74" i="24"/>
  <c r="C94" i="24"/>
  <c r="C54" i="24"/>
  <c r="D91" i="24"/>
  <c r="E52" i="24"/>
  <c r="O93" i="24"/>
  <c r="Q91" i="24"/>
  <c r="Q51" i="24"/>
  <c r="E94" i="24"/>
  <c r="F91" i="24"/>
  <c r="E93" i="24"/>
  <c r="C53" i="24"/>
  <c r="D93" i="24"/>
  <c r="O74" i="24"/>
  <c r="P72" i="24"/>
  <c r="D54" i="24"/>
  <c r="F145" i="24"/>
  <c r="F85" i="24"/>
  <c r="O44" i="4"/>
  <c r="D45" i="4"/>
  <c r="N63" i="4"/>
  <c r="E66" i="4"/>
  <c r="P44" i="4"/>
  <c r="P63" i="4"/>
  <c r="D43" i="4"/>
  <c r="D85" i="4"/>
  <c r="C83" i="4"/>
  <c r="E64" i="4"/>
  <c r="D83" i="4"/>
  <c r="C63" i="4"/>
  <c r="D66" i="4"/>
  <c r="Q43" i="4"/>
  <c r="Q66" i="4"/>
  <c r="O83" i="4"/>
  <c r="F64" i="4"/>
  <c r="N46" i="4"/>
  <c r="F46" i="4"/>
  <c r="Q86" i="4"/>
  <c r="E65" i="4"/>
  <c r="D86" i="4"/>
  <c r="Q85" i="4"/>
  <c r="C46" i="4"/>
  <c r="C43" i="4"/>
  <c r="F44" i="4"/>
  <c r="C84" i="4"/>
  <c r="O66" i="4"/>
  <c r="P84" i="4"/>
  <c r="F45" i="4"/>
  <c r="P86" i="4"/>
  <c r="P43" i="4"/>
  <c r="D46" i="4"/>
  <c r="C45" i="4"/>
  <c r="C44" i="4"/>
  <c r="P65" i="4"/>
  <c r="O86" i="4"/>
  <c r="E46" i="4"/>
  <c r="F63" i="4"/>
  <c r="N86" i="4"/>
  <c r="F43" i="4"/>
  <c r="F84" i="4"/>
  <c r="O65" i="4"/>
  <c r="N66" i="4"/>
  <c r="O63" i="4"/>
  <c r="F85" i="4"/>
  <c r="C66" i="4"/>
  <c r="N44" i="4"/>
  <c r="Q46" i="4"/>
  <c r="E43" i="4"/>
  <c r="N84" i="4"/>
  <c r="E63" i="4"/>
  <c r="Q44" i="4"/>
  <c r="Q65" i="4"/>
  <c r="Q64" i="4"/>
  <c r="Q63" i="4"/>
  <c r="C85" i="4"/>
  <c r="P85" i="4"/>
  <c r="Q83" i="4"/>
  <c r="P46" i="4"/>
  <c r="Q45" i="4"/>
  <c r="F66" i="4"/>
  <c r="F65" i="4"/>
  <c r="N65" i="4"/>
  <c r="C64" i="4"/>
  <c r="P64" i="4"/>
  <c r="N45" i="4"/>
  <c r="D84" i="4"/>
  <c r="E45" i="4"/>
  <c r="O85" i="4"/>
  <c r="P83" i="4"/>
  <c r="C65" i="4"/>
  <c r="N43" i="4"/>
  <c r="E86" i="4"/>
  <c r="E83" i="4"/>
  <c r="P66" i="4"/>
  <c r="F83" i="4"/>
  <c r="D44" i="4"/>
  <c r="D64" i="4"/>
  <c r="N83" i="4"/>
  <c r="O84" i="4"/>
  <c r="E84" i="4"/>
  <c r="O45" i="4"/>
  <c r="O46" i="4"/>
  <c r="O43" i="4"/>
  <c r="D65" i="4"/>
  <c r="F86" i="4"/>
  <c r="C86" i="4"/>
  <c r="O64" i="4"/>
  <c r="E85" i="4"/>
  <c r="E44" i="4"/>
  <c r="Q84" i="4"/>
  <c r="N85" i="4"/>
  <c r="N64" i="4"/>
  <c r="P45" i="4"/>
  <c r="D63" i="4"/>
  <c r="F147" i="24"/>
  <c r="Q148" i="24"/>
  <c r="F125" i="24"/>
  <c r="F65" i="24"/>
  <c r="P125" i="24"/>
  <c r="P65" i="24"/>
  <c r="P147" i="24"/>
  <c r="E166" i="24"/>
  <c r="Q126" i="24"/>
  <c r="Q145" i="24"/>
  <c r="Q85" i="24"/>
  <c r="F52" i="25"/>
  <c r="Q52" i="25"/>
  <c r="D51" i="25"/>
  <c r="F92" i="25"/>
  <c r="D74" i="25"/>
  <c r="E52" i="25"/>
  <c r="F94" i="25"/>
  <c r="C54" i="25"/>
  <c r="E93" i="25"/>
  <c r="E157" i="25" s="1"/>
  <c r="E91" i="25"/>
  <c r="O54" i="25"/>
  <c r="D53" i="25"/>
  <c r="F93" i="25"/>
  <c r="P73" i="25"/>
  <c r="E53" i="25"/>
  <c r="P72" i="25"/>
  <c r="P136" i="25" s="1"/>
  <c r="F74" i="25"/>
  <c r="F138" i="25" s="1"/>
  <c r="E94" i="25"/>
  <c r="E158" i="25" s="1"/>
  <c r="N52" i="25"/>
  <c r="N116" i="25" s="1"/>
  <c r="D92" i="25"/>
  <c r="Q73" i="25"/>
  <c r="Q137" i="25" s="1"/>
  <c r="F72" i="25"/>
  <c r="F136" i="25" s="1"/>
  <c r="F73" i="25"/>
  <c r="P54" i="25"/>
  <c r="N73" i="25"/>
  <c r="D54" i="25"/>
  <c r="D118" i="25" s="1"/>
  <c r="Q53" i="25"/>
  <c r="Q117" i="25" s="1"/>
  <c r="O93" i="25"/>
  <c r="P51" i="25"/>
  <c r="C73" i="25"/>
  <c r="C137" i="25" s="1"/>
  <c r="E74" i="25"/>
  <c r="C53" i="25"/>
  <c r="N53" i="25"/>
  <c r="N117" i="25" s="1"/>
  <c r="N94" i="25"/>
  <c r="N158" i="25" s="1"/>
  <c r="N72" i="25"/>
  <c r="N136" i="25" s="1"/>
  <c r="Q71" i="25"/>
  <c r="F54" i="25"/>
  <c r="N54" i="25"/>
  <c r="N118" i="25" s="1"/>
  <c r="D52" i="25"/>
  <c r="C94" i="25"/>
  <c r="O71" i="25"/>
  <c r="D72" i="25"/>
  <c r="D136" i="25" s="1"/>
  <c r="Q74" i="25"/>
  <c r="D73" i="25"/>
  <c r="C52" i="25"/>
  <c r="E92" i="25"/>
  <c r="Q91" i="25"/>
  <c r="P94" i="25"/>
  <c r="Q94" i="25"/>
  <c r="Q158" i="25" s="1"/>
  <c r="P91" i="25"/>
  <c r="E71" i="25"/>
  <c r="D91" i="25"/>
  <c r="N74" i="25"/>
  <c r="P71" i="25"/>
  <c r="N51" i="25"/>
  <c r="O74" i="25"/>
  <c r="O138" i="25" s="1"/>
  <c r="N93" i="25"/>
  <c r="N157" i="25" s="1"/>
  <c r="C51" i="25"/>
  <c r="C92" i="25"/>
  <c r="N71" i="25"/>
  <c r="P52" i="25"/>
  <c r="D71" i="25"/>
  <c r="O91" i="25"/>
  <c r="O92" i="25"/>
  <c r="E73" i="25"/>
  <c r="E137" i="25" s="1"/>
  <c r="F91" i="25"/>
  <c r="F53" i="25"/>
  <c r="C93" i="25"/>
  <c r="C157" i="25" s="1"/>
  <c r="E54" i="25"/>
  <c r="Q51" i="25"/>
  <c r="O52" i="25"/>
  <c r="D94" i="25"/>
  <c r="E72" i="25"/>
  <c r="P74" i="25"/>
  <c r="P138" i="25" s="1"/>
  <c r="O53" i="25"/>
  <c r="N91" i="25"/>
  <c r="N92" i="25"/>
  <c r="P92" i="25"/>
  <c r="P156" i="25" s="1"/>
  <c r="O73" i="25"/>
  <c r="O137" i="25" s="1"/>
  <c r="F71" i="25"/>
  <c r="F51" i="25"/>
  <c r="Q93" i="25"/>
  <c r="Q157" i="25" s="1"/>
  <c r="P53" i="25"/>
  <c r="P117" i="25" s="1"/>
  <c r="O94" i="25"/>
  <c r="C74" i="25"/>
  <c r="C138" i="25" s="1"/>
  <c r="C72" i="25"/>
  <c r="Q54" i="25"/>
  <c r="Q118" i="25" s="1"/>
  <c r="E51" i="25"/>
  <c r="O51" i="25"/>
  <c r="Q72" i="25"/>
  <c r="Q92" i="25"/>
  <c r="D93" i="25"/>
  <c r="C71" i="25"/>
  <c r="C91" i="25"/>
  <c r="P93" i="25"/>
  <c r="P157" i="25" s="1"/>
  <c r="O72" i="25"/>
  <c r="F166" i="24"/>
  <c r="F148" i="24"/>
  <c r="F128" i="24"/>
  <c r="Q61" i="25"/>
  <c r="F101" i="25"/>
  <c r="Q64" i="25"/>
  <c r="F102" i="25"/>
  <c r="F166" i="25" s="1"/>
  <c r="Q63" i="25"/>
  <c r="Q127" i="25" s="1"/>
  <c r="Q62" i="25"/>
  <c r="Q126" i="25" s="1"/>
  <c r="F81" i="25"/>
  <c r="F82" i="25"/>
  <c r="Q103" i="25"/>
  <c r="Q167" i="25" s="1"/>
  <c r="F64" i="25"/>
  <c r="F128" i="25" s="1"/>
  <c r="F61" i="25"/>
  <c r="Q83" i="25"/>
  <c r="Q147" i="25" s="1"/>
  <c r="F63" i="25"/>
  <c r="F127" i="25" s="1"/>
  <c r="Q82" i="25"/>
  <c r="Q146" i="25" s="1"/>
  <c r="F83" i="25"/>
  <c r="F147" i="25" s="1"/>
  <c r="F103" i="25"/>
  <c r="Q102" i="25"/>
  <c r="Q166" i="25" s="1"/>
  <c r="F104" i="25"/>
  <c r="F168" i="25" s="1"/>
  <c r="F84" i="25"/>
  <c r="F62" i="25"/>
  <c r="F126" i="25" s="1"/>
  <c r="Q81" i="25"/>
  <c r="Q84" i="25"/>
  <c r="Q148" i="25" s="1"/>
  <c r="Q101" i="25"/>
  <c r="Q104" i="25"/>
  <c r="P128" i="24"/>
  <c r="E125" i="24"/>
  <c r="E65" i="24"/>
  <c r="E127" i="24"/>
  <c r="Q156" i="25" l="1"/>
  <c r="C156" i="25"/>
  <c r="N137" i="25"/>
  <c r="E156" i="25"/>
  <c r="D116" i="25"/>
  <c r="N156" i="25"/>
  <c r="E118" i="25"/>
  <c r="P116" i="25"/>
  <c r="C116" i="25"/>
  <c r="F118" i="25"/>
  <c r="F157" i="25"/>
  <c r="D117" i="25"/>
  <c r="E138" i="25"/>
  <c r="E117" i="25"/>
  <c r="F158" i="25"/>
  <c r="C158" i="25"/>
  <c r="E116" i="25"/>
  <c r="D138" i="25"/>
  <c r="E136" i="25"/>
  <c r="C136" i="25"/>
  <c r="O157" i="25"/>
  <c r="D156" i="25"/>
  <c r="F156" i="25"/>
  <c r="F116" i="25"/>
  <c r="P137" i="25"/>
  <c r="Q138" i="25"/>
  <c r="F65" i="25"/>
  <c r="F129" i="25" s="1"/>
  <c r="F125" i="25"/>
  <c r="P129" i="24"/>
  <c r="F148" i="25"/>
  <c r="F167" i="25"/>
  <c r="Q115" i="25"/>
  <c r="Q55" i="25"/>
  <c r="Q168" i="25"/>
  <c r="C95" i="25"/>
  <c r="C155" i="25"/>
  <c r="D75" i="25"/>
  <c r="D135" i="25"/>
  <c r="Q128" i="25"/>
  <c r="F146" i="25"/>
  <c r="P75" i="25"/>
  <c r="P135" i="25"/>
  <c r="O55" i="25"/>
  <c r="O115" i="25"/>
  <c r="E63" i="10"/>
  <c r="E67" i="4"/>
  <c r="Q55" i="24"/>
  <c r="Q115" i="24"/>
  <c r="O117" i="24"/>
  <c r="N95" i="24"/>
  <c r="N155" i="24"/>
  <c r="D116" i="24"/>
  <c r="O118" i="24"/>
  <c r="E118" i="24"/>
  <c r="P149" i="24"/>
  <c r="P65" i="25"/>
  <c r="P129" i="25" s="1"/>
  <c r="P125" i="25"/>
  <c r="N40" i="12"/>
  <c r="N47" i="14"/>
  <c r="D64" i="12"/>
  <c r="D67" i="14"/>
  <c r="F105" i="25"/>
  <c r="F169" i="25" s="1"/>
  <c r="F165" i="25"/>
  <c r="O136" i="25"/>
  <c r="E55" i="25"/>
  <c r="E115" i="25"/>
  <c r="F135" i="25"/>
  <c r="F75" i="25"/>
  <c r="D158" i="25"/>
  <c r="O156" i="25"/>
  <c r="P158" i="25"/>
  <c r="C117" i="25"/>
  <c r="P118" i="25"/>
  <c r="C118" i="25"/>
  <c r="Q149" i="24"/>
  <c r="E81" i="10"/>
  <c r="E87" i="4"/>
  <c r="Q87" i="4"/>
  <c r="O87" i="10"/>
  <c r="D87" i="10"/>
  <c r="D87" i="4"/>
  <c r="N63" i="10"/>
  <c r="N67" i="4"/>
  <c r="P136" i="24"/>
  <c r="Q155" i="24"/>
  <c r="Q95" i="24"/>
  <c r="E136" i="24"/>
  <c r="N116" i="24"/>
  <c r="D156" i="24"/>
  <c r="E137" i="24"/>
  <c r="F75" i="24"/>
  <c r="F135" i="24"/>
  <c r="N157" i="24"/>
  <c r="O136" i="24"/>
  <c r="E156" i="24"/>
  <c r="D75" i="24"/>
  <c r="D135" i="24"/>
  <c r="D137" i="24"/>
  <c r="F169" i="24"/>
  <c r="E125" i="25"/>
  <c r="E65" i="25"/>
  <c r="E129" i="25" s="1"/>
  <c r="Q129" i="24"/>
  <c r="M76" i="12"/>
  <c r="L87" i="14"/>
  <c r="E58" i="12"/>
  <c r="E67" i="14"/>
  <c r="N76" i="12"/>
  <c r="N87" i="14"/>
  <c r="E149" i="24"/>
  <c r="F55" i="25"/>
  <c r="F115" i="25"/>
  <c r="O135" i="25"/>
  <c r="O75" i="25"/>
  <c r="D63" i="10"/>
  <c r="C67" i="4"/>
  <c r="D118" i="24"/>
  <c r="C138" i="24"/>
  <c r="O156" i="24"/>
  <c r="N158" i="24"/>
  <c r="O137" i="24"/>
  <c r="D138" i="24"/>
  <c r="M64" i="12"/>
  <c r="M67" i="14"/>
  <c r="Q65" i="25"/>
  <c r="Q129" i="25" s="1"/>
  <c r="Q125" i="25"/>
  <c r="O116" i="25"/>
  <c r="O155" i="25"/>
  <c r="O95" i="25"/>
  <c r="N115" i="25"/>
  <c r="N55" i="25"/>
  <c r="Q155" i="25"/>
  <c r="Q95" i="25"/>
  <c r="F137" i="25"/>
  <c r="E47" i="4"/>
  <c r="E45" i="10"/>
  <c r="O138" i="24"/>
  <c r="O157" i="24"/>
  <c r="Q158" i="24"/>
  <c r="Q116" i="24"/>
  <c r="F157" i="24"/>
  <c r="P156" i="24"/>
  <c r="P157" i="24"/>
  <c r="N156" i="24"/>
  <c r="E138" i="24"/>
  <c r="P115" i="24"/>
  <c r="P55" i="24"/>
  <c r="F55" i="24"/>
  <c r="F115" i="24"/>
  <c r="F137" i="24"/>
  <c r="P165" i="25"/>
  <c r="P105" i="25"/>
  <c r="P169" i="25" s="1"/>
  <c r="E165" i="25"/>
  <c r="E105" i="25"/>
  <c r="E169" i="25" s="1"/>
  <c r="E40" i="12"/>
  <c r="E47" i="14"/>
  <c r="E46" i="12"/>
  <c r="F47" i="14"/>
  <c r="N64" i="12"/>
  <c r="O67" i="14"/>
  <c r="D87" i="14"/>
  <c r="D82" i="12"/>
  <c r="M82" i="12"/>
  <c r="M87" i="14"/>
  <c r="N45" i="10"/>
  <c r="N47" i="4"/>
  <c r="E51" i="10"/>
  <c r="F47" i="4"/>
  <c r="D45" i="10"/>
  <c r="C47" i="4"/>
  <c r="C55" i="24"/>
  <c r="C115" i="24"/>
  <c r="O115" i="24"/>
  <c r="O55" i="24"/>
  <c r="Q137" i="24"/>
  <c r="P85" i="25"/>
  <c r="P149" i="25" s="1"/>
  <c r="P145" i="25"/>
  <c r="F85" i="25"/>
  <c r="F149" i="25" s="1"/>
  <c r="F145" i="25"/>
  <c r="N138" i="25"/>
  <c r="P47" i="4"/>
  <c r="O45" i="10"/>
  <c r="N87" i="10"/>
  <c r="O87" i="4"/>
  <c r="C117" i="24"/>
  <c r="P116" i="24"/>
  <c r="D117" i="24"/>
  <c r="P158" i="24"/>
  <c r="C156" i="24"/>
  <c r="Q157" i="24"/>
  <c r="C67" i="14"/>
  <c r="D58" i="12"/>
  <c r="M46" i="12"/>
  <c r="M47" i="14"/>
  <c r="O87" i="14"/>
  <c r="N82" i="12"/>
  <c r="D157" i="25"/>
  <c r="O158" i="25"/>
  <c r="N95" i="25"/>
  <c r="N155" i="25"/>
  <c r="N135" i="25"/>
  <c r="N75" i="25"/>
  <c r="D95" i="25"/>
  <c r="D155" i="25"/>
  <c r="D137" i="25"/>
  <c r="Q75" i="25"/>
  <c r="Q135" i="25"/>
  <c r="F129" i="24"/>
  <c r="O81" i="10"/>
  <c r="P87" i="4"/>
  <c r="E69" i="10"/>
  <c r="F67" i="4"/>
  <c r="D47" i="4"/>
  <c r="D51" i="10"/>
  <c r="F149" i="24"/>
  <c r="E157" i="24"/>
  <c r="C118" i="24"/>
  <c r="Q135" i="24"/>
  <c r="Q75" i="24"/>
  <c r="F158" i="24"/>
  <c r="E95" i="24"/>
  <c r="E155" i="24"/>
  <c r="C136" i="24"/>
  <c r="C157" i="24"/>
  <c r="O155" i="24"/>
  <c r="O95" i="24"/>
  <c r="F116" i="24"/>
  <c r="P138" i="24"/>
  <c r="N115" i="24"/>
  <c r="N55" i="24"/>
  <c r="Q136" i="24"/>
  <c r="E145" i="25"/>
  <c r="E85" i="25"/>
  <c r="E149" i="25" s="1"/>
  <c r="F67" i="14"/>
  <c r="E64" i="12"/>
  <c r="D81" i="10"/>
  <c r="C87" i="4"/>
  <c r="D157" i="24"/>
  <c r="P117" i="24"/>
  <c r="N135" i="24"/>
  <c r="N75" i="24"/>
  <c r="P118" i="24"/>
  <c r="N137" i="24"/>
  <c r="Q105" i="25"/>
  <c r="Q169" i="25" s="1"/>
  <c r="Q165" i="25"/>
  <c r="C135" i="25"/>
  <c r="C75" i="25"/>
  <c r="P115" i="25"/>
  <c r="P55" i="25"/>
  <c r="D67" i="4"/>
  <c r="D69" i="10"/>
  <c r="D95" i="24"/>
  <c r="D155" i="24"/>
  <c r="Q85" i="25"/>
  <c r="Q149" i="25" s="1"/>
  <c r="Q145" i="25"/>
  <c r="O117" i="25"/>
  <c r="F117" i="25"/>
  <c r="E135" i="25"/>
  <c r="E75" i="25"/>
  <c r="O118" i="25"/>
  <c r="D55" i="25"/>
  <c r="D115" i="25"/>
  <c r="Q47" i="4"/>
  <c r="O51" i="10"/>
  <c r="O63" i="10"/>
  <c r="P67" i="4"/>
  <c r="F155" i="24"/>
  <c r="F95" i="24"/>
  <c r="C158" i="24"/>
  <c r="P155" i="24"/>
  <c r="P95" i="24"/>
  <c r="C155" i="24"/>
  <c r="C95" i="24"/>
  <c r="N117" i="24"/>
  <c r="F118" i="24"/>
  <c r="O135" i="24"/>
  <c r="O75" i="24"/>
  <c r="Q138" i="24"/>
  <c r="F136" i="24"/>
  <c r="N136" i="24"/>
  <c r="F156" i="24"/>
  <c r="C137" i="24"/>
  <c r="L67" i="14"/>
  <c r="M58" i="12"/>
  <c r="P169" i="24"/>
  <c r="Q169" i="24"/>
  <c r="E116" i="24"/>
  <c r="N138" i="24"/>
  <c r="D136" i="24"/>
  <c r="Q156" i="24"/>
  <c r="D47" i="14"/>
  <c r="D46" i="12"/>
  <c r="N81" i="10"/>
  <c r="N87" i="4"/>
  <c r="O69" i="10"/>
  <c r="Q67" i="4"/>
  <c r="P137" i="24"/>
  <c r="O158" i="24"/>
  <c r="C116" i="24"/>
  <c r="E135" i="24"/>
  <c r="E75" i="24"/>
  <c r="O116" i="24"/>
  <c r="F87" i="14"/>
  <c r="E82" i="12"/>
  <c r="M40" i="12"/>
  <c r="L47" i="14"/>
  <c r="E169" i="24"/>
  <c r="E129" i="24"/>
  <c r="Q136" i="25"/>
  <c r="F95" i="25"/>
  <c r="F155" i="25"/>
  <c r="C55" i="25"/>
  <c r="C115" i="25"/>
  <c r="P155" i="25"/>
  <c r="P95" i="25"/>
  <c r="E95" i="25"/>
  <c r="E155" i="25"/>
  <c r="Q116" i="25"/>
  <c r="N51" i="10"/>
  <c r="O47" i="4"/>
  <c r="F87" i="4"/>
  <c r="E87" i="10"/>
  <c r="O67" i="4"/>
  <c r="N69" i="10"/>
  <c r="E158" i="24"/>
  <c r="F138" i="24"/>
  <c r="N118" i="24"/>
  <c r="D115" i="24"/>
  <c r="D55" i="24"/>
  <c r="Q118" i="24"/>
  <c r="E117" i="24"/>
  <c r="Q117" i="24"/>
  <c r="D158" i="24"/>
  <c r="F117" i="24"/>
  <c r="P135" i="24"/>
  <c r="P75" i="24"/>
  <c r="E55" i="24"/>
  <c r="E115" i="24"/>
  <c r="C135" i="24"/>
  <c r="C75" i="24"/>
  <c r="D40" i="12"/>
  <c r="C47" i="14"/>
  <c r="E76" i="12"/>
  <c r="E87" i="14"/>
  <c r="N46" i="12"/>
  <c r="O47" i="14"/>
  <c r="N58" i="12"/>
  <c r="N67" i="14"/>
  <c r="D76" i="12"/>
  <c r="C87" i="14"/>
  <c r="D159" i="25" l="1"/>
  <c r="P119" i="25"/>
  <c r="E139" i="25"/>
  <c r="C139" i="25"/>
  <c r="Q139" i="25"/>
  <c r="F159" i="25"/>
  <c r="E119" i="25"/>
  <c r="D119" i="25"/>
  <c r="N119" i="25"/>
  <c r="N139" i="25"/>
  <c r="N159" i="25"/>
  <c r="O119" i="25"/>
  <c r="D139" i="25"/>
  <c r="D75" i="10"/>
  <c r="N70" i="12"/>
  <c r="E119" i="24"/>
  <c r="C119" i="25"/>
  <c r="O139" i="24"/>
  <c r="D159" i="24"/>
  <c r="N119" i="24"/>
  <c r="O159" i="24"/>
  <c r="E159" i="24"/>
  <c r="O119" i="24"/>
  <c r="D39" i="10"/>
  <c r="O159" i="25"/>
  <c r="O139" i="25"/>
  <c r="Q119" i="24"/>
  <c r="P139" i="25"/>
  <c r="C159" i="25"/>
  <c r="M52" i="12"/>
  <c r="E52" i="12"/>
  <c r="Q159" i="24"/>
  <c r="E75" i="10"/>
  <c r="C159" i="24"/>
  <c r="N34" i="12"/>
  <c r="D119" i="24"/>
  <c r="P159" i="24"/>
  <c r="E34" i="12"/>
  <c r="D139" i="24"/>
  <c r="E70" i="12"/>
  <c r="F159" i="24"/>
  <c r="O75" i="10"/>
  <c r="N57" i="10"/>
  <c r="P139" i="24"/>
  <c r="D52" i="12"/>
  <c r="F119" i="25"/>
  <c r="M70" i="12"/>
  <c r="N159" i="24"/>
  <c r="Q119" i="25"/>
  <c r="N75" i="10"/>
  <c r="E139" i="24"/>
  <c r="P119" i="24"/>
  <c r="D34" i="12"/>
  <c r="E159" i="25"/>
  <c r="O57" i="10"/>
  <c r="Q139" i="24"/>
  <c r="C119" i="24"/>
  <c r="F119" i="24"/>
  <c r="Q159" i="25"/>
  <c r="F139" i="25"/>
  <c r="E57" i="10"/>
  <c r="N39" i="10"/>
  <c r="D57" i="10"/>
  <c r="N139" i="24"/>
  <c r="F139" i="24"/>
  <c r="D70" i="12"/>
  <c r="M34" i="12"/>
  <c r="Z8" i="4"/>
  <c r="N52" i="12"/>
  <c r="C139" i="24"/>
  <c r="P159" i="25"/>
  <c r="O39" i="10"/>
  <c r="E39" i="10"/>
  <c r="Z8" i="14" l="1"/>
  <c r="Z8" i="24"/>
  <c r="Z8" i="25" s="1"/>
  <c r="Z15" i="4" l="1"/>
  <c r="Q137" i="28"/>
  <c r="Y8" i="4"/>
  <c r="Y8" i="24" l="1"/>
  <c r="Y8" i="25" s="1"/>
  <c r="Y8" i="14"/>
  <c r="Z13" i="14"/>
  <c r="Y13" i="14" s="1"/>
  <c r="Z18" i="24"/>
  <c r="Y15" i="4"/>
  <c r="AD26" i="3"/>
  <c r="AF26" i="3"/>
  <c r="Y18" i="24" l="1"/>
  <c r="Z13" i="25"/>
  <c r="Y13" i="25" s="1"/>
  <c r="AC18" i="24"/>
  <c r="AC12" i="25" s="1"/>
  <c r="AC16" i="4"/>
  <c r="AC12" i="14" s="1"/>
  <c r="AC31" i="13"/>
  <c r="AA31" i="13"/>
  <c r="H24" i="3"/>
  <c r="E32" i="10" l="1"/>
  <c r="E27" i="12"/>
  <c r="G29" i="13"/>
  <c r="D31" i="19" l="1"/>
  <c r="D31" i="3"/>
  <c r="C31" i="3" l="1"/>
  <c r="C31" i="19"/>
  <c r="AD27" i="3" l="1"/>
  <c r="AD27" i="19"/>
  <c r="AF27" i="19"/>
  <c r="Z31" i="21" s="1"/>
  <c r="AF27" i="3"/>
  <c r="AC32" i="13" s="1"/>
  <c r="X31" i="21" l="1"/>
  <c r="G30" i="21" s="1"/>
  <c r="H25" i="19"/>
  <c r="S25" i="19" s="1"/>
  <c r="AA32" i="13"/>
  <c r="H25" i="3"/>
  <c r="Q30" i="21" l="1"/>
  <c r="H30" i="21"/>
  <c r="E34" i="10"/>
  <c r="S25" i="3"/>
  <c r="O34" i="10" s="1"/>
  <c r="E29" i="12"/>
  <c r="G30" i="13"/>
  <c r="I30" i="21" l="1"/>
  <c r="R30" i="21"/>
  <c r="S30" i="21" s="1"/>
  <c r="Q30" i="13"/>
  <c r="N29" i="12" s="1"/>
  <c r="H30" i="13"/>
  <c r="R30" i="13" l="1"/>
  <c r="F29" i="12"/>
  <c r="I30" i="13"/>
  <c r="H29" i="12" l="1"/>
  <c r="G29" i="12"/>
  <c r="S30" i="13"/>
  <c r="O29" i="12"/>
  <c r="Q29" i="12" l="1"/>
  <c r="P29" i="12"/>
  <c r="J6" i="3" l="1"/>
  <c r="D6" i="19"/>
  <c r="J14" i="19" s="1"/>
  <c r="J37" i="19" s="1"/>
  <c r="D8" i="19"/>
  <c r="L14" i="19" s="1"/>
  <c r="L37" i="19" s="1"/>
  <c r="D11" i="19"/>
  <c r="O14" i="19" s="1"/>
  <c r="O37" i="19" s="1"/>
  <c r="C6" i="3"/>
  <c r="J11" i="3" s="1"/>
  <c r="J31" i="3" s="1"/>
  <c r="H6" i="3"/>
  <c r="G6" i="13" s="1"/>
  <c r="G10" i="13" s="1"/>
  <c r="C7" i="19"/>
  <c r="K11" i="19" s="1"/>
  <c r="C11" i="19"/>
  <c r="O11" i="19" s="1"/>
  <c r="O31" i="19" s="1"/>
  <c r="N6" i="19"/>
  <c r="C13" i="3"/>
  <c r="U11" i="3" s="1"/>
  <c r="U31" i="3" s="1"/>
  <c r="C14" i="3"/>
  <c r="R11" i="3" s="1"/>
  <c r="R6" i="19"/>
  <c r="D8" i="3"/>
  <c r="L14" i="3" s="1"/>
  <c r="L37" i="3" s="1"/>
  <c r="L6" i="19"/>
  <c r="K6" i="21" s="1"/>
  <c r="K10" i="21" s="1"/>
  <c r="T6" i="19"/>
  <c r="S6" i="21" s="1"/>
  <c r="S10" i="21" s="1"/>
  <c r="D5" i="19"/>
  <c r="I14" i="19" s="1"/>
  <c r="I37" i="19" s="1"/>
  <c r="C17" i="19"/>
  <c r="S11" i="19" s="1"/>
  <c r="S31" i="19" s="1"/>
  <c r="C8" i="19"/>
  <c r="L11" i="19" s="1"/>
  <c r="L31" i="19" s="1"/>
  <c r="C7" i="3"/>
  <c r="K11" i="3" s="1"/>
  <c r="S6" i="3"/>
  <c r="R6" i="13" s="1"/>
  <c r="R10" i="13" s="1"/>
  <c r="I6" i="19"/>
  <c r="M6" i="19"/>
  <c r="L6" i="21" s="1"/>
  <c r="L10" i="21" s="1"/>
  <c r="D14" i="3"/>
  <c r="R14" i="3" s="1"/>
  <c r="R37" i="3" s="1"/>
  <c r="K6" i="19"/>
  <c r="C8" i="3"/>
  <c r="L11" i="3" s="1"/>
  <c r="L31" i="3" s="1"/>
  <c r="T6" i="3"/>
  <c r="S6" i="13" s="1"/>
  <c r="S10" i="13" s="1"/>
  <c r="H6" i="19"/>
  <c r="G6" i="21" s="1"/>
  <c r="G10" i="21" s="1"/>
  <c r="I6" i="3"/>
  <c r="H6" i="13" s="1"/>
  <c r="H10" i="13" s="1"/>
  <c r="R6" i="3"/>
  <c r="U6" i="19"/>
  <c r="C5" i="3"/>
  <c r="I11" i="3" s="1"/>
  <c r="D4" i="19"/>
  <c r="D6" i="3"/>
  <c r="J14" i="3" s="1"/>
  <c r="J37" i="3" s="1"/>
  <c r="P6" i="3"/>
  <c r="O6" i="13" s="1"/>
  <c r="O10" i="13" s="1"/>
  <c r="Q6" i="3"/>
  <c r="K6" i="3"/>
  <c r="J6" i="13" s="1"/>
  <c r="J10" i="13" s="1"/>
  <c r="C4" i="3"/>
  <c r="H11" i="3" s="1"/>
  <c r="S6" i="19"/>
  <c r="R6" i="21" s="1"/>
  <c r="R10" i="21" s="1"/>
  <c r="O6" i="19"/>
  <c r="C4" i="19"/>
  <c r="N6" i="3"/>
  <c r="M6" i="3"/>
  <c r="L6" i="13" s="1"/>
  <c r="L10" i="13" s="1"/>
  <c r="Q6" i="19"/>
  <c r="P6" i="21" s="1"/>
  <c r="P10" i="21" s="1"/>
  <c r="D4" i="3"/>
  <c r="H14" i="3" s="1"/>
  <c r="H37" i="3" s="1"/>
  <c r="C6" i="19"/>
  <c r="J11" i="19" s="1"/>
  <c r="D13" i="19"/>
  <c r="U14" i="19" s="1"/>
  <c r="U37" i="19" s="1"/>
  <c r="I3" i="10"/>
  <c r="F28" i="21" s="1"/>
  <c r="P28" i="21" s="1"/>
  <c r="D15" i="19"/>
  <c r="T14" i="19" s="1"/>
  <c r="T37" i="19" s="1"/>
  <c r="L6" i="3"/>
  <c r="K6" i="13" s="1"/>
  <c r="K10" i="13" s="1"/>
  <c r="O6" i="3"/>
  <c r="N6" i="13" s="1"/>
  <c r="N10" i="13" s="1"/>
  <c r="R25" i="19"/>
  <c r="P30" i="21" s="1"/>
  <c r="AD16" i="3"/>
  <c r="E89" i="10" s="1"/>
  <c r="R24" i="19"/>
  <c r="P29" i="21" s="1"/>
  <c r="P6" i="19"/>
  <c r="O6" i="21" s="1"/>
  <c r="O10" i="21" s="1"/>
  <c r="U6" i="3"/>
  <c r="P56" i="10"/>
  <c r="G31" i="10"/>
  <c r="F31" i="10"/>
  <c r="F50" i="10"/>
  <c r="F93" i="10"/>
  <c r="F99" i="10"/>
  <c r="G80" i="10"/>
  <c r="G25" i="3"/>
  <c r="F30" i="13" s="1"/>
  <c r="D9" i="3"/>
  <c r="M14" i="3" s="1"/>
  <c r="M37" i="3" s="1"/>
  <c r="D15" i="3"/>
  <c r="T14" i="3" s="1"/>
  <c r="T37" i="3" s="1"/>
  <c r="C16" i="19"/>
  <c r="Q11" i="19" s="1"/>
  <c r="Q31" i="19" s="1"/>
  <c r="D9" i="19"/>
  <c r="M14" i="19" s="1"/>
  <c r="C13" i="19"/>
  <c r="U11" i="19" s="1"/>
  <c r="F74" i="10"/>
  <c r="C17" i="3"/>
  <c r="S11" i="3" s="1"/>
  <c r="S31" i="3" s="1"/>
  <c r="C10" i="3"/>
  <c r="N11" i="3" s="1"/>
  <c r="N31" i="3" s="1"/>
  <c r="AD18" i="19"/>
  <c r="I7" i="10"/>
  <c r="Q38" i="10"/>
  <c r="G99" i="10"/>
  <c r="P80" i="10"/>
  <c r="G23" i="19"/>
  <c r="G23" i="3"/>
  <c r="P86" i="10"/>
  <c r="G86" i="10"/>
  <c r="F86" i="10"/>
  <c r="G74" i="10"/>
  <c r="F62" i="10"/>
  <c r="D10" i="3"/>
  <c r="N14" i="3" s="1"/>
  <c r="N37" i="3" s="1"/>
  <c r="D5" i="3"/>
  <c r="I14" i="3" s="1"/>
  <c r="I37" i="3" s="1"/>
  <c r="C15" i="19"/>
  <c r="T11" i="19" s="1"/>
  <c r="T31" i="19" s="1"/>
  <c r="P38" i="10"/>
  <c r="F105" i="10"/>
  <c r="Q74" i="10"/>
  <c r="D12" i="3"/>
  <c r="P14" i="3" s="1"/>
  <c r="C11" i="3"/>
  <c r="O11" i="3" s="1"/>
  <c r="O31" i="3" s="1"/>
  <c r="C16" i="3"/>
  <c r="Q11" i="3" s="1"/>
  <c r="Q31" i="3" s="1"/>
  <c r="D7" i="19"/>
  <c r="K14" i="19" s="1"/>
  <c r="G25" i="19"/>
  <c r="F30" i="21" s="1"/>
  <c r="C15" i="3"/>
  <c r="T11" i="3" s="1"/>
  <c r="T31" i="3" s="1"/>
  <c r="G24" i="3"/>
  <c r="F29" i="13" s="1"/>
  <c r="F68" i="10"/>
  <c r="P74" i="10"/>
  <c r="G62" i="10"/>
  <c r="G50" i="10"/>
  <c r="G68" i="10"/>
  <c r="F56" i="10"/>
  <c r="Q62" i="10"/>
  <c r="P62" i="10"/>
  <c r="F44" i="10"/>
  <c r="P31" i="10"/>
  <c r="R24" i="3"/>
  <c r="P29" i="13" s="1"/>
  <c r="D17" i="3"/>
  <c r="S14" i="3" s="1"/>
  <c r="S37" i="3" s="1"/>
  <c r="D11" i="3"/>
  <c r="O14" i="3" s="1"/>
  <c r="O37" i="3" s="1"/>
  <c r="D14" i="19"/>
  <c r="R14" i="19" s="1"/>
  <c r="R37" i="19" s="1"/>
  <c r="D16" i="19"/>
  <c r="Q14" i="19" s="1"/>
  <c r="Q37" i="19" s="1"/>
  <c r="C9" i="3"/>
  <c r="M11" i="3" s="1"/>
  <c r="M31" i="3" s="1"/>
  <c r="D7" i="3"/>
  <c r="K14" i="3" s="1"/>
  <c r="Q68" i="10"/>
  <c r="D10" i="19"/>
  <c r="N14" i="19" s="1"/>
  <c r="N37" i="19" s="1"/>
  <c r="Q50" i="10"/>
  <c r="Q56" i="10"/>
  <c r="D17" i="19"/>
  <c r="S14" i="19" s="1"/>
  <c r="C12" i="19"/>
  <c r="P11" i="19" s="1"/>
  <c r="C9" i="19"/>
  <c r="M11" i="19" s="1"/>
  <c r="C12" i="3"/>
  <c r="P11" i="3" s="1"/>
  <c r="P31" i="3" s="1"/>
  <c r="F80" i="10"/>
  <c r="C5" i="19"/>
  <c r="I11" i="19" s="1"/>
  <c r="I31" i="19" s="1"/>
  <c r="AD18" i="3"/>
  <c r="AE18" i="3" s="1"/>
  <c r="G105" i="10"/>
  <c r="Q80" i="10"/>
  <c r="Q86" i="10"/>
  <c r="G56" i="10"/>
  <c r="P44" i="10"/>
  <c r="P50" i="10"/>
  <c r="Q31" i="10"/>
  <c r="G24" i="19"/>
  <c r="F29" i="21" s="1"/>
  <c r="Q44" i="10"/>
  <c r="G38" i="10"/>
  <c r="F38" i="10"/>
  <c r="G44" i="10"/>
  <c r="P68" i="10"/>
  <c r="G93" i="10"/>
  <c r="R25" i="3"/>
  <c r="P30" i="13" s="1"/>
  <c r="C10" i="19"/>
  <c r="N11" i="19" s="1"/>
  <c r="N31" i="19" s="1"/>
  <c r="D13" i="3"/>
  <c r="U14" i="3" s="1"/>
  <c r="D12" i="19"/>
  <c r="P14" i="19" s="1"/>
  <c r="D16" i="3"/>
  <c r="Q14" i="3" s="1"/>
  <c r="Q37" i="3" s="1"/>
  <c r="C14" i="19"/>
  <c r="R11" i="19" s="1"/>
  <c r="R31" i="19" s="1"/>
  <c r="J6" i="19"/>
  <c r="I6" i="21" s="1"/>
  <c r="I10" i="21" s="1"/>
  <c r="U10" i="3" l="1"/>
  <c r="U30" i="3" s="1"/>
  <c r="N71" i="10"/>
  <c r="E65" i="10"/>
  <c r="E83" i="10"/>
  <c r="D71" i="10"/>
  <c r="O13" i="19"/>
  <c r="O36" i="19" s="1"/>
  <c r="K10" i="19"/>
  <c r="K30" i="19" s="1"/>
  <c r="U10" i="19"/>
  <c r="U30" i="19" s="1"/>
  <c r="U31" i="19"/>
  <c r="K10" i="3"/>
  <c r="K30" i="3" s="1"/>
  <c r="D53" i="10"/>
  <c r="E71" i="10"/>
  <c r="N65" i="10"/>
  <c r="R31" i="3"/>
  <c r="R10" i="3"/>
  <c r="R30" i="3" s="1"/>
  <c r="S13" i="19"/>
  <c r="S36" i="19" s="1"/>
  <c r="S37" i="19"/>
  <c r="S10" i="19"/>
  <c r="S30" i="19" s="1"/>
  <c r="K31" i="19"/>
  <c r="R13" i="3"/>
  <c r="R36" i="3" s="1"/>
  <c r="D89" i="10"/>
  <c r="H3" i="12"/>
  <c r="H7" i="12" s="1"/>
  <c r="J6" i="21"/>
  <c r="J10" i="21" s="1"/>
  <c r="E53" i="10"/>
  <c r="N10" i="3"/>
  <c r="N30" i="3" s="1"/>
  <c r="D18" i="19"/>
  <c r="D59" i="10"/>
  <c r="O10" i="3"/>
  <c r="O30" i="3" s="1"/>
  <c r="C18" i="19"/>
  <c r="T6" i="13"/>
  <c r="T10" i="13" s="1"/>
  <c r="O71" i="10"/>
  <c r="H13" i="3"/>
  <c r="AA19" i="3" s="1"/>
  <c r="K31" i="3"/>
  <c r="V11" i="3"/>
  <c r="Z20" i="3"/>
  <c r="H31" i="3"/>
  <c r="I10" i="19"/>
  <c r="I30" i="19" s="1"/>
  <c r="M13" i="19"/>
  <c r="M36" i="19" s="1"/>
  <c r="M37" i="19"/>
  <c r="U37" i="3"/>
  <c r="U13" i="3"/>
  <c r="U36" i="3" s="1"/>
  <c r="M31" i="19"/>
  <c r="M10" i="19"/>
  <c r="M30" i="19" s="1"/>
  <c r="P13" i="3"/>
  <c r="P36" i="3" s="1"/>
  <c r="P37" i="3"/>
  <c r="W20" i="13"/>
  <c r="X20" i="13" s="1"/>
  <c r="K13" i="3"/>
  <c r="K36" i="3" s="1"/>
  <c r="X20" i="3"/>
  <c r="Y20" i="3" s="1"/>
  <c r="K37" i="3"/>
  <c r="X20" i="19"/>
  <c r="J31" i="19"/>
  <c r="V20" i="19"/>
  <c r="W20" i="19" s="1"/>
  <c r="I31" i="3"/>
  <c r="I10" i="3"/>
  <c r="I30" i="3" s="1"/>
  <c r="W20" i="21"/>
  <c r="AA9" i="22" s="1"/>
  <c r="P37" i="19"/>
  <c r="P13" i="19"/>
  <c r="P36" i="19" s="1"/>
  <c r="P31" i="19"/>
  <c r="P10" i="19"/>
  <c r="P30" i="19" s="1"/>
  <c r="E77" i="10"/>
  <c r="L10" i="3"/>
  <c r="L30" i="3" s="1"/>
  <c r="K37" i="19"/>
  <c r="N13" i="3"/>
  <c r="N36" i="3" s="1"/>
  <c r="H11" i="19"/>
  <c r="H10" i="19" s="1"/>
  <c r="S10" i="3"/>
  <c r="S30" i="3" s="1"/>
  <c r="C18" i="3"/>
  <c r="N10" i="19"/>
  <c r="N30" i="19" s="1"/>
  <c r="D18" i="3"/>
  <c r="Q10" i="3"/>
  <c r="Q30" i="3" s="1"/>
  <c r="N53" i="10"/>
  <c r="M13" i="3"/>
  <c r="M36" i="3" s="1"/>
  <c r="N6" i="21"/>
  <c r="N10" i="21" s="1"/>
  <c r="Q13" i="3"/>
  <c r="Q36" i="3" s="1"/>
  <c r="P10" i="3"/>
  <c r="P30" i="3" s="1"/>
  <c r="H14" i="19"/>
  <c r="H13" i="19" s="1"/>
  <c r="S13" i="3"/>
  <c r="S36" i="3" s="1"/>
  <c r="L10" i="19"/>
  <c r="L30" i="19" s="1"/>
  <c r="R13" i="19"/>
  <c r="R36" i="19" s="1"/>
  <c r="Q6" i="21"/>
  <c r="Q10" i="21" s="1"/>
  <c r="N13" i="19"/>
  <c r="N36" i="19" s="1"/>
  <c r="S24" i="3"/>
  <c r="O32" i="10" s="1"/>
  <c r="N89" i="10"/>
  <c r="E59" i="10"/>
  <c r="O53" i="10"/>
  <c r="O13" i="3"/>
  <c r="O36" i="3" s="1"/>
  <c r="L13" i="3"/>
  <c r="L36" i="3" s="1"/>
  <c r="F28" i="13"/>
  <c r="P28" i="13" s="1"/>
  <c r="Q10" i="19"/>
  <c r="Q30" i="19" s="1"/>
  <c r="M6" i="13"/>
  <c r="M10" i="13" s="1"/>
  <c r="U13" i="19"/>
  <c r="U36" i="19" s="1"/>
  <c r="T6" i="21"/>
  <c r="S24" i="19"/>
  <c r="O33" i="10" s="1"/>
  <c r="AA17" i="13"/>
  <c r="L13" i="19"/>
  <c r="L36" i="19" s="1"/>
  <c r="P6" i="13"/>
  <c r="P10" i="13" s="1"/>
  <c r="T10" i="3"/>
  <c r="T30" i="3" s="1"/>
  <c r="I13" i="19"/>
  <c r="I36" i="19" s="1"/>
  <c r="T10" i="19"/>
  <c r="T30" i="19" s="1"/>
  <c r="AA20" i="3"/>
  <c r="J10" i="19"/>
  <c r="V14" i="3"/>
  <c r="J13" i="19"/>
  <c r="AE18" i="19"/>
  <c r="D65" i="10"/>
  <c r="AE16" i="3"/>
  <c r="Q13" i="19"/>
  <c r="Q36" i="19" s="1"/>
  <c r="M10" i="3"/>
  <c r="M30" i="3" s="1"/>
  <c r="O10" i="19"/>
  <c r="O30" i="19" s="1"/>
  <c r="I13" i="3"/>
  <c r="I36" i="3" s="1"/>
  <c r="T13" i="3"/>
  <c r="T36" i="3" s="1"/>
  <c r="K13" i="19"/>
  <c r="K36" i="19" s="1"/>
  <c r="H6" i="21"/>
  <c r="H10" i="21" s="1"/>
  <c r="T13" i="19"/>
  <c r="T36" i="19" s="1"/>
  <c r="R10" i="19"/>
  <c r="R30" i="19" s="1"/>
  <c r="J13" i="3"/>
  <c r="I6" i="13"/>
  <c r="I10" i="13" s="1"/>
  <c r="J10" i="3"/>
  <c r="O83" i="10"/>
  <c r="D83" i="10"/>
  <c r="D47" i="10"/>
  <c r="N83" i="10"/>
  <c r="E47" i="10"/>
  <c r="O47" i="10"/>
  <c r="N47" i="10"/>
  <c r="O65" i="10"/>
  <c r="O89" i="10"/>
  <c r="Q6" i="13"/>
  <c r="Q10" i="13" s="1"/>
  <c r="M6" i="21"/>
  <c r="M10" i="21" s="1"/>
  <c r="V20" i="3"/>
  <c r="W20" i="3" s="1"/>
  <c r="H10" i="3"/>
  <c r="N59" i="10" l="1"/>
  <c r="U20" i="21"/>
  <c r="Z9" i="22" s="1"/>
  <c r="E41" i="10"/>
  <c r="O59" i="10"/>
  <c r="D41" i="10"/>
  <c r="N77" i="10"/>
  <c r="H36" i="3"/>
  <c r="AA21" i="24" s="1"/>
  <c r="AA22" i="24" s="1"/>
  <c r="Q29" i="13"/>
  <c r="N27" i="12" s="1"/>
  <c r="N41" i="10"/>
  <c r="D77" i="10"/>
  <c r="H29" i="21"/>
  <c r="F28" i="12" s="1"/>
  <c r="O41" i="10"/>
  <c r="J25" i="3"/>
  <c r="G34" i="10" s="1"/>
  <c r="Y9" i="22"/>
  <c r="Y10" i="22" s="1"/>
  <c r="AA9" i="25"/>
  <c r="AA9" i="14"/>
  <c r="E48" i="12"/>
  <c r="D84" i="12"/>
  <c r="D48" i="12"/>
  <c r="D60" i="12"/>
  <c r="N84" i="12"/>
  <c r="E66" i="12"/>
  <c r="M66" i="12"/>
  <c r="M60" i="12"/>
  <c r="M48" i="12"/>
  <c r="N48" i="12"/>
  <c r="E84" i="12"/>
  <c r="E60" i="12"/>
  <c r="E78" i="12"/>
  <c r="E42" i="12"/>
  <c r="N60" i="12"/>
  <c r="M84" i="12"/>
  <c r="M42" i="12"/>
  <c r="N78" i="12"/>
  <c r="N42" i="12"/>
  <c r="M78" i="12"/>
  <c r="D66" i="12"/>
  <c r="D78" i="12"/>
  <c r="D42" i="12"/>
  <c r="N66" i="12"/>
  <c r="X14" i="3"/>
  <c r="V19" i="19"/>
  <c r="W19" i="19" s="1"/>
  <c r="J30" i="19"/>
  <c r="Z16" i="20" s="1"/>
  <c r="I25" i="3"/>
  <c r="V19" i="3"/>
  <c r="W19" i="3" s="1"/>
  <c r="J30" i="3"/>
  <c r="J36" i="3"/>
  <c r="X19" i="3"/>
  <c r="Y19" i="3" s="1"/>
  <c r="V13" i="3"/>
  <c r="X13" i="3" s="1"/>
  <c r="Z19" i="3"/>
  <c r="H30" i="3"/>
  <c r="V10" i="3"/>
  <c r="X10" i="3" s="1"/>
  <c r="AA11" i="24"/>
  <c r="AA12" i="24" s="1"/>
  <c r="AA11" i="4"/>
  <c r="AA12" i="4" s="1"/>
  <c r="Q29" i="21"/>
  <c r="N28" i="12" s="1"/>
  <c r="T10" i="21"/>
  <c r="U10" i="21" s="1"/>
  <c r="H36" i="19"/>
  <c r="V13" i="19"/>
  <c r="AA19" i="19"/>
  <c r="AA11" i="20" s="1"/>
  <c r="AA12" i="20" s="1"/>
  <c r="Z20" i="19"/>
  <c r="H31" i="19"/>
  <c r="I25" i="19" s="1"/>
  <c r="V11" i="19"/>
  <c r="Y20" i="19"/>
  <c r="H29" i="13"/>
  <c r="U20" i="13"/>
  <c r="V20" i="13" s="1"/>
  <c r="H37" i="19"/>
  <c r="J25" i="19" s="1"/>
  <c r="V14" i="19"/>
  <c r="AA20" i="19"/>
  <c r="X11" i="3"/>
  <c r="Z19" i="19"/>
  <c r="AA9" i="20" s="1"/>
  <c r="AA10" i="20" s="1"/>
  <c r="V10" i="19"/>
  <c r="H30" i="19"/>
  <c r="O77" i="10"/>
  <c r="X19" i="19"/>
  <c r="Y19" i="19" s="1"/>
  <c r="J36" i="19"/>
  <c r="Z18" i="20" s="1"/>
  <c r="AA14" i="22"/>
  <c r="AA15" i="22" s="1"/>
  <c r="AA10" i="22"/>
  <c r="AA18" i="4" l="1"/>
  <c r="AA19" i="4" s="1"/>
  <c r="I29" i="21"/>
  <c r="L25" i="3"/>
  <c r="U25" i="3"/>
  <c r="Q34" i="10" s="1"/>
  <c r="R29" i="21"/>
  <c r="S29" i="21" s="1"/>
  <c r="AA19" i="24"/>
  <c r="AA20" i="24" s="1"/>
  <c r="I24" i="3"/>
  <c r="AA16" i="4"/>
  <c r="AA17" i="4" s="1"/>
  <c r="Z16" i="4"/>
  <c r="Z19" i="24"/>
  <c r="M36" i="12"/>
  <c r="Z9" i="24"/>
  <c r="Z10" i="24" s="1"/>
  <c r="Y9" i="24"/>
  <c r="Y10" i="24" s="1"/>
  <c r="Y9" i="4"/>
  <c r="Y10" i="4" s="1"/>
  <c r="Z9" i="4"/>
  <c r="Z10" i="4" s="1"/>
  <c r="M54" i="12"/>
  <c r="AA10" i="14"/>
  <c r="AA14" i="14"/>
  <c r="AA15" i="14" s="1"/>
  <c r="AA18" i="20"/>
  <c r="AA19" i="20" s="1"/>
  <c r="J24" i="19"/>
  <c r="D36" i="12"/>
  <c r="N54" i="12"/>
  <c r="AA10" i="25"/>
  <c r="AA14" i="25"/>
  <c r="AA15" i="25" s="1"/>
  <c r="H28" i="12"/>
  <c r="G28" i="12"/>
  <c r="Z11" i="24"/>
  <c r="Z12" i="24" s="1"/>
  <c r="Y11" i="4"/>
  <c r="Y12" i="4" s="1"/>
  <c r="Y11" i="24"/>
  <c r="Y12" i="24" s="1"/>
  <c r="Z11" i="4"/>
  <c r="Z12" i="4" s="1"/>
  <c r="D72" i="12"/>
  <c r="E36" i="12"/>
  <c r="Z18" i="4"/>
  <c r="Z21" i="24"/>
  <c r="E72" i="12"/>
  <c r="Z10" i="22"/>
  <c r="Z14" i="22"/>
  <c r="Z19" i="20"/>
  <c r="Y11" i="20"/>
  <c r="Y12" i="20" s="1"/>
  <c r="Z11" i="20"/>
  <c r="Z12" i="20" s="1"/>
  <c r="Z17" i="20"/>
  <c r="M72" i="12"/>
  <c r="E54" i="12"/>
  <c r="D54" i="12"/>
  <c r="AA9" i="4"/>
  <c r="AA10" i="4" s="1"/>
  <c r="AA9" i="24"/>
  <c r="AA10" i="24" s="1"/>
  <c r="K25" i="19"/>
  <c r="T25" i="19"/>
  <c r="V25" i="19" s="1"/>
  <c r="J24" i="3"/>
  <c r="Y9" i="20"/>
  <c r="Y10" i="20" s="1"/>
  <c r="Z9" i="20"/>
  <c r="Z10" i="20" s="1"/>
  <c r="N36" i="12"/>
  <c r="R29" i="13"/>
  <c r="I29" i="13"/>
  <c r="F27" i="12"/>
  <c r="K25" i="3"/>
  <c r="F34" i="10"/>
  <c r="J34" i="10" s="1"/>
  <c r="T25" i="3"/>
  <c r="U25" i="19"/>
  <c r="W25" i="19" s="1"/>
  <c r="L25" i="19"/>
  <c r="I24" i="19"/>
  <c r="AA16" i="20"/>
  <c r="AA17" i="20" s="1"/>
  <c r="Z9" i="25"/>
  <c r="Y9" i="25"/>
  <c r="Y10" i="25" s="1"/>
  <c r="Y9" i="14"/>
  <c r="Y10" i="14" s="1"/>
  <c r="Z9" i="14"/>
  <c r="N72" i="12"/>
  <c r="H34" i="10"/>
  <c r="I34" i="10"/>
  <c r="W25" i="3" l="1"/>
  <c r="O28" i="12"/>
  <c r="Y18" i="20"/>
  <c r="Y19" i="20" s="1"/>
  <c r="AE16" i="20" s="1"/>
  <c r="J9" i="20" s="1"/>
  <c r="Y16" i="20"/>
  <c r="Y17" i="20" s="1"/>
  <c r="AD16" i="20" s="1"/>
  <c r="H13" i="20" s="1"/>
  <c r="Y19" i="24"/>
  <c r="Y20" i="24" s="1"/>
  <c r="AD18" i="24" s="1"/>
  <c r="Z20" i="24"/>
  <c r="H27" i="12"/>
  <c r="G27" i="12"/>
  <c r="Y16" i="4"/>
  <c r="Y17" i="4" s="1"/>
  <c r="AD16" i="4" s="1"/>
  <c r="Z17" i="4"/>
  <c r="T24" i="19"/>
  <c r="K24" i="19"/>
  <c r="F33" i="10"/>
  <c r="U24" i="3"/>
  <c r="L24" i="3"/>
  <c r="G32" i="10"/>
  <c r="Y21" i="24"/>
  <c r="Y22" i="24" s="1"/>
  <c r="AE18" i="24" s="1"/>
  <c r="Z22" i="24"/>
  <c r="Z19" i="4"/>
  <c r="Y18" i="4"/>
  <c r="Y19" i="4" s="1"/>
  <c r="AE16" i="4" s="1"/>
  <c r="P28" i="12"/>
  <c r="Q28" i="12"/>
  <c r="G33" i="10"/>
  <c r="L24" i="19"/>
  <c r="U24" i="19"/>
  <c r="T24" i="3"/>
  <c r="F32" i="10"/>
  <c r="K24" i="3"/>
  <c r="V25" i="3"/>
  <c r="P34" i="10"/>
  <c r="T34" i="10" s="1"/>
  <c r="Z10" i="25"/>
  <c r="Z14" i="25"/>
  <c r="S29" i="13"/>
  <c r="O27" i="12"/>
  <c r="Z14" i="14"/>
  <c r="Z10" i="14"/>
  <c r="R34" i="10"/>
  <c r="S34" i="10"/>
  <c r="Y14" i="22"/>
  <c r="Z15" i="22"/>
  <c r="J7" i="20" l="1"/>
  <c r="K7" i="20" s="1"/>
  <c r="J11" i="20"/>
  <c r="K11" i="20" s="1"/>
  <c r="J13" i="20"/>
  <c r="F25" i="20" s="1"/>
  <c r="H7" i="20"/>
  <c r="I7" i="20" s="1"/>
  <c r="H11" i="20"/>
  <c r="E24" i="20" s="1"/>
  <c r="H9" i="20"/>
  <c r="I9" i="20" s="1"/>
  <c r="W24" i="3"/>
  <c r="Q32" i="10"/>
  <c r="Y14" i="14"/>
  <c r="Z15" i="14"/>
  <c r="J33" i="10"/>
  <c r="H33" i="10"/>
  <c r="I33" i="10"/>
  <c r="H8" i="24"/>
  <c r="H14" i="24"/>
  <c r="H9" i="24"/>
  <c r="H7" i="24"/>
  <c r="H12" i="24"/>
  <c r="H10" i="24"/>
  <c r="H13" i="24"/>
  <c r="H15" i="24"/>
  <c r="Q27" i="12"/>
  <c r="P27" i="12"/>
  <c r="K9" i="20"/>
  <c r="F23" i="20"/>
  <c r="AD12" i="22"/>
  <c r="Y15" i="22"/>
  <c r="J8" i="4"/>
  <c r="J7" i="4"/>
  <c r="J11" i="4"/>
  <c r="K11" i="4" s="1"/>
  <c r="J10" i="4"/>
  <c r="J12" i="4"/>
  <c r="K12" i="4" s="1"/>
  <c r="J9" i="4"/>
  <c r="H32" i="10"/>
  <c r="J32" i="10"/>
  <c r="I32" i="10"/>
  <c r="P33" i="10"/>
  <c r="V24" i="19"/>
  <c r="P32" i="10"/>
  <c r="V24" i="3"/>
  <c r="Y14" i="25"/>
  <c r="Z15" i="25"/>
  <c r="W24" i="19"/>
  <c r="Q33" i="10"/>
  <c r="J13" i="24"/>
  <c r="J12" i="24"/>
  <c r="J14" i="24"/>
  <c r="J8" i="24"/>
  <c r="J15" i="24"/>
  <c r="J9" i="24"/>
  <c r="J7" i="24"/>
  <c r="J10" i="24"/>
  <c r="S11" i="4"/>
  <c r="S12" i="4"/>
  <c r="H8" i="4"/>
  <c r="H11" i="4"/>
  <c r="I11" i="4" s="1"/>
  <c r="H7" i="4"/>
  <c r="H12" i="4"/>
  <c r="I12" i="4" s="1"/>
  <c r="H9" i="4"/>
  <c r="H10" i="4"/>
  <c r="I13" i="20"/>
  <c r="E25" i="20"/>
  <c r="E23" i="20" l="1"/>
  <c r="F24" i="20"/>
  <c r="K13" i="20"/>
  <c r="F22" i="20"/>
  <c r="E22" i="20"/>
  <c r="G36" i="20" s="1"/>
  <c r="I11" i="20"/>
  <c r="U12" i="4"/>
  <c r="V12" i="4" s="1"/>
  <c r="T12" i="4"/>
  <c r="K14" i="24"/>
  <c r="U14" i="24"/>
  <c r="F32" i="24"/>
  <c r="F23" i="4"/>
  <c r="U9" i="4"/>
  <c r="K9" i="4"/>
  <c r="I7" i="24"/>
  <c r="S7" i="24"/>
  <c r="E25" i="24"/>
  <c r="AD12" i="14"/>
  <c r="H7" i="14" s="1"/>
  <c r="Y15" i="14"/>
  <c r="U11" i="4"/>
  <c r="V11" i="4" s="1"/>
  <c r="T11" i="4"/>
  <c r="K10" i="4"/>
  <c r="U10" i="4"/>
  <c r="F26" i="4"/>
  <c r="I14" i="24"/>
  <c r="S14" i="24"/>
  <c r="E32" i="24"/>
  <c r="J38" i="20"/>
  <c r="G108" i="10" s="1"/>
  <c r="J36" i="20"/>
  <c r="J37" i="20"/>
  <c r="G107" i="10" s="1"/>
  <c r="U12" i="24"/>
  <c r="K12" i="24"/>
  <c r="F30" i="24"/>
  <c r="U13" i="24"/>
  <c r="K13" i="24"/>
  <c r="F31" i="24"/>
  <c r="U10" i="24"/>
  <c r="K10" i="24"/>
  <c r="F28" i="24"/>
  <c r="H36" i="20"/>
  <c r="H37" i="20"/>
  <c r="F107" i="10" s="1"/>
  <c r="H38" i="20"/>
  <c r="F108" i="10" s="1"/>
  <c r="S8" i="24"/>
  <c r="I8" i="24"/>
  <c r="E26" i="24"/>
  <c r="F22" i="4"/>
  <c r="U7" i="4"/>
  <c r="K7" i="4"/>
  <c r="S15" i="24"/>
  <c r="I15" i="24"/>
  <c r="E33" i="24"/>
  <c r="R32" i="10"/>
  <c r="S32" i="10"/>
  <c r="T32" i="10"/>
  <c r="S7" i="4"/>
  <c r="I7" i="4"/>
  <c r="E22" i="4"/>
  <c r="U8" i="4"/>
  <c r="F25" i="4"/>
  <c r="K8" i="4"/>
  <c r="S13" i="24"/>
  <c r="E31" i="24"/>
  <c r="I13" i="24"/>
  <c r="U15" i="24"/>
  <c r="K15" i="24"/>
  <c r="F33" i="24"/>
  <c r="E28" i="24"/>
  <c r="S10" i="24"/>
  <c r="I10" i="24"/>
  <c r="I37" i="20"/>
  <c r="G101" i="10" s="1"/>
  <c r="I36" i="20"/>
  <c r="I38" i="20"/>
  <c r="G102" i="10" s="1"/>
  <c r="AD12" i="25"/>
  <c r="Y15" i="25"/>
  <c r="E27" i="24"/>
  <c r="S9" i="24"/>
  <c r="I9" i="24"/>
  <c r="I10" i="4"/>
  <c r="S10" i="4"/>
  <c r="E26" i="4"/>
  <c r="I9" i="4"/>
  <c r="S9" i="4"/>
  <c r="E23" i="4"/>
  <c r="U7" i="24"/>
  <c r="F25" i="24"/>
  <c r="K7" i="24"/>
  <c r="U9" i="24"/>
  <c r="F27" i="24"/>
  <c r="K9" i="24"/>
  <c r="R33" i="10"/>
  <c r="T33" i="10"/>
  <c r="S33" i="10"/>
  <c r="S8" i="4"/>
  <c r="E25" i="4"/>
  <c r="I8" i="4"/>
  <c r="U8" i="24"/>
  <c r="K8" i="24"/>
  <c r="F26" i="24"/>
  <c r="H7" i="22"/>
  <c r="H11" i="22"/>
  <c r="H9" i="22"/>
  <c r="H13" i="22"/>
  <c r="E30" i="24"/>
  <c r="S12" i="24"/>
  <c r="I12" i="24"/>
  <c r="G37" i="20" l="1"/>
  <c r="F101" i="10" s="1"/>
  <c r="F95" i="10" s="1"/>
  <c r="G38" i="20"/>
  <c r="F102" i="10" s="1"/>
  <c r="F96" i="10" s="1"/>
  <c r="E25" i="22"/>
  <c r="I13" i="22"/>
  <c r="I101" i="10"/>
  <c r="G95" i="10"/>
  <c r="H101" i="10"/>
  <c r="T43" i="4"/>
  <c r="T66" i="4"/>
  <c r="I66" i="4"/>
  <c r="T65" i="4"/>
  <c r="I86" i="4"/>
  <c r="I84" i="4"/>
  <c r="I43" i="4"/>
  <c r="T45" i="4"/>
  <c r="I85" i="4"/>
  <c r="I46" i="4"/>
  <c r="I83" i="4"/>
  <c r="T84" i="4"/>
  <c r="I45" i="4"/>
  <c r="T46" i="4"/>
  <c r="T85" i="4"/>
  <c r="I44" i="4"/>
  <c r="T63" i="4"/>
  <c r="I64" i="4"/>
  <c r="T44" i="4"/>
  <c r="I65" i="4"/>
  <c r="T64" i="4"/>
  <c r="T83" i="4"/>
  <c r="T86" i="4"/>
  <c r="I63" i="4"/>
  <c r="J107" i="10"/>
  <c r="H107" i="10"/>
  <c r="I107" i="10"/>
  <c r="F40" i="24"/>
  <c r="V10" i="24"/>
  <c r="G106" i="10"/>
  <c r="J39" i="20"/>
  <c r="V9" i="4"/>
  <c r="F32" i="4"/>
  <c r="E22" i="22"/>
  <c r="I7" i="22"/>
  <c r="T73" i="24"/>
  <c r="T52" i="24"/>
  <c r="T93" i="24"/>
  <c r="I71" i="24"/>
  <c r="I91" i="24"/>
  <c r="I92" i="24"/>
  <c r="T74" i="24"/>
  <c r="T54" i="24"/>
  <c r="I72" i="24"/>
  <c r="T72" i="24"/>
  <c r="T53" i="24"/>
  <c r="T94" i="24"/>
  <c r="I53" i="24"/>
  <c r="I94" i="24"/>
  <c r="T92" i="24"/>
  <c r="I73" i="24"/>
  <c r="T91" i="24"/>
  <c r="T71" i="24"/>
  <c r="I93" i="24"/>
  <c r="I51" i="24"/>
  <c r="T51" i="24"/>
  <c r="I54" i="24"/>
  <c r="I52" i="24"/>
  <c r="I74" i="24"/>
  <c r="T13" i="24"/>
  <c r="E43" i="24"/>
  <c r="T9" i="24"/>
  <c r="E39" i="24"/>
  <c r="J108" i="10"/>
  <c r="I108" i="10"/>
  <c r="H108" i="10"/>
  <c r="H71" i="24"/>
  <c r="H93" i="24"/>
  <c r="H74" i="24"/>
  <c r="H54" i="24"/>
  <c r="H53" i="24"/>
  <c r="S51" i="24"/>
  <c r="S74" i="24"/>
  <c r="S94" i="24"/>
  <c r="H51" i="24"/>
  <c r="H73" i="24"/>
  <c r="S92" i="24"/>
  <c r="S52" i="24"/>
  <c r="S54" i="24"/>
  <c r="S53" i="24"/>
  <c r="H91" i="24"/>
  <c r="S91" i="24"/>
  <c r="S73" i="24"/>
  <c r="H52" i="24"/>
  <c r="S71" i="24"/>
  <c r="H92" i="24"/>
  <c r="H94" i="24"/>
  <c r="S72" i="24"/>
  <c r="S93" i="24"/>
  <c r="H72" i="24"/>
  <c r="H83" i="4"/>
  <c r="S43" i="4"/>
  <c r="S63" i="4"/>
  <c r="H43" i="4"/>
  <c r="S83" i="4"/>
  <c r="H63" i="4"/>
  <c r="H85" i="4"/>
  <c r="H86" i="4"/>
  <c r="S65" i="4"/>
  <c r="S64" i="4"/>
  <c r="H84" i="4"/>
  <c r="S86" i="4"/>
  <c r="S85" i="4"/>
  <c r="H44" i="4"/>
  <c r="H64" i="4"/>
  <c r="H65" i="4"/>
  <c r="S66" i="4"/>
  <c r="S46" i="4"/>
  <c r="H46" i="4"/>
  <c r="H45" i="4"/>
  <c r="H66" i="4"/>
  <c r="S44" i="4"/>
  <c r="S45" i="4"/>
  <c r="S84" i="4"/>
  <c r="F37" i="24"/>
  <c r="V7" i="24"/>
  <c r="T10" i="24"/>
  <c r="E40" i="24"/>
  <c r="E42" i="24"/>
  <c r="T12" i="24"/>
  <c r="F38" i="24"/>
  <c r="V8" i="24"/>
  <c r="J66" i="4"/>
  <c r="J46" i="4"/>
  <c r="J86" i="4"/>
  <c r="J64" i="4"/>
  <c r="U46" i="4"/>
  <c r="U44" i="4"/>
  <c r="U45" i="4"/>
  <c r="U84" i="4"/>
  <c r="U83" i="4"/>
  <c r="J85" i="4"/>
  <c r="U86" i="4"/>
  <c r="J44" i="4"/>
  <c r="U64" i="4"/>
  <c r="J43" i="4"/>
  <c r="J45" i="4"/>
  <c r="U43" i="4"/>
  <c r="J84" i="4"/>
  <c r="U65" i="4"/>
  <c r="J63" i="4"/>
  <c r="U85" i="4"/>
  <c r="J83" i="4"/>
  <c r="U63" i="4"/>
  <c r="U66" i="4"/>
  <c r="J65" i="4"/>
  <c r="E38" i="24"/>
  <c r="T8" i="24"/>
  <c r="F100" i="10"/>
  <c r="G39" i="20"/>
  <c r="E32" i="4"/>
  <c r="T9" i="4"/>
  <c r="F34" i="4"/>
  <c r="V8" i="4"/>
  <c r="V13" i="24"/>
  <c r="F43" i="24"/>
  <c r="T14" i="24"/>
  <c r="E44" i="24"/>
  <c r="H8" i="14"/>
  <c r="S7" i="14"/>
  <c r="H11" i="14"/>
  <c r="H9" i="14"/>
  <c r="E22" i="14"/>
  <c r="I7" i="14"/>
  <c r="V14" i="24"/>
  <c r="F44" i="24"/>
  <c r="H10" i="25"/>
  <c r="H7" i="25"/>
  <c r="H15" i="25"/>
  <c r="H13" i="25"/>
  <c r="H9" i="25"/>
  <c r="H8" i="25"/>
  <c r="H14" i="25"/>
  <c r="H12" i="25"/>
  <c r="R83" i="4"/>
  <c r="G43" i="4"/>
  <c r="G63" i="4"/>
  <c r="R63" i="4"/>
  <c r="G83" i="4"/>
  <c r="R43" i="4"/>
  <c r="R44" i="4"/>
  <c r="R46" i="4"/>
  <c r="G86" i="4"/>
  <c r="G46" i="4"/>
  <c r="R85" i="4"/>
  <c r="G64" i="4"/>
  <c r="R66" i="4"/>
  <c r="R84" i="4"/>
  <c r="G66" i="4"/>
  <c r="R45" i="4"/>
  <c r="R86" i="4"/>
  <c r="G84" i="4"/>
  <c r="G44" i="4"/>
  <c r="G65" i="4"/>
  <c r="G45" i="4"/>
  <c r="R64" i="4"/>
  <c r="R65" i="4"/>
  <c r="G85" i="4"/>
  <c r="T15" i="24"/>
  <c r="E45" i="24"/>
  <c r="U53" i="24"/>
  <c r="J94" i="24"/>
  <c r="J54" i="24"/>
  <c r="U51" i="24"/>
  <c r="J73" i="24"/>
  <c r="U71" i="24"/>
  <c r="U52" i="24"/>
  <c r="U54" i="24"/>
  <c r="U74" i="24"/>
  <c r="J52" i="24"/>
  <c r="J53" i="24"/>
  <c r="U94" i="24"/>
  <c r="U73" i="24"/>
  <c r="J74" i="24"/>
  <c r="U93" i="24"/>
  <c r="J71" i="24"/>
  <c r="J93" i="24"/>
  <c r="J72" i="24"/>
  <c r="J51" i="24"/>
  <c r="J92" i="24"/>
  <c r="U92" i="24"/>
  <c r="J91" i="24"/>
  <c r="U72" i="24"/>
  <c r="U91" i="24"/>
  <c r="R74" i="24"/>
  <c r="G94" i="24"/>
  <c r="G73" i="24"/>
  <c r="G92" i="24"/>
  <c r="R54" i="24"/>
  <c r="R73" i="24"/>
  <c r="R94" i="24"/>
  <c r="R158" i="24" s="1"/>
  <c r="R53" i="24"/>
  <c r="G93" i="24"/>
  <c r="G51" i="24"/>
  <c r="G53" i="24"/>
  <c r="G117" i="24" s="1"/>
  <c r="R91" i="24"/>
  <c r="G91" i="24"/>
  <c r="G71" i="24"/>
  <c r="G74" i="24"/>
  <c r="G72" i="24"/>
  <c r="R93" i="24"/>
  <c r="R157" i="24" s="1"/>
  <c r="R92" i="24"/>
  <c r="R52" i="24"/>
  <c r="R51" i="24"/>
  <c r="G54" i="24"/>
  <c r="R72" i="24"/>
  <c r="R71" i="24"/>
  <c r="G52" i="24"/>
  <c r="E23" i="22"/>
  <c r="I9" i="22"/>
  <c r="E34" i="4"/>
  <c r="T8" i="4"/>
  <c r="I102" i="10"/>
  <c r="J102" i="10"/>
  <c r="H102" i="10"/>
  <c r="G96" i="10"/>
  <c r="V15" i="24"/>
  <c r="F45" i="24"/>
  <c r="F106" i="10"/>
  <c r="H39" i="20"/>
  <c r="E37" i="24"/>
  <c r="T7" i="24"/>
  <c r="E24" i="22"/>
  <c r="I11" i="22"/>
  <c r="V9" i="24"/>
  <c r="F39" i="24"/>
  <c r="E35" i="4"/>
  <c r="T10" i="4"/>
  <c r="I39" i="20"/>
  <c r="G100" i="10"/>
  <c r="E31" i="4"/>
  <c r="T7" i="4"/>
  <c r="F31" i="4"/>
  <c r="V7" i="4"/>
  <c r="V12" i="24"/>
  <c r="F42" i="24"/>
  <c r="F35" i="4"/>
  <c r="V10" i="4"/>
  <c r="J101" i="10" l="1"/>
  <c r="R136" i="24"/>
  <c r="S136" i="24"/>
  <c r="G136" i="24"/>
  <c r="S118" i="24"/>
  <c r="R156" i="24"/>
  <c r="G157" i="24"/>
  <c r="G118" i="24"/>
  <c r="G156" i="24"/>
  <c r="G116" i="24"/>
  <c r="R117" i="24"/>
  <c r="R118" i="24"/>
  <c r="R138" i="24"/>
  <c r="S138" i="24"/>
  <c r="H156" i="24"/>
  <c r="G158" i="24"/>
  <c r="H136" i="24"/>
  <c r="S158" i="24"/>
  <c r="J103" i="24"/>
  <c r="J81" i="24"/>
  <c r="U61" i="24"/>
  <c r="U62" i="24"/>
  <c r="J101" i="24"/>
  <c r="U82" i="24"/>
  <c r="J83" i="24"/>
  <c r="J63" i="24"/>
  <c r="U63" i="24"/>
  <c r="U101" i="24"/>
  <c r="J84" i="24"/>
  <c r="J82" i="24"/>
  <c r="J104" i="24"/>
  <c r="U64" i="24"/>
  <c r="U104" i="24"/>
  <c r="U81" i="24"/>
  <c r="U84" i="24"/>
  <c r="J62" i="24"/>
  <c r="J61" i="24"/>
  <c r="U103" i="24"/>
  <c r="J64" i="24"/>
  <c r="U102" i="24"/>
  <c r="J102" i="24"/>
  <c r="U83" i="24"/>
  <c r="G55" i="24"/>
  <c r="G115" i="24"/>
  <c r="J136" i="24"/>
  <c r="J116" i="24"/>
  <c r="J158" i="24"/>
  <c r="P63" i="10"/>
  <c r="R67" i="4"/>
  <c r="S13" i="25"/>
  <c r="I13" i="25"/>
  <c r="E31" i="25"/>
  <c r="S9" i="14"/>
  <c r="H10" i="14"/>
  <c r="E23" i="14"/>
  <c r="G83" i="14" s="1"/>
  <c r="I9" i="14"/>
  <c r="Q51" i="10"/>
  <c r="U47" i="4"/>
  <c r="S155" i="24"/>
  <c r="S95" i="24"/>
  <c r="I116" i="24"/>
  <c r="T156" i="24"/>
  <c r="T138" i="24"/>
  <c r="G36" i="22"/>
  <c r="G37" i="22"/>
  <c r="F96" i="12" s="1"/>
  <c r="G38" i="22"/>
  <c r="F97" i="12" s="1"/>
  <c r="G95" i="24"/>
  <c r="G155" i="24"/>
  <c r="T76" i="4"/>
  <c r="I75" i="4"/>
  <c r="I73" i="4"/>
  <c r="T96" i="4"/>
  <c r="T94" i="4"/>
  <c r="T75" i="4"/>
  <c r="I55" i="4"/>
  <c r="T56" i="4"/>
  <c r="I76" i="4"/>
  <c r="T55" i="4"/>
  <c r="I56" i="4"/>
  <c r="I94" i="4"/>
  <c r="I95" i="4"/>
  <c r="I93" i="4"/>
  <c r="T54" i="4"/>
  <c r="T74" i="4"/>
  <c r="I74" i="4"/>
  <c r="T95" i="4"/>
  <c r="T93" i="4"/>
  <c r="I96" i="4"/>
  <c r="I53" i="4"/>
  <c r="T73" i="4"/>
  <c r="I54" i="4"/>
  <c r="T53" i="4"/>
  <c r="J157" i="24"/>
  <c r="U138" i="24"/>
  <c r="U117" i="24"/>
  <c r="F63" i="10"/>
  <c r="G67" i="4"/>
  <c r="S15" i="25"/>
  <c r="E33" i="25"/>
  <c r="I15" i="25"/>
  <c r="H12" i="14"/>
  <c r="I11" i="14"/>
  <c r="S11" i="14"/>
  <c r="T11" i="14" s="1"/>
  <c r="U55" i="4"/>
  <c r="J75" i="4"/>
  <c r="U74" i="4"/>
  <c r="U94" i="4"/>
  <c r="J95" i="4"/>
  <c r="U75" i="4"/>
  <c r="J76" i="4"/>
  <c r="U56" i="4"/>
  <c r="U96" i="4"/>
  <c r="J53" i="4"/>
  <c r="J55" i="4"/>
  <c r="J56" i="4"/>
  <c r="U53" i="4"/>
  <c r="U93" i="4"/>
  <c r="U54" i="4"/>
  <c r="J96" i="4"/>
  <c r="J54" i="4"/>
  <c r="J73" i="4"/>
  <c r="J93" i="4"/>
  <c r="U95" i="4"/>
  <c r="J74" i="4"/>
  <c r="J94" i="4"/>
  <c r="U76" i="4"/>
  <c r="U73" i="4"/>
  <c r="S157" i="24"/>
  <c r="H95" i="24"/>
  <c r="H155" i="24"/>
  <c r="I118" i="24"/>
  <c r="I158" i="24"/>
  <c r="I156" i="24"/>
  <c r="T67" i="4"/>
  <c r="Q63" i="10"/>
  <c r="T47" i="4"/>
  <c r="Q45" i="10"/>
  <c r="G81" i="24"/>
  <c r="R61" i="24"/>
  <c r="R64" i="24"/>
  <c r="R81" i="24"/>
  <c r="R102" i="24"/>
  <c r="G61" i="24"/>
  <c r="G101" i="24"/>
  <c r="G62" i="24"/>
  <c r="R104" i="24"/>
  <c r="R101" i="24"/>
  <c r="R62" i="24"/>
  <c r="G84" i="24"/>
  <c r="G102" i="24"/>
  <c r="G83" i="24"/>
  <c r="G103" i="24"/>
  <c r="G64" i="24"/>
  <c r="R83" i="24"/>
  <c r="G104" i="24"/>
  <c r="G82" i="24"/>
  <c r="R63" i="24"/>
  <c r="R82" i="24"/>
  <c r="R103" i="24"/>
  <c r="R84" i="24"/>
  <c r="G63" i="24"/>
  <c r="J96" i="10"/>
  <c r="H96" i="10"/>
  <c r="I96" i="10"/>
  <c r="U95" i="24"/>
  <c r="U155" i="24"/>
  <c r="J75" i="24"/>
  <c r="J135" i="24"/>
  <c r="U118" i="24"/>
  <c r="F45" i="10"/>
  <c r="G47" i="4"/>
  <c r="S7" i="25"/>
  <c r="I7" i="25"/>
  <c r="E25" i="25"/>
  <c r="E31" i="14"/>
  <c r="T7" i="14"/>
  <c r="U67" i="4"/>
  <c r="Q69" i="10"/>
  <c r="J47" i="4"/>
  <c r="G51" i="10"/>
  <c r="F69" i="10"/>
  <c r="H67" i="4"/>
  <c r="S117" i="24"/>
  <c r="S55" i="24"/>
  <c r="S115" i="24"/>
  <c r="T55" i="24"/>
  <c r="T115" i="24"/>
  <c r="I117" i="24"/>
  <c r="I95" i="24"/>
  <c r="I155" i="24"/>
  <c r="I67" i="4"/>
  <c r="G63" i="10"/>
  <c r="U137" i="24"/>
  <c r="R73" i="4"/>
  <c r="R93" i="4"/>
  <c r="G93" i="4"/>
  <c r="R53" i="4"/>
  <c r="G53" i="4"/>
  <c r="G73" i="4"/>
  <c r="G55" i="4"/>
  <c r="G95" i="4"/>
  <c r="G74" i="4"/>
  <c r="R56" i="4"/>
  <c r="G56" i="4"/>
  <c r="R94" i="4"/>
  <c r="R74" i="4"/>
  <c r="G96" i="4"/>
  <c r="G76" i="4"/>
  <c r="R76" i="4"/>
  <c r="R95" i="4"/>
  <c r="G94" i="4"/>
  <c r="R55" i="4"/>
  <c r="R75" i="4"/>
  <c r="G54" i="4"/>
  <c r="R96" i="4"/>
  <c r="G75" i="4"/>
  <c r="R54" i="4"/>
  <c r="H36" i="22"/>
  <c r="H38" i="22"/>
  <c r="F103" i="12" s="1"/>
  <c r="H37" i="22"/>
  <c r="F102" i="12" s="1"/>
  <c r="G138" i="24"/>
  <c r="U136" i="24"/>
  <c r="U157" i="24"/>
  <c r="U116" i="24"/>
  <c r="P81" i="10"/>
  <c r="R87" i="4"/>
  <c r="S10" i="25"/>
  <c r="I10" i="25"/>
  <c r="E28" i="25"/>
  <c r="S8" i="14"/>
  <c r="I8" i="14"/>
  <c r="E25" i="14"/>
  <c r="G87" i="10"/>
  <c r="J87" i="4"/>
  <c r="H62" i="24"/>
  <c r="H104" i="24"/>
  <c r="H102" i="24"/>
  <c r="S63" i="24"/>
  <c r="H64" i="24"/>
  <c r="S62" i="24"/>
  <c r="S81" i="24"/>
  <c r="H63" i="24"/>
  <c r="H82" i="24"/>
  <c r="S101" i="24"/>
  <c r="S82" i="24"/>
  <c r="H81" i="24"/>
  <c r="H83" i="24"/>
  <c r="H84" i="24"/>
  <c r="S104" i="24"/>
  <c r="S83" i="24"/>
  <c r="H103" i="24"/>
  <c r="H101" i="24"/>
  <c r="H61" i="24"/>
  <c r="S84" i="24"/>
  <c r="S103" i="24"/>
  <c r="S64" i="24"/>
  <c r="S61" i="24"/>
  <c r="S102" i="24"/>
  <c r="P87" i="10"/>
  <c r="S87" i="4"/>
  <c r="H158" i="24"/>
  <c r="H117" i="24"/>
  <c r="I55" i="24"/>
  <c r="I115" i="24"/>
  <c r="T158" i="24"/>
  <c r="I75" i="24"/>
  <c r="I135" i="24"/>
  <c r="G45" i="10"/>
  <c r="I47" i="4"/>
  <c r="J95" i="10"/>
  <c r="I95" i="10"/>
  <c r="H95" i="10"/>
  <c r="R75" i="24"/>
  <c r="R135" i="24"/>
  <c r="I100" i="10"/>
  <c r="J100" i="10"/>
  <c r="H100" i="10"/>
  <c r="G94" i="10"/>
  <c r="G75" i="24"/>
  <c r="G135" i="24"/>
  <c r="R137" i="24"/>
  <c r="J95" i="24"/>
  <c r="J155" i="24"/>
  <c r="J138" i="24"/>
  <c r="U75" i="24"/>
  <c r="U135" i="24"/>
  <c r="S12" i="25"/>
  <c r="I12" i="25"/>
  <c r="E30" i="25"/>
  <c r="F51" i="10"/>
  <c r="H47" i="4"/>
  <c r="S116" i="24"/>
  <c r="H118" i="24"/>
  <c r="I157" i="24"/>
  <c r="T117" i="24"/>
  <c r="T157" i="24"/>
  <c r="J106" i="10"/>
  <c r="I106" i="10"/>
  <c r="H106" i="10"/>
  <c r="Q81" i="10"/>
  <c r="T87" i="4"/>
  <c r="J137" i="24"/>
  <c r="S14" i="25"/>
  <c r="I14" i="25"/>
  <c r="E32" i="25"/>
  <c r="F94" i="10"/>
  <c r="G69" i="10"/>
  <c r="J67" i="4"/>
  <c r="P69" i="10"/>
  <c r="S67" i="4"/>
  <c r="S135" i="24"/>
  <c r="S75" i="24"/>
  <c r="S156" i="24"/>
  <c r="H138" i="24"/>
  <c r="T75" i="24"/>
  <c r="T135" i="24"/>
  <c r="T136" i="24"/>
  <c r="T116" i="24"/>
  <c r="R55" i="24"/>
  <c r="R115" i="24"/>
  <c r="J156" i="24"/>
  <c r="U55" i="24"/>
  <c r="U115" i="24"/>
  <c r="P45" i="10"/>
  <c r="R47" i="4"/>
  <c r="S8" i="25"/>
  <c r="I8" i="25"/>
  <c r="E26" i="25"/>
  <c r="P51" i="10"/>
  <c r="S47" i="4"/>
  <c r="H116" i="24"/>
  <c r="H137" i="24"/>
  <c r="H157" i="24"/>
  <c r="T95" i="24"/>
  <c r="T155" i="24"/>
  <c r="I136" i="24"/>
  <c r="T137" i="24"/>
  <c r="U156" i="24"/>
  <c r="R95" i="24"/>
  <c r="R155" i="24"/>
  <c r="U158" i="24"/>
  <c r="H93" i="4"/>
  <c r="S53" i="4"/>
  <c r="H53" i="4"/>
  <c r="S73" i="4"/>
  <c r="S56" i="4"/>
  <c r="S74" i="4"/>
  <c r="H54" i="4"/>
  <c r="S93" i="4"/>
  <c r="H76" i="4"/>
  <c r="S96" i="4"/>
  <c r="S55" i="4"/>
  <c r="H95" i="4"/>
  <c r="H56" i="4"/>
  <c r="S54" i="4"/>
  <c r="H94" i="4"/>
  <c r="S94" i="4"/>
  <c r="S75" i="4"/>
  <c r="H96" i="4"/>
  <c r="H73" i="4"/>
  <c r="S95" i="4"/>
  <c r="H75" i="4"/>
  <c r="S76" i="4"/>
  <c r="H74" i="4"/>
  <c r="H55" i="4"/>
  <c r="R116" i="24"/>
  <c r="G137" i="24"/>
  <c r="J55" i="24"/>
  <c r="J115" i="24"/>
  <c r="J117" i="24"/>
  <c r="J118" i="24"/>
  <c r="G87" i="4"/>
  <c r="F81" i="10"/>
  <c r="S9" i="25"/>
  <c r="I9" i="25"/>
  <c r="E27" i="25"/>
  <c r="P63" i="14"/>
  <c r="P43" i="14"/>
  <c r="G63" i="14"/>
  <c r="G43" i="14"/>
  <c r="P44" i="14"/>
  <c r="P64" i="14"/>
  <c r="G66" i="14"/>
  <c r="P46" i="14"/>
  <c r="P66" i="14"/>
  <c r="G44" i="14"/>
  <c r="G86" i="14"/>
  <c r="P84" i="14"/>
  <c r="P45" i="14"/>
  <c r="G64" i="14"/>
  <c r="P85" i="14"/>
  <c r="G46" i="14"/>
  <c r="G84" i="14"/>
  <c r="G65" i="14"/>
  <c r="G45" i="14"/>
  <c r="P65" i="14"/>
  <c r="G85" i="14"/>
  <c r="U87" i="4"/>
  <c r="Q87" i="10"/>
  <c r="I84" i="24"/>
  <c r="I63" i="24"/>
  <c r="I102" i="24"/>
  <c r="I64" i="24"/>
  <c r="T104" i="24"/>
  <c r="I104" i="24"/>
  <c r="T82" i="24"/>
  <c r="I62" i="24"/>
  <c r="T61" i="24"/>
  <c r="T101" i="24"/>
  <c r="T64" i="24"/>
  <c r="I81" i="24"/>
  <c r="T84" i="24"/>
  <c r="I61" i="24"/>
  <c r="I101" i="24"/>
  <c r="T81" i="24"/>
  <c r="T83" i="24"/>
  <c r="T62" i="24"/>
  <c r="I82" i="24"/>
  <c r="T103" i="24"/>
  <c r="T102" i="24"/>
  <c r="I103" i="24"/>
  <c r="T63" i="24"/>
  <c r="I83" i="24"/>
  <c r="H87" i="4"/>
  <c r="F87" i="10"/>
  <c r="S137" i="24"/>
  <c r="H55" i="24"/>
  <c r="H115" i="24"/>
  <c r="H75" i="24"/>
  <c r="H135" i="24"/>
  <c r="I138" i="24"/>
  <c r="I137" i="24"/>
  <c r="T118" i="24"/>
  <c r="G81" i="10"/>
  <c r="I87" i="4"/>
  <c r="P83" i="14" l="1"/>
  <c r="P86" i="14"/>
  <c r="H139" i="24"/>
  <c r="H119" i="24"/>
  <c r="R159" i="24"/>
  <c r="R139" i="24"/>
  <c r="G139" i="24"/>
  <c r="G146" i="24"/>
  <c r="R128" i="24"/>
  <c r="S167" i="24"/>
  <c r="H147" i="24"/>
  <c r="H128" i="24"/>
  <c r="S128" i="24"/>
  <c r="H148" i="24"/>
  <c r="S126" i="24"/>
  <c r="I87" i="10"/>
  <c r="H87" i="10"/>
  <c r="J87" i="10"/>
  <c r="P75" i="10"/>
  <c r="F101" i="12"/>
  <c r="H39" i="22"/>
  <c r="P64" i="10"/>
  <c r="P65" i="10" s="1"/>
  <c r="R77" i="4"/>
  <c r="R147" i="24"/>
  <c r="R168" i="24"/>
  <c r="G85" i="24"/>
  <c r="G145" i="24"/>
  <c r="Q88" i="10"/>
  <c r="Q89" i="10" s="1"/>
  <c r="U97" i="4"/>
  <c r="I12" i="14"/>
  <c r="S12" i="14"/>
  <c r="T12" i="14" s="1"/>
  <c r="U147" i="24"/>
  <c r="U85" i="24"/>
  <c r="U145" i="24"/>
  <c r="J127" i="24"/>
  <c r="S87" i="10"/>
  <c r="R87" i="10"/>
  <c r="T87" i="10"/>
  <c r="H97" i="4"/>
  <c r="F88" i="10"/>
  <c r="F89" i="10" s="1"/>
  <c r="T65" i="24"/>
  <c r="T125" i="24"/>
  <c r="I147" i="24"/>
  <c r="I126" i="24"/>
  <c r="G75" i="10"/>
  <c r="I81" i="10"/>
  <c r="H81" i="10"/>
  <c r="J81" i="10"/>
  <c r="P39" i="10"/>
  <c r="I119" i="24"/>
  <c r="Q43" i="14"/>
  <c r="Q63" i="14"/>
  <c r="H43" i="14"/>
  <c r="H63" i="14"/>
  <c r="H44" i="14"/>
  <c r="Q86" i="14"/>
  <c r="Q44" i="14"/>
  <c r="Q64" i="14"/>
  <c r="Q66" i="14"/>
  <c r="H45" i="14"/>
  <c r="H84" i="14"/>
  <c r="Q46" i="14"/>
  <c r="Q84" i="14"/>
  <c r="H46" i="14"/>
  <c r="H66" i="14"/>
  <c r="Q65" i="14"/>
  <c r="H85" i="14"/>
  <c r="H65" i="14"/>
  <c r="Q85" i="14"/>
  <c r="Q45" i="14"/>
  <c r="H64" i="14"/>
  <c r="J51" i="10"/>
  <c r="H51" i="10"/>
  <c r="I51" i="10"/>
  <c r="G53" i="14"/>
  <c r="G73" i="14"/>
  <c r="P73" i="14"/>
  <c r="P95" i="14"/>
  <c r="G96" i="14"/>
  <c r="G75" i="14"/>
  <c r="G74" i="14"/>
  <c r="P94" i="14"/>
  <c r="P75" i="14"/>
  <c r="G76" i="14"/>
  <c r="G95" i="14"/>
  <c r="P76" i="14"/>
  <c r="G94" i="14"/>
  <c r="P74" i="14"/>
  <c r="G127" i="24"/>
  <c r="G128" i="24"/>
  <c r="G126" i="24"/>
  <c r="U57" i="4"/>
  <c r="Q52" i="10"/>
  <c r="Q53" i="10" s="1"/>
  <c r="P57" i="10"/>
  <c r="J166" i="24"/>
  <c r="U168" i="24"/>
  <c r="J147" i="24"/>
  <c r="F75" i="10"/>
  <c r="T147" i="24"/>
  <c r="O76" i="12"/>
  <c r="P87" i="14"/>
  <c r="T127" i="24"/>
  <c r="T146" i="24"/>
  <c r="O40" i="12"/>
  <c r="P47" i="14"/>
  <c r="I167" i="24"/>
  <c r="I65" i="24"/>
  <c r="I125" i="24"/>
  <c r="I168" i="24"/>
  <c r="O58" i="12"/>
  <c r="P67" i="14"/>
  <c r="T139" i="24"/>
  <c r="U139" i="24"/>
  <c r="S148" i="24"/>
  <c r="H85" i="24"/>
  <c r="H145" i="24"/>
  <c r="S127" i="24"/>
  <c r="G71" i="25"/>
  <c r="R51" i="25"/>
  <c r="R71" i="25"/>
  <c r="G51" i="25"/>
  <c r="G91" i="25"/>
  <c r="R91" i="25"/>
  <c r="G53" i="25"/>
  <c r="G117" i="25" s="1"/>
  <c r="G94" i="25"/>
  <c r="G158" i="25" s="1"/>
  <c r="G52" i="25"/>
  <c r="G116" i="25" s="1"/>
  <c r="G73" i="25"/>
  <c r="G137" i="25" s="1"/>
  <c r="G54" i="25"/>
  <c r="G118" i="25" s="1"/>
  <c r="R74" i="25"/>
  <c r="R138" i="25" s="1"/>
  <c r="R52" i="25"/>
  <c r="R116" i="25" s="1"/>
  <c r="R54" i="25"/>
  <c r="R118" i="25" s="1"/>
  <c r="R93" i="25"/>
  <c r="R157" i="25" s="1"/>
  <c r="R72" i="25"/>
  <c r="R136" i="25" s="1"/>
  <c r="R92" i="25"/>
  <c r="R156" i="25" s="1"/>
  <c r="G92" i="25"/>
  <c r="G156" i="25" s="1"/>
  <c r="R73" i="25"/>
  <c r="R137" i="25" s="1"/>
  <c r="R53" i="25"/>
  <c r="R117" i="25" s="1"/>
  <c r="G74" i="25"/>
  <c r="G138" i="25" s="1"/>
  <c r="G93" i="25"/>
  <c r="G157" i="25" s="1"/>
  <c r="R94" i="25"/>
  <c r="R158" i="25" s="1"/>
  <c r="G72" i="25"/>
  <c r="G136" i="25" s="1"/>
  <c r="R148" i="24"/>
  <c r="G167" i="24"/>
  <c r="G165" i="24"/>
  <c r="G105" i="24"/>
  <c r="T57" i="4"/>
  <c r="Q46" i="10"/>
  <c r="Q47" i="10" s="1"/>
  <c r="U166" i="24"/>
  <c r="U128" i="24"/>
  <c r="U146" i="24"/>
  <c r="T168" i="24"/>
  <c r="P70" i="10"/>
  <c r="P71" i="10" s="1"/>
  <c r="S77" i="4"/>
  <c r="H69" i="10"/>
  <c r="J69" i="10"/>
  <c r="I69" i="10"/>
  <c r="H73" i="25"/>
  <c r="H137" i="25" s="1"/>
  <c r="H54" i="25"/>
  <c r="H94" i="25"/>
  <c r="S54" i="25"/>
  <c r="H52" i="25"/>
  <c r="S74" i="25"/>
  <c r="S93" i="25"/>
  <c r="S91" i="25"/>
  <c r="H71" i="25"/>
  <c r="S92" i="25"/>
  <c r="H72" i="25"/>
  <c r="S51" i="25"/>
  <c r="H74" i="25"/>
  <c r="S73" i="25"/>
  <c r="S53" i="25"/>
  <c r="S72" i="25"/>
  <c r="H92" i="25"/>
  <c r="H53" i="25"/>
  <c r="H51" i="25"/>
  <c r="S71" i="25"/>
  <c r="H91" i="25"/>
  <c r="S94" i="25"/>
  <c r="H93" i="25"/>
  <c r="H157" i="25" s="1"/>
  <c r="S52" i="25"/>
  <c r="J159" i="24"/>
  <c r="H125" i="24"/>
  <c r="H65" i="24"/>
  <c r="S146" i="24"/>
  <c r="H166" i="24"/>
  <c r="E34" i="14"/>
  <c r="T8" i="14"/>
  <c r="G77" i="4"/>
  <c r="F64" i="10"/>
  <c r="R167" i="24"/>
  <c r="G147" i="24"/>
  <c r="G65" i="24"/>
  <c r="G125" i="24"/>
  <c r="H159" i="24"/>
  <c r="G88" i="10"/>
  <c r="G89" i="10" s="1"/>
  <c r="J97" i="4"/>
  <c r="T15" i="25"/>
  <c r="E45" i="25"/>
  <c r="G159" i="24"/>
  <c r="S10" i="14"/>
  <c r="I10" i="14"/>
  <c r="E26" i="14"/>
  <c r="H83" i="14" s="1"/>
  <c r="J128" i="24"/>
  <c r="J168" i="24"/>
  <c r="J165" i="24"/>
  <c r="J105" i="24"/>
  <c r="F58" i="12"/>
  <c r="G67" i="14"/>
  <c r="T85" i="24"/>
  <c r="T145" i="24"/>
  <c r="T148" i="24"/>
  <c r="T167" i="24"/>
  <c r="I85" i="24"/>
  <c r="I145" i="24"/>
  <c r="I128" i="24"/>
  <c r="J119" i="24"/>
  <c r="H77" i="4"/>
  <c r="F70" i="10"/>
  <c r="F71" i="10" s="1"/>
  <c r="H57" i="4"/>
  <c r="F52" i="10"/>
  <c r="F53" i="10" s="1"/>
  <c r="R119" i="24"/>
  <c r="H165" i="24"/>
  <c r="H105" i="24"/>
  <c r="H169" i="24" s="1"/>
  <c r="S165" i="24"/>
  <c r="S105" i="24"/>
  <c r="H168" i="24"/>
  <c r="F46" i="10"/>
  <c r="G57" i="4"/>
  <c r="I159" i="24"/>
  <c r="E37" i="25"/>
  <c r="T7" i="25"/>
  <c r="U159" i="24"/>
  <c r="R146" i="24"/>
  <c r="G166" i="24"/>
  <c r="R166" i="24"/>
  <c r="Q39" i="10"/>
  <c r="T45" i="10"/>
  <c r="S45" i="10"/>
  <c r="R45" i="10"/>
  <c r="Q57" i="10"/>
  <c r="R63" i="10"/>
  <c r="S63" i="10"/>
  <c r="T63" i="10"/>
  <c r="G70" i="10"/>
  <c r="J77" i="4"/>
  <c r="G52" i="10"/>
  <c r="G53" i="10" s="1"/>
  <c r="J57" i="4"/>
  <c r="Q64" i="10"/>
  <c r="T77" i="4"/>
  <c r="I97" i="4"/>
  <c r="G82" i="10"/>
  <c r="S159" i="24"/>
  <c r="T9" i="14"/>
  <c r="E32" i="14"/>
  <c r="P53" i="14" s="1"/>
  <c r="U167" i="24"/>
  <c r="J146" i="24"/>
  <c r="U126" i="24"/>
  <c r="I105" i="24"/>
  <c r="I165" i="24"/>
  <c r="T166" i="24"/>
  <c r="I146" i="24"/>
  <c r="T128" i="24"/>
  <c r="I166" i="24"/>
  <c r="G47" i="14"/>
  <c r="F40" i="12"/>
  <c r="T9" i="25"/>
  <c r="E39" i="25"/>
  <c r="P52" i="10"/>
  <c r="P53" i="10" s="1"/>
  <c r="S57" i="4"/>
  <c r="S139" i="24"/>
  <c r="E42" i="25"/>
  <c r="T12" i="25"/>
  <c r="G39" i="10"/>
  <c r="J45" i="10"/>
  <c r="H45" i="10"/>
  <c r="I45" i="10"/>
  <c r="H167" i="24"/>
  <c r="H146" i="24"/>
  <c r="H126" i="24"/>
  <c r="P46" i="10"/>
  <c r="R57" i="4"/>
  <c r="T119" i="24"/>
  <c r="R127" i="24"/>
  <c r="G148" i="24"/>
  <c r="R85" i="24"/>
  <c r="R145" i="24"/>
  <c r="F57" i="10"/>
  <c r="G46" i="10"/>
  <c r="G47" i="10" s="1"/>
  <c r="I57" i="4"/>
  <c r="F91" i="12"/>
  <c r="H97" i="12"/>
  <c r="G97" i="12"/>
  <c r="S51" i="10"/>
  <c r="R51" i="10"/>
  <c r="T51" i="10"/>
  <c r="J65" i="24"/>
  <c r="J125" i="24"/>
  <c r="J148" i="24"/>
  <c r="U65" i="24"/>
  <c r="U125" i="24"/>
  <c r="T126" i="24"/>
  <c r="T159" i="24"/>
  <c r="U119" i="24"/>
  <c r="Q75" i="10"/>
  <c r="T81" i="10"/>
  <c r="S81" i="10"/>
  <c r="R81" i="10"/>
  <c r="S166" i="24"/>
  <c r="S147" i="24"/>
  <c r="H127" i="24"/>
  <c r="E40" i="25"/>
  <c r="T10" i="25"/>
  <c r="H102" i="12"/>
  <c r="G102" i="12"/>
  <c r="F82" i="10"/>
  <c r="G97" i="4"/>
  <c r="I63" i="10"/>
  <c r="H63" i="10"/>
  <c r="G57" i="10"/>
  <c r="J63" i="10"/>
  <c r="R69" i="10"/>
  <c r="S69" i="10"/>
  <c r="T69" i="10"/>
  <c r="F39" i="10"/>
  <c r="R126" i="24"/>
  <c r="Q70" i="10"/>
  <c r="Q71" i="10" s="1"/>
  <c r="U77" i="4"/>
  <c r="F90" i="12"/>
  <c r="G96" i="12"/>
  <c r="H96" i="12"/>
  <c r="J126" i="24"/>
  <c r="U105" i="24"/>
  <c r="U165" i="24"/>
  <c r="J85" i="24"/>
  <c r="J145" i="24"/>
  <c r="T105" i="24"/>
  <c r="T165" i="24"/>
  <c r="I127" i="24"/>
  <c r="I148" i="24"/>
  <c r="F76" i="12"/>
  <c r="G87" i="14"/>
  <c r="S97" i="4"/>
  <c r="P88" i="10"/>
  <c r="P89" i="10" s="1"/>
  <c r="T8" i="25"/>
  <c r="E38" i="25"/>
  <c r="T14" i="25"/>
  <c r="E44" i="25"/>
  <c r="J94" i="10"/>
  <c r="I94" i="10"/>
  <c r="H94" i="10"/>
  <c r="I139" i="24"/>
  <c r="S65" i="24"/>
  <c r="S125" i="24"/>
  <c r="S168" i="24"/>
  <c r="S85" i="24"/>
  <c r="S145" i="24"/>
  <c r="H103" i="12"/>
  <c r="G103" i="12"/>
  <c r="P82" i="10"/>
  <c r="R97" i="4"/>
  <c r="S119" i="24"/>
  <c r="J139" i="24"/>
  <c r="G168" i="24"/>
  <c r="R105" i="24"/>
  <c r="R165" i="24"/>
  <c r="R65" i="24"/>
  <c r="R125" i="24"/>
  <c r="Q82" i="10"/>
  <c r="Q83" i="10" s="1"/>
  <c r="T97" i="4"/>
  <c r="G64" i="10"/>
  <c r="G65" i="10" s="1"/>
  <c r="I77" i="4"/>
  <c r="G39" i="22"/>
  <c r="F95" i="12"/>
  <c r="E43" i="25"/>
  <c r="T13" i="25"/>
  <c r="G119" i="24"/>
  <c r="U148" i="24"/>
  <c r="U127" i="24"/>
  <c r="J167" i="24"/>
  <c r="H117" i="25" l="1"/>
  <c r="H116" i="25"/>
  <c r="S138" i="25"/>
  <c r="S158" i="25"/>
  <c r="S137" i="25"/>
  <c r="H138" i="25"/>
  <c r="S156" i="25"/>
  <c r="H118" i="25"/>
  <c r="H136" i="25"/>
  <c r="S116" i="25"/>
  <c r="S136" i="25"/>
  <c r="R149" i="24"/>
  <c r="S149" i="24"/>
  <c r="R129" i="24"/>
  <c r="S129" i="24"/>
  <c r="H156" i="25"/>
  <c r="S117" i="25"/>
  <c r="S157" i="25"/>
  <c r="F76" i="10"/>
  <c r="S118" i="25"/>
  <c r="G129" i="24"/>
  <c r="F40" i="10"/>
  <c r="F58" i="10"/>
  <c r="F59" i="10" s="1"/>
  <c r="R169" i="24"/>
  <c r="I47" i="10"/>
  <c r="G41" i="10"/>
  <c r="H47" i="10"/>
  <c r="O41" i="12"/>
  <c r="O42" i="12" s="1"/>
  <c r="F82" i="12"/>
  <c r="F70" i="12" s="1"/>
  <c r="I53" i="10"/>
  <c r="J53" i="10"/>
  <c r="H53" i="10"/>
  <c r="H89" i="10"/>
  <c r="I89" i="10"/>
  <c r="J89" i="10"/>
  <c r="T39" i="10"/>
  <c r="S39" i="10"/>
  <c r="R39" i="10"/>
  <c r="J64" i="10"/>
  <c r="H64" i="10"/>
  <c r="I64" i="10"/>
  <c r="G58" i="10"/>
  <c r="T82" i="10"/>
  <c r="S82" i="10"/>
  <c r="Q76" i="10"/>
  <c r="R82" i="10"/>
  <c r="J149" i="24"/>
  <c r="S70" i="10"/>
  <c r="R70" i="10"/>
  <c r="T70" i="10"/>
  <c r="R53" i="10"/>
  <c r="S53" i="10"/>
  <c r="T53" i="10"/>
  <c r="I82" i="10"/>
  <c r="G76" i="10"/>
  <c r="H82" i="10"/>
  <c r="J82" i="10"/>
  <c r="S57" i="10"/>
  <c r="R57" i="10"/>
  <c r="T57" i="10"/>
  <c r="G58" i="12"/>
  <c r="H58" i="12"/>
  <c r="T10" i="14"/>
  <c r="E35" i="14"/>
  <c r="H93" i="14" s="1"/>
  <c r="Q53" i="14"/>
  <c r="H73" i="14"/>
  <c r="H53" i="14"/>
  <c r="Q73" i="14"/>
  <c r="Q54" i="14"/>
  <c r="Q55" i="14"/>
  <c r="Q56" i="14"/>
  <c r="H94" i="14"/>
  <c r="Q94" i="14"/>
  <c r="H76" i="14"/>
  <c r="Q95" i="14"/>
  <c r="Q96" i="14"/>
  <c r="H56" i="14"/>
  <c r="H55" i="14"/>
  <c r="Q76" i="14"/>
  <c r="H74" i="14"/>
  <c r="Q74" i="14"/>
  <c r="H95" i="14"/>
  <c r="Q75" i="14"/>
  <c r="H75" i="14"/>
  <c r="H75" i="25"/>
  <c r="H135" i="25"/>
  <c r="G56" i="14"/>
  <c r="G55" i="14"/>
  <c r="F41" i="12"/>
  <c r="F42" i="12" s="1"/>
  <c r="Q83" i="14"/>
  <c r="S155" i="25" s="1"/>
  <c r="H57" i="10"/>
  <c r="J57" i="10"/>
  <c r="I57" i="10"/>
  <c r="R75" i="10"/>
  <c r="T75" i="10"/>
  <c r="S75" i="10"/>
  <c r="P40" i="10"/>
  <c r="S95" i="25"/>
  <c r="Q40" i="10"/>
  <c r="R46" i="10"/>
  <c r="S46" i="10"/>
  <c r="T46" i="10"/>
  <c r="P59" i="10"/>
  <c r="S52" i="10"/>
  <c r="R52" i="10"/>
  <c r="T52" i="10"/>
  <c r="P56" i="14"/>
  <c r="H47" i="14"/>
  <c r="F46" i="12"/>
  <c r="P47" i="10"/>
  <c r="P41" i="10" s="1"/>
  <c r="R83" i="10"/>
  <c r="S83" i="10"/>
  <c r="Q77" i="10"/>
  <c r="J39" i="10"/>
  <c r="H39" i="10"/>
  <c r="I39" i="10"/>
  <c r="J169" i="24"/>
  <c r="R95" i="25"/>
  <c r="R159" i="25" s="1"/>
  <c r="R155" i="25"/>
  <c r="P55" i="14"/>
  <c r="P54" i="14"/>
  <c r="H86" i="14"/>
  <c r="H87" i="14" s="1"/>
  <c r="O64" i="12"/>
  <c r="O52" i="12" s="1"/>
  <c r="Q67" i="14"/>
  <c r="R89" i="10"/>
  <c r="T89" i="10"/>
  <c r="S89" i="10"/>
  <c r="R88" i="10"/>
  <c r="T88" i="10"/>
  <c r="S88" i="10"/>
  <c r="H95" i="12"/>
  <c r="F89" i="12"/>
  <c r="G95" i="12"/>
  <c r="T169" i="24"/>
  <c r="P76" i="10"/>
  <c r="F47" i="10"/>
  <c r="F41" i="10" s="1"/>
  <c r="U129" i="24"/>
  <c r="G91" i="12"/>
  <c r="H91" i="12"/>
  <c r="I70" i="10"/>
  <c r="H70" i="10"/>
  <c r="J70" i="10"/>
  <c r="T149" i="24"/>
  <c r="H129" i="24"/>
  <c r="G95" i="25"/>
  <c r="G159" i="25" s="1"/>
  <c r="G155" i="25"/>
  <c r="P40" i="12"/>
  <c r="Q40" i="12"/>
  <c r="F83" i="10"/>
  <c r="F77" i="10" s="1"/>
  <c r="O59" i="12"/>
  <c r="O60" i="12" s="1"/>
  <c r="P77" i="14"/>
  <c r="U149" i="24"/>
  <c r="P58" i="10"/>
  <c r="G90" i="12"/>
  <c r="H90" i="12"/>
  <c r="H65" i="10"/>
  <c r="I65" i="10"/>
  <c r="J129" i="24"/>
  <c r="H82" i="25"/>
  <c r="H81" i="25"/>
  <c r="H104" i="25"/>
  <c r="S83" i="25"/>
  <c r="S147" i="25" s="1"/>
  <c r="S81" i="25"/>
  <c r="H84" i="25"/>
  <c r="H101" i="25"/>
  <c r="S64" i="25"/>
  <c r="S128" i="25" s="1"/>
  <c r="H61" i="25"/>
  <c r="H64" i="25"/>
  <c r="S62" i="25"/>
  <c r="H103" i="25"/>
  <c r="S61" i="25"/>
  <c r="S101" i="25"/>
  <c r="S82" i="25"/>
  <c r="S102" i="25"/>
  <c r="S104" i="25"/>
  <c r="H102" i="25"/>
  <c r="H83" i="25"/>
  <c r="S63" i="25"/>
  <c r="H62" i="25"/>
  <c r="S103" i="25"/>
  <c r="S84" i="25"/>
  <c r="H63" i="25"/>
  <c r="I169" i="24"/>
  <c r="Q41" i="10"/>
  <c r="S47" i="10"/>
  <c r="R47" i="10"/>
  <c r="H95" i="25"/>
  <c r="H155" i="25"/>
  <c r="G71" i="10"/>
  <c r="G169" i="24"/>
  <c r="G115" i="25"/>
  <c r="G55" i="25"/>
  <c r="G119" i="25" s="1"/>
  <c r="P58" i="12"/>
  <c r="Q58" i="12"/>
  <c r="P96" i="14"/>
  <c r="F59" i="12"/>
  <c r="F60" i="12" s="1"/>
  <c r="G77" i="14"/>
  <c r="O46" i="12"/>
  <c r="Q47" i="14"/>
  <c r="T129" i="24"/>
  <c r="S75" i="25"/>
  <c r="S135" i="25"/>
  <c r="S115" i="25"/>
  <c r="S55" i="25"/>
  <c r="R135" i="25"/>
  <c r="R75" i="25"/>
  <c r="R139" i="25" s="1"/>
  <c r="I129" i="24"/>
  <c r="Q76" i="12"/>
  <c r="P76" i="12"/>
  <c r="P93" i="14"/>
  <c r="G101" i="12"/>
  <c r="H101" i="12"/>
  <c r="F34" i="12"/>
  <c r="H40" i="12"/>
  <c r="G40" i="12"/>
  <c r="T64" i="10"/>
  <c r="S64" i="10"/>
  <c r="R64" i="10"/>
  <c r="Q58" i="10"/>
  <c r="H52" i="10"/>
  <c r="I52" i="10"/>
  <c r="J52" i="10"/>
  <c r="G101" i="25"/>
  <c r="R63" i="25"/>
  <c r="R104" i="25"/>
  <c r="G61" i="25"/>
  <c r="R101" i="25"/>
  <c r="G81" i="25"/>
  <c r="R81" i="25"/>
  <c r="R61" i="25"/>
  <c r="R64" i="25"/>
  <c r="G63" i="25"/>
  <c r="G102" i="25"/>
  <c r="G166" i="25" s="1"/>
  <c r="R102" i="25"/>
  <c r="R166" i="25" s="1"/>
  <c r="G82" i="25"/>
  <c r="G146" i="25" s="1"/>
  <c r="G62" i="25"/>
  <c r="G84" i="25"/>
  <c r="G148" i="25" s="1"/>
  <c r="R62" i="25"/>
  <c r="R103" i="25"/>
  <c r="R167" i="25" s="1"/>
  <c r="R84" i="25"/>
  <c r="R148" i="25" s="1"/>
  <c r="G83" i="25"/>
  <c r="G147" i="25" s="1"/>
  <c r="G64" i="25"/>
  <c r="R83" i="25"/>
  <c r="R147" i="25" s="1"/>
  <c r="R82" i="25"/>
  <c r="R146" i="25" s="1"/>
  <c r="G103" i="25"/>
  <c r="G167" i="25" s="1"/>
  <c r="G104" i="25"/>
  <c r="G168" i="25" s="1"/>
  <c r="S169" i="24"/>
  <c r="I149" i="24"/>
  <c r="H55" i="25"/>
  <c r="H115" i="25"/>
  <c r="R55" i="25"/>
  <c r="R119" i="25" s="1"/>
  <c r="R115" i="25"/>
  <c r="H149" i="24"/>
  <c r="G93" i="14"/>
  <c r="G83" i="10"/>
  <c r="H76" i="12"/>
  <c r="G76" i="12"/>
  <c r="U169" i="24"/>
  <c r="J46" i="10"/>
  <c r="G40" i="10"/>
  <c r="H46" i="10"/>
  <c r="I46" i="10"/>
  <c r="S71" i="10"/>
  <c r="R71" i="10"/>
  <c r="T71" i="10"/>
  <c r="F65" i="10"/>
  <c r="J65" i="10" s="1"/>
  <c r="Q65" i="10"/>
  <c r="H88" i="10"/>
  <c r="J88" i="10"/>
  <c r="I88" i="10"/>
  <c r="G135" i="25"/>
  <c r="G75" i="25"/>
  <c r="G139" i="25" s="1"/>
  <c r="G54" i="14"/>
  <c r="F64" i="12"/>
  <c r="F52" i="12" s="1"/>
  <c r="H67" i="14"/>
  <c r="H75" i="10"/>
  <c r="I75" i="10"/>
  <c r="J75" i="10"/>
  <c r="G149" i="24"/>
  <c r="P83" i="10"/>
  <c r="P77" i="10" s="1"/>
  <c r="G127" i="25" l="1"/>
  <c r="R126" i="25"/>
  <c r="H167" i="25"/>
  <c r="S148" i="25"/>
  <c r="S167" i="25"/>
  <c r="H158" i="25"/>
  <c r="S166" i="25"/>
  <c r="S146" i="25"/>
  <c r="S119" i="25"/>
  <c r="H147" i="25"/>
  <c r="S168" i="25"/>
  <c r="S126" i="25"/>
  <c r="H127" i="25"/>
  <c r="H54" i="14"/>
  <c r="H126" i="25" s="1"/>
  <c r="S127" i="25"/>
  <c r="G128" i="25"/>
  <c r="R168" i="25"/>
  <c r="G57" i="14"/>
  <c r="R127" i="25"/>
  <c r="H166" i="25"/>
  <c r="H119" i="25"/>
  <c r="R128" i="25"/>
  <c r="H146" i="25"/>
  <c r="P57" i="14"/>
  <c r="T47" i="10"/>
  <c r="H128" i="25"/>
  <c r="H96" i="14"/>
  <c r="H168" i="25" s="1"/>
  <c r="Q93" i="14"/>
  <c r="O83" i="12" s="1"/>
  <c r="G60" i="12"/>
  <c r="H60" i="12"/>
  <c r="H52" i="12"/>
  <c r="G52" i="12"/>
  <c r="P60" i="12"/>
  <c r="Q60" i="12"/>
  <c r="O77" i="12"/>
  <c r="P97" i="14"/>
  <c r="H85" i="25"/>
  <c r="H145" i="25"/>
  <c r="T83" i="10"/>
  <c r="F65" i="12"/>
  <c r="F53" i="12" s="1"/>
  <c r="H77" i="14"/>
  <c r="H58" i="10"/>
  <c r="I58" i="10"/>
  <c r="J58" i="10"/>
  <c r="H82" i="12"/>
  <c r="G82" i="12"/>
  <c r="G42" i="12"/>
  <c r="H42" i="12"/>
  <c r="H34" i="12"/>
  <c r="G34" i="12"/>
  <c r="P64" i="12"/>
  <c r="Q64" i="12"/>
  <c r="F83" i="12"/>
  <c r="F84" i="12" s="1"/>
  <c r="S77" i="10"/>
  <c r="T77" i="10"/>
  <c r="R77" i="10"/>
  <c r="H139" i="25"/>
  <c r="Q57" i="14"/>
  <c r="O47" i="12"/>
  <c r="O48" i="12" s="1"/>
  <c r="P41" i="12"/>
  <c r="Q41" i="12"/>
  <c r="G125" i="25"/>
  <c r="G65" i="25"/>
  <c r="H159" i="25"/>
  <c r="P46" i="12"/>
  <c r="Q46" i="12"/>
  <c r="S105" i="25"/>
  <c r="H148" i="25"/>
  <c r="G59" i="10"/>
  <c r="J47" i="10"/>
  <c r="S58" i="10"/>
  <c r="R58" i="10"/>
  <c r="T58" i="10"/>
  <c r="Q52" i="12"/>
  <c r="P52" i="12"/>
  <c r="H105" i="25"/>
  <c r="H165" i="25"/>
  <c r="G105" i="25"/>
  <c r="G165" i="25"/>
  <c r="H83" i="10"/>
  <c r="J83" i="10"/>
  <c r="G77" i="10"/>
  <c r="I83" i="10"/>
  <c r="R65" i="25"/>
  <c r="R125" i="25"/>
  <c r="S41" i="10"/>
  <c r="T41" i="10"/>
  <c r="R41" i="10"/>
  <c r="S125" i="25"/>
  <c r="S65" i="25"/>
  <c r="S145" i="25"/>
  <c r="S85" i="25"/>
  <c r="O34" i="12"/>
  <c r="H46" i="12"/>
  <c r="G46" i="12"/>
  <c r="O82" i="12"/>
  <c r="Q87" i="14"/>
  <c r="S159" i="25" s="1"/>
  <c r="S76" i="10"/>
  <c r="R76" i="10"/>
  <c r="T76" i="10"/>
  <c r="H40" i="10"/>
  <c r="I40" i="10"/>
  <c r="J40" i="10"/>
  <c r="T65" i="10"/>
  <c r="Q59" i="10"/>
  <c r="S65" i="10"/>
  <c r="R65" i="10"/>
  <c r="G97" i="14"/>
  <c r="F77" i="12"/>
  <c r="R85" i="25"/>
  <c r="R149" i="25" s="1"/>
  <c r="R145" i="25"/>
  <c r="S139" i="25"/>
  <c r="H59" i="12"/>
  <c r="G59" i="12"/>
  <c r="Q42" i="12"/>
  <c r="P42" i="12"/>
  <c r="H89" i="12"/>
  <c r="G89" i="12"/>
  <c r="Q77" i="14"/>
  <c r="O65" i="12"/>
  <c r="O66" i="12" s="1"/>
  <c r="H41" i="10"/>
  <c r="I41" i="10"/>
  <c r="J41" i="10"/>
  <c r="R165" i="25"/>
  <c r="R105" i="25"/>
  <c r="H125" i="25"/>
  <c r="H65" i="25"/>
  <c r="Q59" i="12"/>
  <c r="P59" i="12"/>
  <c r="H70" i="12"/>
  <c r="G70" i="12"/>
  <c r="G64" i="12"/>
  <c r="H64" i="12"/>
  <c r="G126" i="25"/>
  <c r="G85" i="25"/>
  <c r="G149" i="25" s="1"/>
  <c r="G145" i="25"/>
  <c r="J71" i="10"/>
  <c r="H71" i="10"/>
  <c r="I71" i="10"/>
  <c r="R40" i="10"/>
  <c r="S40" i="10"/>
  <c r="T40" i="10"/>
  <c r="G41" i="12"/>
  <c r="H41" i="12"/>
  <c r="F47" i="12"/>
  <c r="F35" i="12" s="1"/>
  <c r="H76" i="10"/>
  <c r="J76" i="10"/>
  <c r="I76" i="10"/>
  <c r="G129" i="25" l="1"/>
  <c r="F66" i="12"/>
  <c r="G66" i="12" s="1"/>
  <c r="H57" i="14"/>
  <c r="H129" i="25" s="1"/>
  <c r="R129" i="25"/>
  <c r="R169" i="25"/>
  <c r="S165" i="25"/>
  <c r="Q97" i="14"/>
  <c r="S169" i="25" s="1"/>
  <c r="H97" i="14"/>
  <c r="H169" i="25" s="1"/>
  <c r="O53" i="12"/>
  <c r="Q53" i="12" s="1"/>
  <c r="P66" i="12"/>
  <c r="Q66" i="12"/>
  <c r="O54" i="12"/>
  <c r="Q47" i="12"/>
  <c r="P47" i="12"/>
  <c r="P48" i="12"/>
  <c r="Q48" i="12"/>
  <c r="O36" i="12"/>
  <c r="F71" i="12"/>
  <c r="G77" i="12"/>
  <c r="H77" i="12"/>
  <c r="F78" i="12"/>
  <c r="G169" i="25"/>
  <c r="G84" i="12"/>
  <c r="H84" i="12"/>
  <c r="H65" i="12"/>
  <c r="G65" i="12"/>
  <c r="P34" i="12"/>
  <c r="Q34" i="12"/>
  <c r="J59" i="10"/>
  <c r="H59" i="10"/>
  <c r="I59" i="10"/>
  <c r="S149" i="25"/>
  <c r="P83" i="12"/>
  <c r="Q83" i="12"/>
  <c r="P65" i="12"/>
  <c r="Q65" i="12"/>
  <c r="O35" i="12"/>
  <c r="H149" i="25"/>
  <c r="H35" i="12"/>
  <c r="G35" i="12"/>
  <c r="T59" i="10"/>
  <c r="S59" i="10"/>
  <c r="R59" i="10"/>
  <c r="S129" i="25"/>
  <c r="I77" i="10"/>
  <c r="H77" i="10"/>
  <c r="J77" i="10"/>
  <c r="H47" i="12"/>
  <c r="G47" i="12"/>
  <c r="F48" i="12"/>
  <c r="H66" i="12"/>
  <c r="H53" i="12"/>
  <c r="G53" i="12"/>
  <c r="Q82" i="12"/>
  <c r="P82" i="12"/>
  <c r="O84" i="12"/>
  <c r="O70" i="12"/>
  <c r="G83" i="12"/>
  <c r="H83" i="12"/>
  <c r="Q77" i="12"/>
  <c r="P77" i="12"/>
  <c r="O71" i="12"/>
  <c r="O78" i="12"/>
  <c r="F54" i="12"/>
  <c r="P53" i="12" l="1"/>
  <c r="P36" i="12"/>
  <c r="Q36" i="12"/>
  <c r="P84" i="12"/>
  <c r="Q84" i="12"/>
  <c r="P54" i="12"/>
  <c r="Q54" i="12"/>
  <c r="Q70" i="12"/>
  <c r="P70" i="12"/>
  <c r="G48" i="12"/>
  <c r="H48" i="12"/>
  <c r="F36" i="12"/>
  <c r="Q78" i="12"/>
  <c r="O72" i="12"/>
  <c r="P78" i="12"/>
  <c r="Q35" i="12"/>
  <c r="P35" i="12"/>
  <c r="H54" i="12"/>
  <c r="G54" i="12"/>
  <c r="H78" i="12"/>
  <c r="G78" i="12"/>
  <c r="F72" i="12"/>
  <c r="Q71" i="12"/>
  <c r="P71" i="12"/>
  <c r="H71" i="12"/>
  <c r="G71" i="12"/>
  <c r="H72" i="12" l="1"/>
  <c r="G72" i="12"/>
  <c r="Q72" i="12"/>
  <c r="P72" i="12"/>
  <c r="G36" i="12"/>
  <c r="H36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Aquino, Tiffany M</author>
    <author>Luna, Evelyn</author>
    <author>tc={DB7BB103-B6D7-4378-9A5B-36C590B5DE07}</author>
  </authors>
  <commentList>
    <comment ref="D14" authorId="0" shapeId="0" xr:uid="{D4097576-15F3-4B85-9B8C-0A676C431596}">
      <text>
        <r>
          <rPr>
            <b/>
            <sz val="9"/>
            <color indexed="81"/>
            <rFont val="Tahoma"/>
            <family val="2"/>
          </rPr>
          <t xml:space="preserve">SDG&amp;E:
</t>
        </r>
        <r>
          <rPr>
            <sz val="9"/>
            <color indexed="81"/>
            <rFont val="Tahoma"/>
            <family val="2"/>
          </rPr>
          <t xml:space="preserve">Blended allocation factor that accounts for all miscellaneous revenues that have different allocation factors than base revenues
</t>
        </r>
      </text>
    </comment>
    <comment ref="E14" authorId="0" shapeId="0" xr:uid="{F97D9D08-F7E0-48C9-B858-4936638A1403}">
      <text>
        <r>
          <rPr>
            <b/>
            <sz val="9"/>
            <color indexed="81"/>
            <rFont val="Tahoma"/>
            <family val="2"/>
          </rPr>
          <t xml:space="preserve">SDG&amp;E: </t>
        </r>
        <r>
          <rPr>
            <sz val="9"/>
            <color indexed="81"/>
            <rFont val="Tahoma"/>
            <family val="2"/>
          </rPr>
          <t>MCAM never changes</t>
        </r>
      </text>
    </comment>
    <comment ref="G14" authorId="0" shapeId="0" xr:uid="{3CB44044-E58E-4A33-AD62-1059C4179AA9}">
      <text>
        <r>
          <rPr>
            <b/>
            <sz val="9"/>
            <color indexed="81"/>
            <rFont val="Tahoma"/>
            <family val="2"/>
          </rPr>
          <t>SDG&amp;E:</t>
        </r>
        <r>
          <rPr>
            <sz val="9"/>
            <color indexed="81"/>
            <rFont val="Tahoma"/>
            <family val="2"/>
          </rPr>
          <t xml:space="preserve">
Blended allocation factor that accounts for all miscellaneous revenues that have different allocation factors than base revenues</t>
        </r>
      </text>
    </comment>
    <comment ref="D15" authorId="0" shapeId="0" xr:uid="{42178E28-BB70-4F19-B94E-9EA91DB4576E}">
      <text>
        <r>
          <rPr>
            <b/>
            <sz val="9"/>
            <color indexed="81"/>
            <rFont val="Tahoma"/>
            <family val="2"/>
          </rPr>
          <t xml:space="preserve">SDG&amp;E:
</t>
        </r>
        <r>
          <rPr>
            <sz val="9"/>
            <color indexed="81"/>
            <rFont val="Tahoma"/>
            <family val="2"/>
          </rPr>
          <t xml:space="preserve">Blended allocation factor that accounts for all miscellaneous revenues that have different allocation factors than base revenues
</t>
        </r>
      </text>
    </comment>
    <comment ref="E15" authorId="0" shapeId="0" xr:uid="{03988E78-7688-44B8-8D73-B7E88D0A77D9}">
      <text>
        <r>
          <rPr>
            <b/>
            <sz val="9"/>
            <color indexed="81"/>
            <rFont val="Tahoma"/>
            <family val="2"/>
          </rPr>
          <t xml:space="preserve">SDG&amp;E: </t>
        </r>
        <r>
          <rPr>
            <sz val="9"/>
            <color indexed="81"/>
            <rFont val="Tahoma"/>
            <family val="2"/>
          </rPr>
          <t>MCAM never changes</t>
        </r>
      </text>
    </comment>
    <comment ref="G15" authorId="0" shapeId="0" xr:uid="{82222BDA-7A2E-4798-8B2A-D6C98468C087}">
      <text>
        <r>
          <rPr>
            <b/>
            <sz val="9"/>
            <color indexed="81"/>
            <rFont val="Tahoma"/>
            <family val="2"/>
          </rPr>
          <t>SDG&amp;E:</t>
        </r>
        <r>
          <rPr>
            <sz val="9"/>
            <color indexed="81"/>
            <rFont val="Tahoma"/>
            <family val="2"/>
          </rPr>
          <t xml:space="preserve">
Blended allocation factor that accounts for all miscellaneous revenues that have different allocation factors than base revenues</t>
        </r>
      </text>
    </comment>
    <comment ref="D19" authorId="0" shapeId="0" xr:uid="{B33E2861-75FB-4D45-AA69-6A5476B9993D}">
      <text>
        <r>
          <rPr>
            <b/>
            <sz val="9"/>
            <color indexed="81"/>
            <rFont val="Tahoma"/>
            <family val="2"/>
          </rPr>
          <t xml:space="preserve">SDG&amp;E:
</t>
        </r>
        <r>
          <rPr>
            <sz val="9"/>
            <color indexed="81"/>
            <rFont val="Tahoma"/>
            <family val="2"/>
          </rPr>
          <t xml:space="preserve">Blended allocation factor that accounts for all miscellaneous revenues that have different allocation factors than base revenues
</t>
        </r>
      </text>
    </comment>
    <comment ref="E19" authorId="0" shapeId="0" xr:uid="{295E1004-24D7-431F-A353-5CAE0B094437}">
      <text>
        <r>
          <rPr>
            <b/>
            <sz val="9"/>
            <color indexed="81"/>
            <rFont val="Tahoma"/>
            <family val="2"/>
          </rPr>
          <t xml:space="preserve">SDG&amp;E: </t>
        </r>
        <r>
          <rPr>
            <sz val="9"/>
            <color indexed="81"/>
            <rFont val="Tahoma"/>
            <family val="2"/>
          </rPr>
          <t>MCAM never changes</t>
        </r>
      </text>
    </comment>
    <comment ref="G19" authorId="0" shapeId="0" xr:uid="{39D4164B-2722-4E71-9EB2-AEC5DE9976F5}">
      <text>
        <r>
          <rPr>
            <b/>
            <sz val="9"/>
            <color indexed="81"/>
            <rFont val="Tahoma"/>
            <family val="2"/>
          </rPr>
          <t>SDG&amp;E:</t>
        </r>
        <r>
          <rPr>
            <sz val="9"/>
            <color indexed="81"/>
            <rFont val="Tahoma"/>
            <family val="2"/>
          </rPr>
          <t xml:space="preserve">
Blended allocation factor that accounts for all miscellaneous revenues that have different allocation factors than base revenues</t>
        </r>
      </text>
    </comment>
    <comment ref="D20" authorId="0" shapeId="0" xr:uid="{A52E6473-471E-41EA-B7F3-994D9B515C0B}">
      <text>
        <r>
          <rPr>
            <b/>
            <sz val="9"/>
            <color indexed="81"/>
            <rFont val="Tahoma"/>
            <family val="2"/>
          </rPr>
          <t xml:space="preserve">SDG&amp;E:
</t>
        </r>
        <r>
          <rPr>
            <sz val="9"/>
            <color indexed="81"/>
            <rFont val="Tahoma"/>
            <family val="2"/>
          </rPr>
          <t>Blended allocation factor that accounts for all miscellaneous revenues that have different allocation factors than base revenues</t>
        </r>
      </text>
    </comment>
    <comment ref="E20" authorId="0" shapeId="0" xr:uid="{1B84336B-2048-4377-93F8-2FD192FDC49F}">
      <text>
        <r>
          <rPr>
            <b/>
            <sz val="9"/>
            <color indexed="81"/>
            <rFont val="Tahoma"/>
            <family val="2"/>
          </rPr>
          <t xml:space="preserve">SDG&amp;E: </t>
        </r>
        <r>
          <rPr>
            <sz val="9"/>
            <color indexed="81"/>
            <rFont val="Tahoma"/>
            <family val="2"/>
          </rPr>
          <t>MCAM never changes</t>
        </r>
      </text>
    </comment>
    <comment ref="G20" authorId="0" shapeId="0" xr:uid="{204607DD-7052-4954-8A69-9FA47D5D0217}">
      <text>
        <r>
          <rPr>
            <b/>
            <sz val="9"/>
            <color indexed="81"/>
            <rFont val="Tahoma"/>
            <family val="2"/>
          </rPr>
          <t>SDG&amp;E:</t>
        </r>
        <r>
          <rPr>
            <sz val="9"/>
            <color indexed="81"/>
            <rFont val="Tahoma"/>
            <family val="2"/>
          </rPr>
          <t xml:space="preserve">
Blended allocation factor that accounts for all miscellaneous revenues that have different allocation factors than base revenues</t>
        </r>
      </text>
    </comment>
    <comment ref="Q136" authorId="1" shapeId="0" xr:uid="{5EA99A04-C845-4023-8FFE-7C88451EAB8C}">
      <text>
        <r>
          <rPr>
            <b/>
            <sz val="9"/>
            <color indexed="81"/>
            <rFont val="Tahoma"/>
            <family val="2"/>
          </rPr>
          <t>SDG&amp;E:</t>
        </r>
        <r>
          <rPr>
            <sz val="9"/>
            <color indexed="81"/>
            <rFont val="Tahoma"/>
            <family val="2"/>
          </rPr>
          <t xml:space="preserve">
All revenues collected excluding GHG for the entire residential class.
Source: SDG&amp;E's model</t>
        </r>
      </text>
    </comment>
    <comment ref="R136" authorId="1" shapeId="0" xr:uid="{0287318F-9485-4FFD-8BCF-0D3CCD87F08D}">
      <text>
        <r>
          <rPr>
            <b/>
            <sz val="9"/>
            <color indexed="81"/>
            <rFont val="Tahoma"/>
            <family val="2"/>
          </rPr>
          <t>SDG&amp;E:</t>
        </r>
        <r>
          <rPr>
            <sz val="9"/>
            <color indexed="81"/>
            <rFont val="Tahoma"/>
            <family val="2"/>
          </rPr>
          <t xml:space="preserve">
Current UDC + WF-NBC + DWR-BC revenues collected from entire residential class (excluding GHG). 
Source: SDG&amp;E's model</t>
        </r>
      </text>
    </comment>
    <comment ref="S136" authorId="1" shapeId="0" xr:uid="{C5542F5A-879B-4247-8CCD-A2C29269B62C}">
      <text>
        <r>
          <rPr>
            <b/>
            <sz val="9"/>
            <color indexed="81"/>
            <rFont val="Tahoma"/>
            <family val="2"/>
          </rPr>
          <t>SDG&amp;E:</t>
        </r>
        <r>
          <rPr>
            <sz val="9"/>
            <color indexed="81"/>
            <rFont val="Tahoma"/>
            <family val="2"/>
          </rPr>
          <t xml:space="preserve">
Generation Revenues collected from entire residential class. 
Source: SDG&amp;E's models</t>
        </r>
      </text>
    </comment>
    <comment ref="E140" authorId="2" shapeId="0" xr:uid="{DB7BB103-B6D7-4378-9A5B-36C590B5DE07}">
      <text>
        <t>[Threaded comment]
Your version of Excel allows you to read this threaded comment; however, any edits to it will get removed if the file is opened in a newer version of Excel. Learn more: https://go.microsoft.com/fwlink/?linkid=870924
Comment:
    Gray out?</t>
      </text>
    </comment>
    <comment ref="Q180" authorId="1" shapeId="0" xr:uid="{A201E804-9EE3-4181-A658-3EF48AD4EDA6}">
      <text>
        <r>
          <rPr>
            <b/>
            <sz val="9"/>
            <color indexed="81"/>
            <rFont val="Tahoma"/>
            <family val="2"/>
          </rPr>
          <t>SDG&amp;E:</t>
        </r>
        <r>
          <rPr>
            <sz val="9"/>
            <color indexed="81"/>
            <rFont val="Tahoma"/>
            <family val="2"/>
          </rPr>
          <t xml:space="preserve">
All revenues collected excluding GHG for the entire Small Commercial class.
Source: SDG&amp;E's model</t>
        </r>
      </text>
    </comment>
    <comment ref="R180" authorId="1" shapeId="0" xr:uid="{B944C6BA-1140-4654-B1F4-D412A08659F6}">
      <text>
        <r>
          <rPr>
            <b/>
            <sz val="9"/>
            <color indexed="81"/>
            <rFont val="Tahoma"/>
            <family val="2"/>
          </rPr>
          <t>SDG&amp;E:</t>
        </r>
        <r>
          <rPr>
            <sz val="9"/>
            <color indexed="81"/>
            <rFont val="Tahoma"/>
            <family val="2"/>
          </rPr>
          <t xml:space="preserve">
Current UDC + WF-NBC + DWR-BC revenues collected from entire Small Commercial class (excluding GHG). 
Source: SDG&amp;E's model</t>
        </r>
      </text>
    </comment>
    <comment ref="S180" authorId="1" shapeId="0" xr:uid="{D9DA7BDD-3A10-4509-8612-E5BD07D3605F}">
      <text>
        <r>
          <rPr>
            <b/>
            <sz val="9"/>
            <color indexed="81"/>
            <rFont val="Tahoma"/>
            <family val="2"/>
          </rPr>
          <t>SDG&amp;E:</t>
        </r>
        <r>
          <rPr>
            <sz val="9"/>
            <color indexed="81"/>
            <rFont val="Tahoma"/>
            <family val="2"/>
          </rPr>
          <t xml:space="preserve">
Generation Revenues collected from entire Small Commercial class. 
Source: SDG&amp;E's models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Sieren-Smith, Bridget</author>
    <author>Aquino, Tiffany M</author>
  </authors>
  <commentList>
    <comment ref="Y7" authorId="0" shapeId="0" xr:uid="{368F5AA5-CFB7-471D-BD23-421F05F6FAF4}">
      <text>
        <r>
          <rPr>
            <b/>
            <sz val="9"/>
            <color indexed="81"/>
            <rFont val="Tahoma"/>
            <family val="2"/>
          </rPr>
          <t>Sieren-Smith, Bridget:</t>
        </r>
        <r>
          <rPr>
            <sz val="9"/>
            <color indexed="81"/>
            <rFont val="Tahoma"/>
            <family val="2"/>
          </rPr>
          <t xml:space="preserve">
For Balancing Account = Y, total by revenue recovery mechansim should sum to Incremental Rev Req tab (Approved) Rev Req section)  row "Balancing Account Balances frozen etc." for each revenue recovery component. </t>
        </r>
      </text>
    </comment>
    <comment ref="A18" authorId="1" shapeId="0" xr:uid="{8698E781-C0E3-41D8-9992-EA3430C51C34}">
      <text>
        <r>
          <rPr>
            <b/>
            <sz val="9"/>
            <color indexed="81"/>
            <rFont val="Tahoma"/>
            <family val="2"/>
          </rPr>
          <t xml:space="preserve">SDG&amp;E: </t>
        </r>
        <r>
          <rPr>
            <sz val="9"/>
            <color indexed="81"/>
            <rFont val="Tahoma"/>
            <family val="2"/>
          </rPr>
          <t>Value includes GHG Costs</t>
        </r>
      </text>
    </comment>
  </commentList>
</comments>
</file>

<file path=xl/sharedStrings.xml><?xml version="1.0" encoding="utf-8"?>
<sst xmlns="http://schemas.openxmlformats.org/spreadsheetml/2006/main" count="3897" uniqueCount="647">
  <si>
    <t>Filing Description</t>
  </si>
  <si>
    <t>Revenue Recovery Mechanism</t>
  </si>
  <si>
    <t>Safety Affordability Reliability Proceedings</t>
  </si>
  <si>
    <t>Generation</t>
  </si>
  <si>
    <t>Authority for Revenue Requirement</t>
  </si>
  <si>
    <t>Distribution</t>
  </si>
  <si>
    <t xml:space="preserve">   Subtotal Safety Affordability Reliability</t>
  </si>
  <si>
    <t>Public Policy Proceedings</t>
  </si>
  <si>
    <t xml:space="preserve">   Subtotal Public Policy </t>
  </si>
  <si>
    <t>Non-CPUC Jurisdictional Proceedings</t>
  </si>
  <si>
    <t>Transmission</t>
  </si>
  <si>
    <t xml:space="preserve">   Subtotal Non-CPUC Jurisidictional</t>
  </si>
  <si>
    <t>Total Authorized Revenue</t>
  </si>
  <si>
    <t>Notes:</t>
  </si>
  <si>
    <t>CTC</t>
  </si>
  <si>
    <t xml:space="preserve">Balancing Account </t>
  </si>
  <si>
    <t xml:space="preserve">Authorized Revenue Requirement       ($000) </t>
  </si>
  <si>
    <t>Revenue Requirement Date:</t>
  </si>
  <si>
    <t>Advice Letter:</t>
  </si>
  <si>
    <t>SDG&amp;E General Rate Case (GRC) Attrition Year</t>
  </si>
  <si>
    <t>Energy Efficiency Savings Performance Incentive (ESPI) Award</t>
  </si>
  <si>
    <t>Vehicle Grid Integration (VGI)</t>
  </si>
  <si>
    <t>Distributed Generation Renewable (DGR) Time Metered Under/(Over) Collection</t>
  </si>
  <si>
    <t>FF&amp;U Associated with Public Purpose Programs (PPP)</t>
  </si>
  <si>
    <t>N</t>
  </si>
  <si>
    <t>Electric Distribution Fixed Cost Account (EDFCA)</t>
  </si>
  <si>
    <t>Y</t>
  </si>
  <si>
    <t>Tree Trimming Balancing Account (TTBA)</t>
  </si>
  <si>
    <t xml:space="preserve">Advanced Metering and Demand Response (AMDRMA) </t>
  </si>
  <si>
    <t>Rewards and Penalties Balancing Account (RPBA) before Transfer</t>
  </si>
  <si>
    <t>Pension Balancing Account (PBA)</t>
  </si>
  <si>
    <t>Streamlining Residual Account (SRA)</t>
  </si>
  <si>
    <t>Baseline Balancing Account (BBA)</t>
  </si>
  <si>
    <t>Common Area Balancing Account (CABA)</t>
  </si>
  <si>
    <t>Hazardous Substance Cleanup Cost Account (HSCCA)</t>
  </si>
  <si>
    <t>Master Metering Balancing Account (MMBA)</t>
  </si>
  <si>
    <t>Direct Participation Demand Response Memorandum Account (DPDRMA)</t>
  </si>
  <si>
    <t>Clean Transportation Priority Balancing Account (CTPBA)</t>
  </si>
  <si>
    <t>Distribution Performance Based Ratemaking (PBR) Incentives Reward/ Penalty</t>
  </si>
  <si>
    <t>Post Retirement Benefits other than Pensions Balancing Account (PBOPBA)</t>
  </si>
  <si>
    <t>Energy Resource Recovery Account (ERRA) Revenue Requirement</t>
  </si>
  <si>
    <t>Energy Resource Recovery Account (ERRA) Trigger</t>
  </si>
  <si>
    <t>Department of Water Resources (DWR)  Power Charge Credit</t>
  </si>
  <si>
    <t>Critical Peak Pricing Default (CPP-D) Under/ (Over) Collection - Small Commercial</t>
  </si>
  <si>
    <t>Critical Peak Pricing Default (CPP-D) Under/ (Over) Collection - Medium/Large Commercial</t>
  </si>
  <si>
    <t>Critical Peak Pricing Default (CPP-D) Under/ (Over) Collection - Agriculture</t>
  </si>
  <si>
    <t>Distributed Generation Renewable (DGR) Time Metered Under/(Over) Collection - Commodity</t>
  </si>
  <si>
    <t>Smart Pricing Program (SPP) Under/Over Collection - Residential</t>
  </si>
  <si>
    <t>Smart Pricing Program (SPP) Under/Over Collection - Small Commercial</t>
  </si>
  <si>
    <t>Smart Pricing Program (SPP) Under/Over Collection - Agriculture</t>
  </si>
  <si>
    <t>San Onofre Nuclear Generating Station (SONGS)</t>
  </si>
  <si>
    <t>Solar Energy Project (SEP)</t>
  </si>
  <si>
    <t>Amortization - NGBA Balance</t>
  </si>
  <si>
    <t>Energy Resource Recovery Account (ERRA) Balancing Account</t>
  </si>
  <si>
    <t>GHG Small Business Volumetric Return</t>
  </si>
  <si>
    <t>GHG California Climate Credit (CCC)</t>
  </si>
  <si>
    <t>CTC Revenue Requirement</t>
  </si>
  <si>
    <t>Amortization - Transition Cost Balancing Account (TCBA)</t>
  </si>
  <si>
    <t>LG Revenue Requirement</t>
  </si>
  <si>
    <t>LGC</t>
  </si>
  <si>
    <t>Amortization - Local Generating Balancing Account (LGBA)</t>
  </si>
  <si>
    <t>Low Income Energy Efficiency (LIEE)/Energy Savings Assistance Programs (ESAP)</t>
  </si>
  <si>
    <t>Electric Program Investment Charge (EPIC)</t>
  </si>
  <si>
    <t>Family Electric Rate Assistance (FERA)</t>
  </si>
  <si>
    <t>Self-Generation Incentive Program (SGIP)</t>
  </si>
  <si>
    <t>California Solar Initiative (CSI)</t>
  </si>
  <si>
    <t>Food Bank</t>
  </si>
  <si>
    <t>California Alternative Rates for Energy Balancing Account (CAREBA)</t>
  </si>
  <si>
    <t>Low Income Energy Efficiency Balancing Account (LIEEBA)</t>
  </si>
  <si>
    <t>Post-1997 Electric Energy Efficiency Balancing Account (PEEEBA)</t>
  </si>
  <si>
    <t>Electric Program Investment Charge Balancing Account (EPICBA)</t>
  </si>
  <si>
    <t>Electric Procurement Energy Efficiency Bal. Acct. (EPEEBA)</t>
  </si>
  <si>
    <t>Family Electric Rate Assistance Balancing Account (FERABA)</t>
  </si>
  <si>
    <t>Energy Savings Assistance Programs Memo Account (ESAPMA)</t>
  </si>
  <si>
    <t>Self-Generation Program Memorandum Account (SGPMA)</t>
  </si>
  <si>
    <t>California Solar Initiative Balancing Account (CSIBA)</t>
  </si>
  <si>
    <t>Food Bank Balance Account (FBBA)</t>
  </si>
  <si>
    <t>Total Rate Adjustment Component (TRAC)</t>
  </si>
  <si>
    <t>TRAC</t>
  </si>
  <si>
    <t>ND Revenue Requirement</t>
  </si>
  <si>
    <t>ND</t>
  </si>
  <si>
    <t>Amortization - Nuclear Decommissioning Adjustment Mechanism</t>
  </si>
  <si>
    <t>Department of Water Resources Bond Charge (DWR-BC)</t>
  </si>
  <si>
    <t>Base Transmission Revenue Requirement (BTRR)</t>
  </si>
  <si>
    <t>Transmission Access Charge Balancing Account Adjustment (TACBAA)</t>
  </si>
  <si>
    <t>Transmission Revenue Balancing Account Adjustment (TRBAA)</t>
  </si>
  <si>
    <t>Reliability Services</t>
  </si>
  <si>
    <t>RS</t>
  </si>
  <si>
    <t>Current Revenue Requirement ($000):</t>
  </si>
  <si>
    <t>Current Revenue Requirement Effective:</t>
  </si>
  <si>
    <t>Approved Application(s), Implemented Since Jan 1 or To Be Implemented</t>
  </si>
  <si>
    <t>Proceeding</t>
  </si>
  <si>
    <t>Existing or New Item (if existing, use delta from prior for rate impact)</t>
  </si>
  <si>
    <t>General Rate Case</t>
  </si>
  <si>
    <t>Existing</t>
  </si>
  <si>
    <t>Nuclear Decommissioning (ND)</t>
  </si>
  <si>
    <t>SONGS</t>
  </si>
  <si>
    <t>DWR BC</t>
  </si>
  <si>
    <t>GHG Revenue</t>
  </si>
  <si>
    <t>Public Purpose Program</t>
  </si>
  <si>
    <t>Energy Efficiency</t>
  </si>
  <si>
    <t>SB 350 Priority Projects</t>
  </si>
  <si>
    <t>EPIC (Electric Program Investment Charge)</t>
  </si>
  <si>
    <t>Under/Over Collections</t>
  </si>
  <si>
    <t>Distributed Generation Renewable (DGR) Time Metered Under/(Over) Collection - Distribution</t>
  </si>
  <si>
    <t>Total Approved, Implemented Since Jan 1 or To Be Implemented</t>
  </si>
  <si>
    <t>Proposed Revenue Requirement ($000)</t>
  </si>
  <si>
    <t>Proposed Revenue Recovery Mechanism</t>
  </si>
  <si>
    <t>PYD 2.0</t>
  </si>
  <si>
    <t>AB 1054</t>
  </si>
  <si>
    <t>MDHD</t>
  </si>
  <si>
    <t>AB 1082/1083</t>
  </si>
  <si>
    <t>Total</t>
  </si>
  <si>
    <t>V2G Pilot</t>
  </si>
  <si>
    <t>Total Pending, Filed but not Approved</t>
  </si>
  <si>
    <t>Applications Projected to be Filed, Next 12 Months</t>
  </si>
  <si>
    <t>Estimated Filing Date</t>
  </si>
  <si>
    <t>Filing Basis</t>
  </si>
  <si>
    <t>FF&amp;U associated with PPP</t>
  </si>
  <si>
    <t>Authorized Revenue Requirement with FF&amp;U ($000)</t>
  </si>
  <si>
    <t>Proposed Revenue Requirement with FF&amp;U ($000)</t>
  </si>
  <si>
    <t>Inputs:</t>
  </si>
  <si>
    <t>Assumptions:</t>
  </si>
  <si>
    <t>Current Effective Rates</t>
  </si>
  <si>
    <t>Baseline Region - (Residential bill)</t>
  </si>
  <si>
    <t>Coastal</t>
  </si>
  <si>
    <t>Sales Forecast</t>
  </si>
  <si>
    <t>kWh per month</t>
  </si>
  <si>
    <t>Pending Proceedings</t>
  </si>
  <si>
    <t>Applicable Year(s)</t>
  </si>
  <si>
    <t>Summer season</t>
  </si>
  <si>
    <t>months</t>
  </si>
  <si>
    <t>Winter Season</t>
  </si>
  <si>
    <t>Outputs:</t>
  </si>
  <si>
    <t>(A)</t>
  </si>
  <si>
    <t>(B)</t>
  </si>
  <si>
    <t>(C)</t>
  </si>
  <si>
    <t>(D)</t>
  </si>
  <si>
    <t>(D)/(A)</t>
  </si>
  <si>
    <t>(D)/(B)</t>
  </si>
  <si>
    <t>(D)/(C)</t>
  </si>
  <si>
    <t>Bundled Average Rates - ¢/kWh</t>
  </si>
  <si>
    <t>Total System (Bundled and Unbundled) Average Rates - ¢/kWh</t>
  </si>
  <si>
    <t>Customer Group</t>
  </si>
  <si>
    <t>% Change over Authorized</t>
  </si>
  <si>
    <t>Residential</t>
  </si>
  <si>
    <t>Total Residential (RAR)</t>
  </si>
  <si>
    <t>System</t>
  </si>
  <si>
    <t>Total System (SAR)</t>
  </si>
  <si>
    <t>Non-CARE</t>
  </si>
  <si>
    <t>CARE</t>
  </si>
  <si>
    <t>AL 3500-E</t>
  </si>
  <si>
    <t>Basis of Revenue Requirement Forecast:  Application, Amended Application , Amended Testimony,  Proposed Settlement Agreement, Proposed Decision</t>
  </si>
  <si>
    <t>Include in Impact</t>
  </si>
  <si>
    <t>Authorized</t>
  </si>
  <si>
    <t>Authorized + Pending</t>
  </si>
  <si>
    <t>Incremental Revenues</t>
  </si>
  <si>
    <t>Revenue Change ($000)</t>
  </si>
  <si>
    <t>w/ Pending</t>
  </si>
  <si>
    <t>Allocation</t>
  </si>
  <si>
    <t>Revenue Change ($000) - System</t>
  </si>
  <si>
    <t>Total System</t>
  </si>
  <si>
    <t>w/Pending</t>
  </si>
  <si>
    <t>% of CARE Sales (Bundled)</t>
  </si>
  <si>
    <t>Revenue Split - Bundled</t>
  </si>
  <si>
    <t>Bundled Revenue Change</t>
  </si>
  <si>
    <t>CARE Effective Discount</t>
  </si>
  <si>
    <t>CARE Adj</t>
  </si>
  <si>
    <t>Bundled</t>
  </si>
  <si>
    <t>System (Bundled and Unbundled)</t>
  </si>
  <si>
    <t>Proposed Avg Rates (Authorized)</t>
  </si>
  <si>
    <t>Proposed Avg Rates (w/Pending)</t>
  </si>
  <si>
    <t>% Change (Authorized)</t>
  </si>
  <si>
    <t>% Change (w/Pending)</t>
  </si>
  <si>
    <t>Proposed</t>
  </si>
  <si>
    <t>Rates</t>
  </si>
  <si>
    <t>Revenue</t>
  </si>
  <si>
    <t>Authorized Rates</t>
  </si>
  <si>
    <t>Authorized Revenue</t>
  </si>
  <si>
    <t>w/Pending Rates</t>
  </si>
  <si>
    <t>w/Pending Revenue</t>
  </si>
  <si>
    <t>Baseline - Summer</t>
  </si>
  <si>
    <t xml:space="preserve">Bundled Residential Rev Req </t>
  </si>
  <si>
    <t>- Winter</t>
  </si>
  <si>
    <t>Current</t>
  </si>
  <si>
    <t>101% - 400% of Baseline - Summer</t>
  </si>
  <si>
    <t>Change (Authorized)</t>
  </si>
  <si>
    <t>Proposed (Authorized)</t>
  </si>
  <si>
    <t>401% of Baseline - Summer</t>
  </si>
  <si>
    <t>Change (w/Pending)</t>
  </si>
  <si>
    <t>Proposed (w/Pending)</t>
  </si>
  <si>
    <t>Climate Zone</t>
  </si>
  <si>
    <t>Summer</t>
  </si>
  <si>
    <t>Winter</t>
  </si>
  <si>
    <t>Tier 1</t>
  </si>
  <si>
    <t>Tier 2</t>
  </si>
  <si>
    <t>Population Weight</t>
  </si>
  <si>
    <t>Mountain</t>
  </si>
  <si>
    <t>Desert</t>
  </si>
  <si>
    <t>Inland</t>
  </si>
  <si>
    <t>AL 3514-E</t>
  </si>
  <si>
    <t>Tree Mortality Non-Bypassable Charge (TMNBC)</t>
  </si>
  <si>
    <t>Tree Mortality Non-Bypassable Charge Balancing Account (TMNBCBA)</t>
  </si>
  <si>
    <t>Power Adjustment Balancing Account (PABA) Balancing Account</t>
  </si>
  <si>
    <t>Tax Cut Job Act (TCJA)</t>
  </si>
  <si>
    <t>Officer Compensation Memorandum Account 2019 (OCMA2019)</t>
  </si>
  <si>
    <t>General Rate Case Memorandum Account (GRCMA)</t>
  </si>
  <si>
    <t>Pending Application(s) Not Yet Approved</t>
  </si>
  <si>
    <t>Schedule DR</t>
  </si>
  <si>
    <t>Schedule DR [CARE]</t>
  </si>
  <si>
    <t>131% - 400% of Baseline - Summer</t>
  </si>
  <si>
    <t>SCHEDULE DR RATES ($/kWh)</t>
  </si>
  <si>
    <t>SCHEDULE DR [CARE] ($/kWh)</t>
  </si>
  <si>
    <t>CARE Res Allocation Factor</t>
  </si>
  <si>
    <t>AL 3535-E</t>
  </si>
  <si>
    <t>(C)/(A)</t>
  </si>
  <si>
    <t>(C)/(B)</t>
  </si>
  <si>
    <t>w/Proposed</t>
  </si>
  <si>
    <t>Proposed Avg Rates</t>
  </si>
  <si>
    <t>% Change</t>
  </si>
  <si>
    <t>AL 3619-E</t>
  </si>
  <si>
    <t>Wildfire Fund NBC</t>
  </si>
  <si>
    <t>Desert - Hot</t>
  </si>
  <si>
    <t>Coastal - Mild</t>
  </si>
  <si>
    <t>Inland - Warm</t>
  </si>
  <si>
    <t>Mountain - Extreme</t>
  </si>
  <si>
    <t>Application</t>
  </si>
  <si>
    <t>System Usage</t>
  </si>
  <si>
    <t>Total kWh</t>
  </si>
  <si>
    <t>% of CARE Sales</t>
  </si>
  <si>
    <t>Res CARE Authorized kWh Usage*</t>
  </si>
  <si>
    <t>AL 3669-E-A</t>
  </si>
  <si>
    <t>21st Century Energy Systems Balancing Account (CES-21BA)</t>
  </si>
  <si>
    <t>Liability Insurance Premium Balancing Account (LIPBA)</t>
  </si>
  <si>
    <t>Rate Reform Memo Account - Commodity</t>
  </si>
  <si>
    <t>Rate Reform Memo Account - Distribution</t>
  </si>
  <si>
    <t>Port Energy Management Plan (PEMP)</t>
  </si>
  <si>
    <t>San Diego Unified Port District (SDUPD)</t>
  </si>
  <si>
    <t>Net Energy Metering Measurement and Evaluation (NEMME)</t>
  </si>
  <si>
    <t>Port Energy Management Plan Balancing Account (PEMPBA)</t>
  </si>
  <si>
    <t>San Diego Unified Port District Balancing Account (SDUPDBA)</t>
  </si>
  <si>
    <t>Net Energy Metering Measurement and Evaluation Balancing Account (NEMMEBA)</t>
  </si>
  <si>
    <t>New Environmental Regulatory Balancing Account (NERBA)</t>
  </si>
  <si>
    <t>Gains/Loss On Sale Memorandum Account</t>
  </si>
  <si>
    <t>Reliability Services (RSBA)</t>
  </si>
  <si>
    <t>CPUC Fee</t>
  </si>
  <si>
    <t>Total With CPUC Fee</t>
  </si>
  <si>
    <t>SCHEDULE DR-LI [CARE] ($/kWh)</t>
  </si>
  <si>
    <t>AL 3696-E-A-B</t>
  </si>
  <si>
    <t>Revenue Split - Bundled Customer</t>
  </si>
  <si>
    <t>Power Adjustment Balancing Account (PABA) Balancing Account - Departed Load</t>
  </si>
  <si>
    <t>PCIA</t>
  </si>
  <si>
    <t>ERRA Balancing Accounts (PABA) - Departed Load</t>
  </si>
  <si>
    <t>w/Pending Total UDC</t>
  </si>
  <si>
    <t>Authorized Commodity</t>
  </si>
  <si>
    <t>w/Pending Commodity</t>
  </si>
  <si>
    <t>Total Revenue Requirement</t>
  </si>
  <si>
    <t xml:space="preserve">Authorized </t>
  </si>
  <si>
    <t>Total UDC w/Proposed</t>
  </si>
  <si>
    <t>Commodity w/Proposed</t>
  </si>
  <si>
    <t>Note: Bill inserts include CPUC fee in the calculations</t>
  </si>
  <si>
    <t>System Sales Forecast</t>
  </si>
  <si>
    <t>Change (Proposed)</t>
  </si>
  <si>
    <t>Proposed (w/ Current Revenues)</t>
  </si>
  <si>
    <t>AL 3756-E</t>
  </si>
  <si>
    <t>CARE Surcharge and Administration</t>
  </si>
  <si>
    <t>Monthly Essential Baseline Allowance -ALL-ELECTRIC (kWh)</t>
  </si>
  <si>
    <t>Monthly Essential Baseline Allowance -BASIC (kWh)</t>
  </si>
  <si>
    <t>Essential Usage Basic Bundled Non-CARE Customer</t>
  </si>
  <si>
    <t>Essential Usage Basic Bundled CARE Customer</t>
  </si>
  <si>
    <t>Monthly Tier 1 Baseline Allowance -ALL-ELECTRIC (kWh)</t>
  </si>
  <si>
    <t>Monthly Tier 1 Baseline Allowance -BASIC (kWh)</t>
  </si>
  <si>
    <t>Monthly Tier 1 Baseline Allowance - ALL-ELECTRIC (kWh)</t>
  </si>
  <si>
    <t>Essential Usage All-Electric Bundled Non-CARE Customer</t>
  </si>
  <si>
    <t>Essential Usage All-Electric Bundled CARE Customer</t>
  </si>
  <si>
    <t xml:space="preserve">Typical Monthly Usage Basic Bundled Non-CARE Customer </t>
  </si>
  <si>
    <t xml:space="preserve">Typical Monthly Usage Basic Bundled CARE Customer </t>
  </si>
  <si>
    <t xml:space="preserve">Typical Monthly Usage All-Electric Bundled Non-CARE Customer </t>
  </si>
  <si>
    <t xml:space="preserve">Typical Monthly Usage All-Electric Bundled CARE Customer </t>
  </si>
  <si>
    <t>Basic Bundled Residential Monthly Average Bills</t>
  </si>
  <si>
    <t>Basic Bundled Residential Monthly Average Bills - Summer</t>
  </si>
  <si>
    <t>Basic Bundled Residential Monthly Average Bills - Winter</t>
  </si>
  <si>
    <t>All-Electric Bundled Residential Monthly Average Bills</t>
  </si>
  <si>
    <t>All-Electric Bundled Residential Monthly Average Bills - Summer</t>
  </si>
  <si>
    <t>Essential Usage Basic Bundled Non-CARE Customer Bill</t>
  </si>
  <si>
    <t>Essential Usage Basic Bundled CARE Customer Bill</t>
  </si>
  <si>
    <t>Essential Use  - Non-CARE</t>
  </si>
  <si>
    <t>Essential Use - CARE</t>
  </si>
  <si>
    <t>All-Electric Bundled Residential Monthly Average Bills - Winter</t>
  </si>
  <si>
    <t>Basic Bundled Essential Use Residential Monthly Average Bills - Winter</t>
  </si>
  <si>
    <t>Basic Bundled Essential Use Residential Monthly Average Bills - Summer</t>
  </si>
  <si>
    <t>Basic Bundled Typical Residential Monthly Average Bills - Summer</t>
  </si>
  <si>
    <t>Basic Bundled Typical Residential Monthly Average Bills - Winter</t>
  </si>
  <si>
    <t>All-Electric Bundled Typical Residential Monthly Average Bills - Winter</t>
  </si>
  <si>
    <t>All-Electric Bundled Typical Residential Monthly Average Bills - Summer</t>
  </si>
  <si>
    <t>All-Electric Bundled Typical Residential Monthly Average Bills</t>
  </si>
  <si>
    <t>All-Electric Bundled Essential Use Residential Monthly Average Bills - Summer</t>
  </si>
  <si>
    <t>All-Electric Bundled Essential Use Residential Monthly Average Bills - Winter</t>
  </si>
  <si>
    <t>All-Electric Bundled Essential Use Residential Monthly Average Bills</t>
  </si>
  <si>
    <t>Basic Bundled Essential Use Residential Monthly Average Bills</t>
  </si>
  <si>
    <t>Basic Bundled Typical Residential Monthly Average Bills</t>
  </si>
  <si>
    <t>AL 3855-E</t>
  </si>
  <si>
    <t>School Energy Efficiency Stimulus Program (SEESPBA)</t>
  </si>
  <si>
    <t>Wildfire and Natural Disaster Resiliency Rebuild Program (WNDRR)</t>
  </si>
  <si>
    <t>Residential Uncollectable Balancing Account (RUBA) - Distribution</t>
  </si>
  <si>
    <t>Cap Balancing Account Balance (CAPBA) Trigger -Departed Load</t>
  </si>
  <si>
    <t>CAPBA Undercollection Balancing Account - Departed Load - ERRA Trigger</t>
  </si>
  <si>
    <t>CAPBA Undercollection Balancing Account - Departed Load - ERRA Forecast</t>
  </si>
  <si>
    <t>Residential Uncollectible Balancing Account (RUBA)</t>
  </si>
  <si>
    <t>Flex Alert Balancing Account (FABA)</t>
  </si>
  <si>
    <t>Economic Development Rate (EDR)</t>
  </si>
  <si>
    <t>Advanced Metering and Demand Response (AMDRMA) - Generation</t>
  </si>
  <si>
    <t>Distribution Resources Plan Demonstration (DRPDBA)</t>
  </si>
  <si>
    <t>Emergency Load Reduction (ELRBA)</t>
  </si>
  <si>
    <t>Residential Uncollectible Balancing Account (RUBA) Amortization</t>
  </si>
  <si>
    <t>Flex Alert Balancing Account (FABA) Amortization</t>
  </si>
  <si>
    <t>School Energy Efficiency Stimulus Program Bal. Acct. (SEESPBA)</t>
  </si>
  <si>
    <t>Economic Development Rate Balancing Account (EDRBA)</t>
  </si>
  <si>
    <t>Residential Uncollectable Balancing Account (RUBA) - Generation</t>
  </si>
  <si>
    <t>PABA Revenue Requirement- Bundled Customers</t>
  </si>
  <si>
    <t>Cap Balancing Account Balance (CAPBA) Trigger - Bundled Customers</t>
  </si>
  <si>
    <t>Cap Balancing Account Balance (CAPBA) Revenue Requirement - Bundled Customers</t>
  </si>
  <si>
    <t>PABA Revenue Requirement - Departed Load</t>
  </si>
  <si>
    <t>AL 3928-E</t>
  </si>
  <si>
    <t>UDC</t>
  </si>
  <si>
    <t>Current Rate</t>
  </si>
  <si>
    <t>% Change in Authorized</t>
  </si>
  <si>
    <t xml:space="preserve">in Total Rate </t>
  </si>
  <si>
    <t>% Change in Pending</t>
  </si>
  <si>
    <t>AL 4004-E</t>
  </si>
  <si>
    <t>Power Adjustment Balancing Account (PABA) Revenue Requirement</t>
  </si>
  <si>
    <t>Power Adjustment Balancing Account (PABA) - Revenue Requirement Departed Load</t>
  </si>
  <si>
    <t>Catastrophic Events Memorandum Account (CEMA)</t>
  </si>
  <si>
    <t>SYSTEM NET</t>
  </si>
  <si>
    <t>SYSTEM DELIVERED</t>
  </si>
  <si>
    <t>BUNDLED</t>
  </si>
  <si>
    <t>* Methodology authorized in 2019 GRC Phase II; updated annually with new sales forecasts</t>
  </si>
  <si>
    <t>Incremental Rev Req</t>
  </si>
  <si>
    <t>Notes</t>
  </si>
  <si>
    <t>Customer Information System Balancing Account (CISBA)</t>
  </si>
  <si>
    <t>Transition, Stabilization, and Organizational Change Management Balancing Account (TSOBA)</t>
  </si>
  <si>
    <t>GRC Private Letter Ruling (GRC PLR)</t>
  </si>
  <si>
    <t>Disadvantaged Communities – Green Tariff Balancing Account (DACGTBA)</t>
  </si>
  <si>
    <t>Community Solar Green Tariff Balancing Account (CSGTBA)</t>
  </si>
  <si>
    <t>Advanced Metering and Demand Response - Targeted Summer Reliability Phase 2 Subaccount</t>
  </si>
  <si>
    <t>Wildfire and Natural Disaster Resiliency Rebuild Program (WNDRR) Amortization</t>
  </si>
  <si>
    <t>Power Your Drive Extension Program (PYD 2.0)</t>
  </si>
  <si>
    <t xml:space="preserve">Summary of Selected Data </t>
  </si>
  <si>
    <t xml:space="preserve"> Requirement</t>
  </si>
  <si>
    <t>Current total system-level revenue requirement that is used for defining the reporting threshold:</t>
  </si>
  <si>
    <t>A</t>
  </si>
  <si>
    <t>One-percent reporting threshold</t>
  </si>
  <si>
    <t>B</t>
  </si>
  <si>
    <t>C</t>
  </si>
  <si>
    <t>D</t>
  </si>
  <si>
    <t>E</t>
  </si>
  <si>
    <t>Total system-level revenue requirement if all pending revenue were granted in full:
requests were granted in full</t>
  </si>
  <si>
    <t>Bundled residential average rate (RAR) if all pending revenue were granted in full (from Cost and Rate Tracker (CRT) as submitted by utility):</t>
  </si>
  <si>
    <t>cents/kWh</t>
  </si>
  <si>
    <t>($000)</t>
  </si>
  <si>
    <t>YE 2026</t>
  </si>
  <si>
    <t>YE 2027</t>
  </si>
  <si>
    <t>Bundled Residential Rate (cents/kWh)</t>
  </si>
  <si>
    <t>Current - Calculated</t>
  </si>
  <si>
    <t>Bundled residential weighted average monthly bill corresponding to RAR above for typical customer in Coastal climate zone using 400 kWh on Basic service (from CRT as submitted by utility):</t>
  </si>
  <si>
    <t>Transportation Electrification Advisory Services (TEAS)</t>
  </si>
  <si>
    <t>ERRA Forecast + GHG Costs</t>
  </si>
  <si>
    <t>Balancing Account Balances frozen at current values</t>
  </si>
  <si>
    <t>Percentage of Income Payment Plan Balancing Account (PIPPBA) - Bundled</t>
  </si>
  <si>
    <t>Percentage of Income Payment Plan Balancing Account (PIPPBA) - CCA</t>
  </si>
  <si>
    <t>BioMat Non-Bypassable Charge Balancing Account (BNBCBA)</t>
  </si>
  <si>
    <t>CT O&amp;M Advisory Program (TEAS)</t>
  </si>
  <si>
    <t>MCAM</t>
  </si>
  <si>
    <t>Microgrid Balancing Account (MGBA)</t>
  </si>
  <si>
    <t>Microgrid Reservation Capacity Component-Standby Charge Suspension Account (MSSA)</t>
  </si>
  <si>
    <t>Essential Use Study Balancing Account (EUSBA)</t>
  </si>
  <si>
    <t>2024 GRC Track 2 - Wildfire Mitigation Costs (WMPMA)</t>
  </si>
  <si>
    <t>AL 4344-E</t>
  </si>
  <si>
    <t>Small Commercial</t>
  </si>
  <si>
    <t>Schedule TOU-A</t>
  </si>
  <si>
    <t>On-Peak Summer - Secondary</t>
  </si>
  <si>
    <t xml:space="preserve">Bundled Small Commercial Rev Req </t>
  </si>
  <si>
    <t>Off-Peak Summer - Secondary</t>
  </si>
  <si>
    <t>On-Peak Winter - Secondary</t>
  </si>
  <si>
    <t>Off-Peak Winter - Secondary</t>
  </si>
  <si>
    <t>Bundled Small Commercial Rate (cents/kWh)</t>
  </si>
  <si>
    <t>SCHEDULE TOU-A RATES ($/kWh)</t>
  </si>
  <si>
    <t>NAICS</t>
  </si>
  <si>
    <t>On-Peak - Secondary</t>
  </si>
  <si>
    <t>kWh</t>
  </si>
  <si>
    <t>On-Peak</t>
  </si>
  <si>
    <t>Off-Peak</t>
  </si>
  <si>
    <t>Average Max Demand</t>
  </si>
  <si>
    <t>Off-Peak - Secondary</t>
  </si>
  <si>
    <t>NAICS 531</t>
  </si>
  <si>
    <t>NAICS 621</t>
  </si>
  <si>
    <t>NAICS 722</t>
  </si>
  <si>
    <t>Note: Bill estimates include CPUC fee in the calculations</t>
  </si>
  <si>
    <t>SCHEDULE TOU-A</t>
  </si>
  <si>
    <t>Basic Service Fee</t>
  </si>
  <si>
    <t xml:space="preserve">            0-5 kW</t>
  </si>
  <si>
    <t xml:space="preserve">          5-20 kW</t>
  </si>
  <si>
    <t xml:space="preserve">          20-50 kW</t>
  </si>
  <si>
    <t xml:space="preserve">          &gt;50 kW</t>
  </si>
  <si>
    <t>Small Commercial Monthly Average Bills</t>
  </si>
  <si>
    <t>Small Commercial Monthly Average Bills - Summer</t>
  </si>
  <si>
    <t>Small Commercial Monthly Average Bills - Winter</t>
  </si>
  <si>
    <t>Small Commercial (TOU-A)</t>
  </si>
  <si>
    <t>YE 2028</t>
  </si>
  <si>
    <t>ERRA BA/Trigger - Departed Load</t>
  </si>
  <si>
    <t>Energy Efficiency (EE) / (Post-1997 Electric Energy Efficiency (PEEE)</t>
  </si>
  <si>
    <t>cpuc fee</t>
  </si>
  <si>
    <t>2023-2027 Demand Response (incremental to what is in current balancing accounts)</t>
  </si>
  <si>
    <t>D.23-12-005</t>
  </si>
  <si>
    <t>Bundled small commercial average rate (TOU-A) if all pending revenue were granted in full (from Cost and Rate Tracker (CRT) as submitted by utility):</t>
  </si>
  <si>
    <t>SD REN</t>
  </si>
  <si>
    <t>AL 4366-E</t>
  </si>
  <si>
    <t>Catastrophic Event Memorandum Account (CEMA)</t>
  </si>
  <si>
    <t>San Diego Regional Energy Network (SDREN)</t>
  </si>
  <si>
    <t>Notable Cost and Rate Tracking Tool Assumptions</t>
  </si>
  <si>
    <t>No CCC</t>
  </si>
  <si>
    <t>With CCC</t>
  </si>
  <si>
    <t>Typical residential average usage kWh/month*</t>
  </si>
  <si>
    <t>*This field is editable for analysis purposes; however, SDG&amp;E's typical Residential usage is 400kWh</t>
  </si>
  <si>
    <t>Residential bills below calculated using Schedule DR, Bundled, Single-Family</t>
  </si>
  <si>
    <t>Basic</t>
  </si>
  <si>
    <t>All-Electric</t>
  </si>
  <si>
    <t>Average monthly usage assumptions:</t>
  </si>
  <si>
    <t>Residential Semi-annual Climate Credit</t>
  </si>
  <si>
    <r>
      <t xml:space="preserve">Average monthly usage below is calculated based on the Baseline Region selected in </t>
    </r>
    <r>
      <rPr>
        <b/>
        <sz val="11"/>
        <color theme="1"/>
        <rFont val="Garamond"/>
        <family val="1"/>
      </rPr>
      <t>D3</t>
    </r>
  </si>
  <si>
    <t>Include in Impact (Y/N)</t>
  </si>
  <si>
    <t>Include CA Climate Credit in Rates &amp; Res. Annual Avg Bills?</t>
  </si>
  <si>
    <t>AL 4507-E</t>
  </si>
  <si>
    <t xml:space="preserve">Diablo Canyon </t>
  </si>
  <si>
    <t>Liability Insurance Premium Balancing Account (LIPBA) Over Limits Sub-Account</t>
  </si>
  <si>
    <t>Statewide Energy Efficiency Bal. Acct. (SWEEBA)</t>
  </si>
  <si>
    <t>Distributed Generation Renewable (DGR) Storage Time Metered Under/(Over) Collection - Distribution</t>
  </si>
  <si>
    <t>Distributed Generation Renewable (DGR) Storage Time Metered Under/(Over) Collection - Commodity</t>
  </si>
  <si>
    <t>YE 2029</t>
  </si>
  <si>
    <t xml:space="preserve"> </t>
  </si>
  <si>
    <t>N/A</t>
  </si>
  <si>
    <t>CARE Line-Item Discount</t>
  </si>
  <si>
    <t>Present</t>
  </si>
  <si>
    <t>Adjustments (ex. CARE and FERA Discounts)</t>
  </si>
  <si>
    <t>Total Adj</t>
  </si>
  <si>
    <t>Adjustments</t>
  </si>
  <si>
    <t>Res. Allocation</t>
  </si>
  <si>
    <t>Small Comm. Allocation</t>
  </si>
  <si>
    <t>Bundled small commercial weighted average monthly bill corresponding to TOU-A above (from CRT as submitted by utility):</t>
  </si>
  <si>
    <t>New</t>
  </si>
  <si>
    <t>AL 4588-E</t>
  </si>
  <si>
    <t>A.25-04-014</t>
  </si>
  <si>
    <t>GRC P1 Track 3 - WMPMA</t>
  </si>
  <si>
    <t>A.22-05-015 / 016 Track 3</t>
  </si>
  <si>
    <t>AL 4628-E/3410-G, AL 4628-E-A / 3410-G-A</t>
  </si>
  <si>
    <t>2027-2032</t>
  </si>
  <si>
    <t>AL 4129-E</t>
  </si>
  <si>
    <t>AL 4701-E</t>
  </si>
  <si>
    <t>2024 GRC Adjustment - Paperless Billing</t>
  </si>
  <si>
    <t>BSC - $/Day</t>
  </si>
  <si>
    <t>BSC - $/Month</t>
  </si>
  <si>
    <t xml:space="preserve"> Assumes a 30-day month</t>
  </si>
  <si>
    <t>2026-2031</t>
  </si>
  <si>
    <t>AL 4653-E</t>
  </si>
  <si>
    <t>The last column represents the current authorized revenue requirements as of this submission.</t>
  </si>
  <si>
    <t>4757-E</t>
  </si>
  <si>
    <t>Concurrent Application System Bal.Acct. (CASBA)</t>
  </si>
  <si>
    <t>Statewide Energy Efficiency Bal. Acct. (SWEEBA) - Rev Req</t>
  </si>
  <si>
    <t>High Power Interim Rate Waiver Balancing Account (HPWBA)</t>
  </si>
  <si>
    <t>High Power Rate Balancing Account (HPRBA)</t>
  </si>
  <si>
    <t>High DER Consulting Funds Balancing Account (DERBA)</t>
  </si>
  <si>
    <t xml:space="preserve">Medium-Duty and Heavy-Duty Electric Vehicle Balancing Account (MDHDBA)  </t>
  </si>
  <si>
    <t>Annual Period 2026</t>
  </si>
  <si>
    <t>D.24-12-074, D.25-12-008, AL 4757-E</t>
  </si>
  <si>
    <t>D.25-09-030, D.25-12-043, D.25-12-008, AL 4757-E</t>
  </si>
  <si>
    <t xml:space="preserve">AL 4717-E, AL 4757-E, Resolution E-5217 </t>
  </si>
  <si>
    <t>WMPMA (Track 2)</t>
  </si>
  <si>
    <t>Authorized Revenue Requirement with FF&amp;U ($000) - Breakout by Year
Year-End 2026; January 1 2027-2030</t>
  </si>
  <si>
    <t>Authorized Residential Sales</t>
  </si>
  <si>
    <t>Rate Impact for Year (2026-2030)</t>
  </si>
  <si>
    <t>Rate by Component - Authorized</t>
  </si>
  <si>
    <t>Rate by Component - w/Pending</t>
  </si>
  <si>
    <t>Sm Commercial</t>
  </si>
  <si>
    <t>Smart Meter 2.0</t>
  </si>
  <si>
    <t>Palomar Decarbonization Demonstration Project</t>
  </si>
  <si>
    <t>Low-Income Application 2028-2033</t>
  </si>
  <si>
    <t>Low-Income Bridge Funding 2027</t>
  </si>
  <si>
    <t>A.25-12-012</t>
  </si>
  <si>
    <t>A.25-12-009</t>
  </si>
  <si>
    <t>A.25-06-022</t>
  </si>
  <si>
    <t>TY 2024 GRC Non-Officer Compensation</t>
  </si>
  <si>
    <t>Demand Flex</t>
  </si>
  <si>
    <t>2027-2031</t>
  </si>
  <si>
    <t>TY 2024 GRC P1 PFM</t>
  </si>
  <si>
    <t>A.22-05-015</t>
  </si>
  <si>
    <t>PFM*</t>
  </si>
  <si>
    <t>Recurring programs funding assumed to be flat at current levels</t>
  </si>
  <si>
    <t>*TY 2024 GRC PFM requests adjustments for Post-Test Years 2025, 2026 and 2027. Only 2026 and 2027 are included in this report, as 12-month amortizations in the respective years,  until a decision with an amortization proposal is adopted. The 2025 requested amounts are: Distribution: $67.557M, Generation: ($5.313M), PCIA: ($15.777M)</t>
  </si>
  <si>
    <t>2025 Recorded Data - Average Monthly Usage - BASIC kWh</t>
  </si>
  <si>
    <t>2025 Recorded Data - Average Monthly Usage - ALL-ELECTRIC kWh</t>
  </si>
  <si>
    <t>2025 Recorded Data</t>
  </si>
  <si>
    <r>
      <t>List of currently open proceedings for which affordability metrics have been filed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:</t>
    </r>
  </si>
  <si>
    <r>
      <rPr>
        <vertAlign val="superscript"/>
        <sz val="11"/>
        <rFont val="Calibri"/>
        <family val="2"/>
        <scheme val="minor"/>
      </rPr>
      <t xml:space="preserve">1 </t>
    </r>
    <r>
      <rPr>
        <sz val="11"/>
        <rFont val="Calibri"/>
        <family val="2"/>
        <scheme val="minor"/>
      </rPr>
      <t>D.25-12-044 changed the affordability metrics requirement to all initial General Rate Case Phase 1 applications where the revenue increase is estimated to exceed 1% of currently authorized revenyes systemwide for a single fuel.</t>
    </r>
  </si>
  <si>
    <t>YE 2030</t>
  </si>
  <si>
    <r>
      <t>GRC P1 Track 3 - WMPMA</t>
    </r>
    <r>
      <rPr>
        <vertAlign val="superscript"/>
        <sz val="11"/>
        <rFont val="Calibri"/>
        <family val="2"/>
        <scheme val="minor"/>
      </rPr>
      <t>2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</si>
  <si>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Incremental revenue requirement from 2027-2030. Actual revenue requirement goes through 2032.</t>
    </r>
  </si>
  <si>
    <t>2028-2031</t>
  </si>
  <si>
    <t>A.26-02-001</t>
  </si>
  <si>
    <t>2025-2027</t>
  </si>
  <si>
    <t>2028-2033</t>
  </si>
  <si>
    <r>
      <t xml:space="preserve">Average monthly usage is for all customers based on seasonal usage in </t>
    </r>
    <r>
      <rPr>
        <b/>
        <sz val="11"/>
        <color theme="1"/>
        <rFont val="Garamond"/>
        <family val="1"/>
      </rPr>
      <t>2025</t>
    </r>
  </si>
  <si>
    <t>2025 Recorded Average Basic Bundled Non-CARE Customer Bill</t>
  </si>
  <si>
    <t xml:space="preserve">2025 Recorded Average All-Electric Bundled Non-CARE Customer </t>
  </si>
  <si>
    <t>2025 Recorded Average Basic Bundled CARE Customer Bill</t>
  </si>
  <si>
    <t xml:space="preserve">2025 Recorded Average All-Electric Bundled CARE Customer </t>
  </si>
  <si>
    <t>ERRA 2027 Forecast</t>
  </si>
  <si>
    <t>2027 Diablo Canyon PP</t>
  </si>
  <si>
    <t>2026-2030</t>
  </si>
  <si>
    <t>Schedule TOU-DR1</t>
  </si>
  <si>
    <t>Schedule TOU-DR1 [CARE]</t>
  </si>
  <si>
    <t>Super Off-Peak</t>
  </si>
  <si>
    <t>≤ 130% Baseline Adjustment</t>
  </si>
  <si>
    <t>SCHEDULE TOU-DR1 RATES ($/kWh)</t>
  </si>
  <si>
    <t>SCHEDULE TOU-DR1-LI [CARE] ($/kWh)</t>
  </si>
  <si>
    <t>TOU Average Usage (NON-CARE)</t>
  </si>
  <si>
    <t>TOU</t>
  </si>
  <si>
    <t>TOU Average Usage (CARE)</t>
  </si>
  <si>
    <t>SCHEDULE TOU-DR1 [CARE] ($/kWh)</t>
  </si>
  <si>
    <t>4791-E / E-A</t>
  </si>
  <si>
    <t>4843-E</t>
  </si>
  <si>
    <t>SAP Migration</t>
  </si>
  <si>
    <t>Energy Efficiency - Revision of 2024-2031 Business Plan</t>
  </si>
  <si>
    <t>Various</t>
  </si>
  <si>
    <t>A.26-03-031</t>
  </si>
  <si>
    <t>A.26-05-002</t>
  </si>
  <si>
    <t>A.26-03-012</t>
  </si>
  <si>
    <t>Energy Efficiency - Application (2028-2035)</t>
  </si>
  <si>
    <t>2028-2035</t>
  </si>
  <si>
    <t>A.26-05-009</t>
  </si>
  <si>
    <t>Critical Peak Pricing Default (CPP-D) Under/ (Over) Collection - Small Commercial (TOU-M - now Medium Commercial)</t>
  </si>
  <si>
    <t>Prior Rates</t>
  </si>
  <si>
    <t>GHG</t>
  </si>
  <si>
    <t>PPP</t>
  </si>
  <si>
    <t>CCC</t>
  </si>
  <si>
    <t>SALES DETERMINANTS</t>
  </si>
  <si>
    <t>Bundled Rates (w/ &amp; w/o CCC)</t>
  </si>
  <si>
    <t>6/1/2026</t>
  </si>
  <si>
    <t>Res</t>
  </si>
  <si>
    <t>Sm. Comm.</t>
  </si>
  <si>
    <t>Gen.</t>
  </si>
  <si>
    <t>Dist.</t>
  </si>
  <si>
    <t>Transm.</t>
  </si>
  <si>
    <t>WF-NBC</t>
  </si>
  <si>
    <t>Current Sales Determinants</t>
  </si>
  <si>
    <t>Net</t>
  </si>
  <si>
    <t>Del</t>
  </si>
  <si>
    <t>Res.</t>
  </si>
  <si>
    <t>2027 ERRA</t>
  </si>
  <si>
    <t>Recorded Data</t>
  </si>
  <si>
    <t>Basic Allowance</t>
  </si>
  <si>
    <t>CARE &amp; Adjustments</t>
  </si>
  <si>
    <t>Current Sales</t>
  </si>
  <si>
    <t>Proposed Sales</t>
  </si>
  <si>
    <t>Sales</t>
  </si>
  <si>
    <t>Bundled Res. Rev Req</t>
  </si>
  <si>
    <t>Bundled Res Rate</t>
  </si>
  <si>
    <t>Schedule TOU DR1</t>
  </si>
  <si>
    <t>Schedule TOU DR1 - CARE</t>
  </si>
  <si>
    <t>Population</t>
  </si>
  <si>
    <t>Weight</t>
  </si>
  <si>
    <t>Avg</t>
  </si>
  <si>
    <t>Max Demand</t>
  </si>
  <si>
    <t>Res Care Authorized kWh Usage</t>
  </si>
  <si>
    <t>CURRENT</t>
  </si>
  <si>
    <t>TOU Average Usage</t>
  </si>
  <si>
    <t>ANNUAL DATA</t>
  </si>
  <si>
    <t>RESIDENTIAL</t>
  </si>
  <si>
    <t>SMALL COMMERCIAL</t>
  </si>
  <si>
    <t>Bundled Rev Req</t>
  </si>
  <si>
    <t>Bundled Rate</t>
  </si>
  <si>
    <t>Rates &amp; Revenues</t>
  </si>
  <si>
    <t>Total DL</t>
  </si>
  <si>
    <t>( DL - MCAM)</t>
  </si>
  <si>
    <t>Gen</t>
  </si>
  <si>
    <t>("Summary" tab only)</t>
  </si>
  <si>
    <t>-- ("Summary" tab only)</t>
  </si>
  <si>
    <t>Sm. Comm. Alloc.</t>
  </si>
  <si>
    <t>Res. Alloc.</t>
  </si>
  <si>
    <t>CARE Sales Present vs Proposed -- ("SAR &amp; RAR" tab only)</t>
  </si>
  <si>
    <t>SALES ALLOCATIONS &amp; CCC</t>
  </si>
  <si>
    <t>TOU-A Basic Service Fee</t>
  </si>
  <si>
    <t>8/1/2026</t>
  </si>
  <si>
    <t>AL 4868-E</t>
  </si>
  <si>
    <t>Reporting Date: Quarter Ended September 30</t>
  </si>
  <si>
    <t>Submitted September 1, 2026</t>
  </si>
  <si>
    <t>A.26-06-015</t>
  </si>
  <si>
    <t>D.26-01-021, AL 4853-E</t>
  </si>
  <si>
    <t>Settlement</t>
  </si>
  <si>
    <t>Draft Posting</t>
  </si>
  <si>
    <t>A.26-01-003</t>
  </si>
  <si>
    <t>Schedule DR - CARE</t>
  </si>
  <si>
    <t>TY 2028 GRC P1</t>
  </si>
  <si>
    <t>2028-2030</t>
  </si>
  <si>
    <r>
      <rPr>
        <sz val="11"/>
        <color theme="1"/>
        <rFont val="Aptos Narrow"/>
        <family val="2"/>
      </rPr>
      <t>³</t>
    </r>
    <r>
      <rPr>
        <sz val="11"/>
        <color theme="1"/>
        <rFont val="Calibri"/>
        <family val="2"/>
        <scheme val="minor"/>
      </rPr>
      <t xml:space="preserve"> Incremental revenue requirement from 2027-2030. Actual revenue requirement goes through 2031.</t>
    </r>
  </si>
  <si>
    <r>
      <t>TY 2028 GRC P1</t>
    </r>
    <r>
      <rPr>
        <sz val="11"/>
        <rFont val="Aptos Narrow"/>
        <family val="2"/>
      </rPr>
      <t>³</t>
    </r>
  </si>
  <si>
    <t>Application/Supplemental</t>
  </si>
  <si>
    <t>FF&amp;U Factors</t>
  </si>
  <si>
    <t>Dist</t>
  </si>
  <si>
    <t>A.26-08-016</t>
  </si>
  <si>
    <t>D.25-12-043, D.24-12-074, AL 4743-E</t>
  </si>
  <si>
    <t>D.24-12-074, AL 4758-E</t>
  </si>
  <si>
    <t>D.24-12-074, A.25-05-012, AL 4758-E</t>
  </si>
  <si>
    <t>D.25-12-008</t>
  </si>
  <si>
    <t xml:space="preserve"> D.25-12-008, AL 4757-E, Resolution E-5217</t>
  </si>
  <si>
    <t>D.25-12-008, Resolution E-5217, AL 4757-E</t>
  </si>
  <si>
    <t>A.25-05-012, A.25-03-013, D.25-09-030, AL 4758-E</t>
  </si>
  <si>
    <t>A.25-05-012, AL 4758-E, Resolution E-5217</t>
  </si>
  <si>
    <t>A.25-05-015, AL 4758-E, Resolution E-5217</t>
  </si>
  <si>
    <t>AL 4757-E, Resolution E-5217</t>
  </si>
  <si>
    <t>D.24-06-003</t>
  </si>
  <si>
    <t>D.25-09-030, AL 4737-E, 4758-E</t>
  </si>
  <si>
    <t>D.25-12-008, AL 4757-E, Resolution E-5217</t>
  </si>
  <si>
    <t>D.25-12-006</t>
  </si>
  <si>
    <t>D.21-07-028, AL 4233-E, AL 4233-E-A, Resolution E-5300</t>
  </si>
  <si>
    <t>D.24-07-013</t>
  </si>
  <si>
    <t>AL 4483-E/3325-G, AL 4757-E</t>
  </si>
  <si>
    <t>D.25-09-006, AL 4757-E</t>
  </si>
  <si>
    <t>D.25-12-043, AL 4078-E, AL 4078-E-A, AL 4553-E</t>
  </si>
  <si>
    <t>D.25-12-043, D.19-08-026, AL 4553-E, AL 3489-E-A</t>
  </si>
  <si>
    <t>D.25-12-043, D.19-11-017, AL 3480-E-A, AL 4553-E, AL 4499-E</t>
  </si>
  <si>
    <t>AL 4717-E, AL 4757-E</t>
  </si>
  <si>
    <t>AL 4511-E/3342-G</t>
  </si>
  <si>
    <t>D.25-12-043, D.21-04-014, AL 4553-E, AL 3765-E, AL 3765-E-A</t>
  </si>
  <si>
    <t>D.08-02-034, AL 2209-E, AL 4757-E</t>
  </si>
  <si>
    <t>D.08-02-034, AL 2069-E, AL 4758-E</t>
  </si>
  <si>
    <t>D.14-01-002, AL 4758-E</t>
  </si>
  <si>
    <t>D.12-12-004, AL 2816-E, AL 4758-E</t>
  </si>
  <si>
    <t>AL 4717-E</t>
  </si>
  <si>
    <t>A.25-05-012</t>
  </si>
  <si>
    <t>D.14-06-029, AL 4757-E, Resolution E-5217</t>
  </si>
  <si>
    <t>D.25-12-007</t>
  </si>
  <si>
    <t>D.21-07-010, AL 2209-E, AL 4319-E, AL 4757-E</t>
  </si>
  <si>
    <t>ER25-270-003, ER25-270-004</t>
  </si>
  <si>
    <t>ER26-553-000</t>
  </si>
  <si>
    <t>ER26-336-000</t>
  </si>
  <si>
    <t>ER26-790-000</t>
  </si>
  <si>
    <t>SDG&amp;E Electric Revenue Requirement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</si>
</sst>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0.0%"/>
    <numFmt numFmtId="166" formatCode="#.00"/>
    <numFmt numFmtId="167" formatCode="#,##0."/>
    <numFmt numFmtId="168" formatCode="&quot;$&quot;#."/>
    <numFmt numFmtId="169" formatCode="0.00_)"/>
    <numFmt numFmtId="170" formatCode="#,##0.00&quot; $&quot;;\-#,##0.00&quot; $&quot;"/>
    <numFmt numFmtId="171" formatCode="m\-d\-yy"/>
    <numFmt numFmtId="172" formatCode="_(* #,##0_);_(* \(#,##0\);_(* &quot;-&quot;??_);_(@_)"/>
    <numFmt numFmtId="173" formatCode="_(&quot;$&quot;* #,##0_);_(&quot;$&quot;* \(#,##0\);_(&quot;$&quot;* &quot;-&quot;??_);_(@_)"/>
    <numFmt numFmtId="174" formatCode="#,##0.0"/>
    <numFmt numFmtId="175" formatCode="_(* #,##0.000000_);_(* \(#,##0.000000\);_(* &quot;-&quot;??_);_(@_)"/>
    <numFmt numFmtId="176" formatCode="#,##0.00000_);[Red]\(#,##0.00000\)"/>
    <numFmt numFmtId="177" formatCode="0.00000"/>
    <numFmt numFmtId="178" formatCode="0.0"/>
    <numFmt numFmtId="179" formatCode="_(* #,##0.000_);_(* \(#,##0.000\);_(* &quot;-&quot;??_);_(@_)"/>
    <numFmt numFmtId="180" formatCode="General_)"/>
    <numFmt numFmtId="181" formatCode="&quot;$&quot;#,##0.00000"/>
    <numFmt numFmtId="182" formatCode="#,##0.00000_);\(#,##0.00000\)"/>
    <numFmt numFmtId="183" formatCode="_(* #,##0.00000_);_(* \(#,##0.00000\);_(* &quot;-&quot;??_);_(@_)"/>
    <numFmt numFmtId="184" formatCode="0.000"/>
    <numFmt numFmtId="185" formatCode="0.0000"/>
    <numFmt numFmtId="186" formatCode="0.00_);\(0.00\)"/>
    <numFmt numFmtId="187" formatCode="[$-F800]dddd\,\ mmmm\ dd\,\ yyyy"/>
    <numFmt numFmtId="188" formatCode="0.0000000000"/>
    <numFmt numFmtId="189" formatCode="_-* #,##0.0_-;\-* #,##0.0_-;_-* &quot;-&quot;??_-;_-@_-"/>
    <numFmt numFmtId="190" formatCode="&quot;$&quot;#,##0.00"/>
    <numFmt numFmtId="191" formatCode="#,##0.000_);[Red]\(#,##0.000\)"/>
    <numFmt numFmtId="192" formatCode="#,##0.000"/>
    <numFmt numFmtId="193" formatCode="#,##0.000_);\(#,##0.000\)"/>
    <numFmt numFmtId="194" formatCode="0.00000_);\(0.00000\)"/>
    <numFmt numFmtId="195" formatCode="_(* #,##0.0000_);_(* \(#,##0.0000\);_(* &quot;-&quot;??_);_(@_)"/>
    <numFmt numFmtId="196" formatCode="_(* #,##0.0_);_(* \(#,##0.0\);_(* &quot;-&quot;??_);_(@_)"/>
    <numFmt numFmtId="197" formatCode="#,##0.00000"/>
  </numFmts>
  <fonts count="8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sz val="1"/>
      <color indexed="8"/>
      <name val="Courier"/>
      <family val="3"/>
    </font>
    <font>
      <sz val="8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sz val="12"/>
      <name val="Garamond"/>
      <family val="1"/>
    </font>
    <font>
      <b/>
      <sz val="12"/>
      <name val="Garamond"/>
      <family val="1"/>
    </font>
    <font>
      <sz val="10"/>
      <name val="Garamond"/>
      <family val="1"/>
    </font>
    <font>
      <sz val="11"/>
      <color theme="1"/>
      <name val="Garamond"/>
      <family val="1"/>
    </font>
    <font>
      <b/>
      <sz val="10"/>
      <name val="Garamond"/>
      <family val="1"/>
    </font>
    <font>
      <sz val="10"/>
      <color indexed="10"/>
      <name val="Garamond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3333FF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sz val="11"/>
      <color rgb="FF3333FF"/>
      <name val="Garamond"/>
      <family val="1"/>
    </font>
    <font>
      <b/>
      <sz val="11"/>
      <color rgb="FF008AF2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2"/>
      <color rgb="FFFF0000"/>
      <name val="Garamond"/>
      <family val="1"/>
    </font>
    <font>
      <b/>
      <sz val="12"/>
      <color rgb="FF3333FF"/>
      <name val="Garamond"/>
      <family val="1"/>
    </font>
    <font>
      <sz val="12"/>
      <color theme="1"/>
      <name val="Garamond"/>
      <family val="1"/>
    </font>
    <font>
      <b/>
      <sz val="11"/>
      <color rgb="FF3333FF"/>
      <name val="Garamond"/>
      <family val="1"/>
    </font>
    <font>
      <sz val="12"/>
      <color rgb="FFFF0000"/>
      <name val="Garamond"/>
      <family val="1"/>
    </font>
    <font>
      <u/>
      <sz val="10"/>
      <name val="Garamond"/>
      <family val="1"/>
    </font>
    <font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rgb="FFFF0000"/>
      <name val="Arial"/>
      <family val="2"/>
    </font>
    <font>
      <sz val="11"/>
      <color rgb="FFFF0000"/>
      <name val="Garamond"/>
      <family val="1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color rgb="FF0000FF"/>
      <name val="Arial"/>
      <family val="2"/>
    </font>
    <font>
      <sz val="14"/>
      <color rgb="FFFF0000"/>
      <name val="Garamond"/>
      <family val="1"/>
    </font>
    <font>
      <sz val="10"/>
      <color theme="1"/>
      <name val="Arial"/>
      <family val="2"/>
    </font>
    <font>
      <b/>
      <i/>
      <sz val="16"/>
      <name val="Helv"/>
      <family val="2"/>
    </font>
    <font>
      <sz val="10"/>
      <name val="Geneva"/>
      <family val="2"/>
    </font>
    <font>
      <sz val="11"/>
      <name val="??"/>
      <family val="3"/>
      <charset val="129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b/>
      <sz val="11"/>
      <color theme="9" tint="-0.249977111117893"/>
      <name val="Garamond"/>
      <family val="1"/>
    </font>
    <font>
      <sz val="11"/>
      <color theme="9" tint="-0.249977111117893"/>
      <name val="Garamond"/>
      <family val="1"/>
    </font>
    <font>
      <b/>
      <sz val="12"/>
      <color theme="9" tint="-0.249977111117893"/>
      <name val="Garamond"/>
      <family val="1"/>
    </font>
    <font>
      <sz val="11"/>
      <color theme="2" tint="-9.9978637043366805E-2"/>
      <name val="Garamond"/>
      <family val="1"/>
    </font>
    <font>
      <sz val="11"/>
      <color theme="2" tint="-9.9978637043366805E-2"/>
      <name val="Calibri"/>
      <family val="2"/>
      <scheme val="minor"/>
    </font>
    <font>
      <b/>
      <sz val="8"/>
      <name val="Arial"/>
      <family val="2"/>
    </font>
    <font>
      <sz val="10"/>
      <color rgb="FFFF0000"/>
      <name val="Garamond"/>
      <family val="1"/>
    </font>
    <font>
      <b/>
      <sz val="11"/>
      <color rgb="FFFF0000"/>
      <name val="Garamond"/>
      <family val="1"/>
    </font>
    <font>
      <sz val="11"/>
      <color theme="0" tint="-0.34998626667073579"/>
      <name val="Calibri"/>
      <family val="2"/>
      <scheme val="minor"/>
    </font>
    <font>
      <sz val="11"/>
      <color theme="1"/>
      <name val="Calibri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42424"/>
      <name val="Calibri"/>
      <family val="2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u/>
      <sz val="11"/>
      <color theme="1"/>
      <name val="Garamond"/>
      <family val="1"/>
    </font>
    <font>
      <u/>
      <sz val="11"/>
      <color theme="1"/>
      <name val="Garamond"/>
      <family val="1"/>
    </font>
    <font>
      <sz val="11"/>
      <color rgb="FF0000FF"/>
      <name val="Garamond"/>
      <family val="1"/>
    </font>
    <font>
      <sz val="12"/>
      <color rgb="FF0000FF"/>
      <name val="Garamond"/>
      <family val="1"/>
    </font>
    <font>
      <sz val="11"/>
      <color rgb="FF00B050"/>
      <name val="Garamond"/>
      <family val="1"/>
    </font>
    <font>
      <b/>
      <sz val="11"/>
      <color rgb="FF00B050"/>
      <name val="Garamond"/>
      <family val="1"/>
    </font>
    <font>
      <sz val="9"/>
      <color rgb="FF0000FF"/>
      <name val="Garamond"/>
      <family val="1"/>
    </font>
    <font>
      <b/>
      <u/>
      <sz val="11"/>
      <color theme="10"/>
      <name val="Calibri"/>
      <family val="2"/>
      <scheme val="minor"/>
    </font>
    <font>
      <b/>
      <sz val="11"/>
      <color theme="0"/>
      <name val="Garamond"/>
      <family val="1"/>
    </font>
    <font>
      <b/>
      <i/>
      <sz val="11"/>
      <color theme="1"/>
      <name val="Garamond"/>
      <family val="1"/>
    </font>
    <font>
      <sz val="11"/>
      <color theme="1"/>
      <name val="Aptos Narrow"/>
      <family val="2"/>
    </font>
    <font>
      <sz val="11"/>
      <name val="Aptos Narrow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72">
    <xf numFmtId="0" fontId="0" fillId="0" borderId="0"/>
    <xf numFmtId="0" fontId="2" fillId="0" borderId="0"/>
    <xf numFmtId="171" fontId="3" fillId="2" borderId="2">
      <alignment horizontal="center" vertical="center"/>
    </xf>
    <xf numFmtId="43" fontId="2" fillId="0" borderId="0" applyFont="0" applyFill="0" applyBorder="0" applyAlignment="0" applyProtection="0"/>
    <xf numFmtId="167" fontId="5" fillId="0" borderId="0">
      <protection locked="0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8" fontId="5" fillId="0" borderId="0">
      <protection locked="0"/>
    </xf>
    <xf numFmtId="0" fontId="5" fillId="0" borderId="0">
      <protection locked="0"/>
    </xf>
    <xf numFmtId="166" fontId="5" fillId="0" borderId="0">
      <protection locked="0"/>
    </xf>
    <xf numFmtId="38" fontId="6" fillId="3" borderId="0" applyNumberFormat="0" applyBorder="0" applyAlignment="0" applyProtection="0"/>
    <xf numFmtId="0" fontId="7" fillId="0" borderId="0" applyNumberFormat="0" applyFill="0" applyBorder="0" applyAlignment="0" applyProtection="0"/>
    <xf numFmtId="0" fontId="5" fillId="0" borderId="0">
      <protection locked="0"/>
    </xf>
    <xf numFmtId="0" fontId="5" fillId="0" borderId="0">
      <protection locked="0"/>
    </xf>
    <xf numFmtId="170" fontId="2" fillId="0" borderId="0">
      <protection locked="0"/>
    </xf>
    <xf numFmtId="170" fontId="2" fillId="0" borderId="0">
      <protection locked="0"/>
    </xf>
    <xf numFmtId="0" fontId="8" fillId="0" borderId="3" applyNumberFormat="0" applyFill="0" applyAlignment="0" applyProtection="0"/>
    <xf numFmtId="10" fontId="6" fillId="4" borderId="4" applyNumberFormat="0" applyBorder="0" applyAlignment="0" applyProtection="0"/>
    <xf numFmtId="37" fontId="9" fillId="0" borderId="0"/>
    <xf numFmtId="169" fontId="10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5">
      <protection locked="0"/>
    </xf>
    <xf numFmtId="37" fontId="6" fillId="5" borderId="0" applyNumberFormat="0" applyBorder="0" applyAlignment="0" applyProtection="0"/>
    <xf numFmtId="37" fontId="6" fillId="0" borderId="0"/>
    <xf numFmtId="37" fontId="6" fillId="5" borderId="0" applyNumberFormat="0" applyBorder="0" applyAlignment="0" applyProtection="0"/>
    <xf numFmtId="3" fontId="11" fillId="0" borderId="3" applyProtection="0"/>
    <xf numFmtId="0" fontId="2" fillId="0" borderId="0"/>
    <xf numFmtId="0" fontId="4" fillId="0" borderId="0"/>
    <xf numFmtId="9" fontId="4" fillId="0" borderId="0" applyFont="0" applyFill="0" applyBorder="0" applyAlignment="0" applyProtection="0"/>
    <xf numFmtId="0" fontId="2" fillId="0" borderId="0"/>
    <xf numFmtId="44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4" fillId="0" borderId="0"/>
    <xf numFmtId="0" fontId="2" fillId="0" borderId="0"/>
    <xf numFmtId="180" fontId="6" fillId="0" borderId="0"/>
    <xf numFmtId="9" fontId="47" fillId="0" borderId="0" applyFont="0" applyFill="0" applyBorder="0" applyAlignment="0" applyProtection="0"/>
    <xf numFmtId="44" fontId="20" fillId="0" borderId="0" applyFont="0" applyFill="0" applyBorder="0" applyAlignment="0" applyProtection="0"/>
    <xf numFmtId="42" fontId="47" fillId="0" borderId="0" applyFont="0" applyFill="0" applyBorder="0" applyAlignment="0" applyProtection="0"/>
    <xf numFmtId="43" fontId="20" fillId="0" borderId="0" applyFont="0" applyFill="0" applyBorder="0" applyAlignment="0" applyProtection="0"/>
    <xf numFmtId="41" fontId="47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4" applyNumberFormat="0" applyBorder="0" applyAlignment="0" applyProtection="0"/>
    <xf numFmtId="169" fontId="48" fillId="0" borderId="0"/>
    <xf numFmtId="0" fontId="6" fillId="5" borderId="0" applyNumberFormat="0" applyBorder="0" applyAlignment="0" applyProtection="0"/>
    <xf numFmtId="0" fontId="20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188" fontId="49" fillId="2" borderId="2">
      <alignment horizontal="center" vertical="center"/>
    </xf>
    <xf numFmtId="6" fontId="50" fillId="0" borderId="0">
      <protection locked="0"/>
    </xf>
    <xf numFmtId="189" fontId="2" fillId="0" borderId="0">
      <protection locked="0"/>
    </xf>
    <xf numFmtId="0" fontId="2" fillId="0" borderId="0"/>
    <xf numFmtId="0" fontId="2" fillId="0" borderId="0"/>
    <xf numFmtId="180" fontId="6" fillId="0" borderId="0"/>
    <xf numFmtId="188" fontId="49" fillId="2" borderId="2">
      <alignment horizontal="center" vertical="center"/>
    </xf>
    <xf numFmtId="0" fontId="2" fillId="0" borderId="0"/>
    <xf numFmtId="0" fontId="64" fillId="0" borderId="0"/>
    <xf numFmtId="0" fontId="20" fillId="0" borderId="0"/>
    <xf numFmtId="0" fontId="65" fillId="0" borderId="0" applyNumberFormat="0" applyFill="0" applyBorder="0" applyAlignment="0" applyProtection="0"/>
    <xf numFmtId="0" fontId="20" fillId="0" borderId="0"/>
    <xf numFmtId="0" fontId="63" fillId="0" borderId="0"/>
    <xf numFmtId="43" fontId="2" fillId="0" borderId="0" applyFont="0" applyFill="0" applyBorder="0" applyAlignment="0" applyProtection="0"/>
    <xf numFmtId="0" fontId="65" fillId="0" borderId="0" applyNumberFormat="0" applyFill="0" applyBorder="0" applyAlignment="0" applyProtection="0"/>
  </cellStyleXfs>
  <cellXfs count="889">
    <xf numFmtId="0" fontId="0" fillId="0" borderId="0" xfId="0"/>
    <xf numFmtId="0" fontId="12" fillId="0" borderId="0" xfId="0" applyFont="1"/>
    <xf numFmtId="43" fontId="12" fillId="0" borderId="0" xfId="0" applyNumberFormat="1" applyFont="1"/>
    <xf numFmtId="3" fontId="12" fillId="0" borderId="0" xfId="0" applyNumberFormat="1" applyFont="1" applyAlignment="1">
      <alignment horizontal="center"/>
    </xf>
    <xf numFmtId="38" fontId="12" fillId="0" borderId="0" xfId="0" applyNumberFormat="1" applyFont="1" applyAlignment="1">
      <alignment horizontal="center"/>
    </xf>
    <xf numFmtId="10" fontId="12" fillId="0" borderId="0" xfId="25" applyNumberFormat="1" applyFont="1" applyAlignment="1">
      <alignment horizontal="center"/>
    </xf>
    <xf numFmtId="0" fontId="15" fillId="0" borderId="0" xfId="0" applyFont="1"/>
    <xf numFmtId="0" fontId="14" fillId="0" borderId="0" xfId="20" applyFont="1"/>
    <xf numFmtId="44" fontId="15" fillId="0" borderId="0" xfId="6" applyFont="1" applyBorder="1"/>
    <xf numFmtId="165" fontId="15" fillId="0" borderId="0" xfId="24" applyNumberFormat="1" applyFont="1" applyBorder="1"/>
    <xf numFmtId="0" fontId="15" fillId="0" borderId="0" xfId="0" applyFont="1" applyAlignment="1">
      <alignment horizontal="left" vertical="top"/>
    </xf>
    <xf numFmtId="0" fontId="0" fillId="0" borderId="1" xfId="0" applyBorder="1" applyAlignment="1">
      <alignment wrapText="1"/>
    </xf>
    <xf numFmtId="37" fontId="0" fillId="0" borderId="0" xfId="0" applyNumberFormat="1"/>
    <xf numFmtId="5" fontId="0" fillId="0" borderId="0" xfId="0" applyNumberFormat="1"/>
    <xf numFmtId="5" fontId="21" fillId="0" borderId="0" xfId="0" applyNumberFormat="1" applyFont="1"/>
    <xf numFmtId="3" fontId="0" fillId="0" borderId="0" xfId="0" applyNumberFormat="1"/>
    <xf numFmtId="164" fontId="0" fillId="0" borderId="0" xfId="0" applyNumberFormat="1" applyAlignment="1">
      <alignment horizontal="left"/>
    </xf>
    <xf numFmtId="164" fontId="0" fillId="0" borderId="0" xfId="0" applyNumberFormat="1"/>
    <xf numFmtId="0" fontId="1" fillId="0" borderId="0" xfId="0" applyFont="1"/>
    <xf numFmtId="0" fontId="0" fillId="0" borderId="1" xfId="0" applyBorder="1"/>
    <xf numFmtId="0" fontId="12" fillId="0" borderId="0" xfId="0" applyFont="1" applyAlignment="1">
      <alignment horizontal="center"/>
    </xf>
    <xf numFmtId="3" fontId="1" fillId="0" borderId="0" xfId="0" applyNumberFormat="1" applyFont="1"/>
    <xf numFmtId="0" fontId="24" fillId="0" borderId="0" xfId="0" applyFont="1"/>
    <xf numFmtId="172" fontId="0" fillId="0" borderId="0" xfId="0" applyNumberFormat="1"/>
    <xf numFmtId="172" fontId="0" fillId="0" borderId="0" xfId="39" applyNumberFormat="1" applyFont="1"/>
    <xf numFmtId="172" fontId="0" fillId="0" borderId="0" xfId="39" applyNumberFormat="1" applyFont="1" applyFill="1"/>
    <xf numFmtId="41" fontId="0" fillId="0" borderId="0" xfId="0" applyNumberFormat="1"/>
    <xf numFmtId="0" fontId="0" fillId="0" borderId="0" xfId="0" applyAlignment="1">
      <alignment horizontal="right"/>
    </xf>
    <xf numFmtId="173" fontId="0" fillId="0" borderId="0" xfId="35" applyNumberFormat="1" applyFont="1"/>
    <xf numFmtId="41" fontId="0" fillId="0" borderId="0" xfId="39" applyNumberFormat="1" applyFont="1" applyBorder="1"/>
    <xf numFmtId="172" fontId="0" fillId="0" borderId="0" xfId="39" applyNumberFormat="1" applyFont="1" applyBorder="1"/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1" fontId="0" fillId="0" borderId="0" xfId="0" applyNumberFormat="1" applyAlignment="1">
      <alignment horizontal="center"/>
    </xf>
    <xf numFmtId="173" fontId="0" fillId="0" borderId="0" xfId="35" applyNumberFormat="1" applyFont="1" applyBorder="1"/>
    <xf numFmtId="37" fontId="1" fillId="0" borderId="0" xfId="0" applyNumberFormat="1" applyFont="1"/>
    <xf numFmtId="0" fontId="27" fillId="0" borderId="0" xfId="1" applyFont="1" applyAlignment="1">
      <alignment horizontal="center"/>
    </xf>
    <xf numFmtId="0" fontId="28" fillId="0" borderId="0" xfId="1" applyFont="1"/>
    <xf numFmtId="0" fontId="27" fillId="0" borderId="0" xfId="1" applyFont="1"/>
    <xf numFmtId="0" fontId="27" fillId="0" borderId="0" xfId="1" applyFont="1" applyAlignment="1">
      <alignment horizontal="right"/>
    </xf>
    <xf numFmtId="15" fontId="27" fillId="0" borderId="0" xfId="1" applyNumberFormat="1" applyFont="1"/>
    <xf numFmtId="0" fontId="27" fillId="0" borderId="0" xfId="0" applyFont="1"/>
    <xf numFmtId="0" fontId="27" fillId="0" borderId="0" xfId="0" applyFont="1" applyAlignment="1">
      <alignment horizontal="right"/>
    </xf>
    <xf numFmtId="1" fontId="27" fillId="6" borderId="4" xfId="1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29" fillId="0" borderId="7" xfId="0" applyFont="1" applyBorder="1"/>
    <xf numFmtId="0" fontId="0" fillId="0" borderId="0" xfId="0" applyAlignment="1">
      <alignment horizontal="left"/>
    </xf>
    <xf numFmtId="9" fontId="15" fillId="0" borderId="0" xfId="40" applyFont="1" applyFill="1" applyBorder="1" applyAlignment="1">
      <alignment horizontal="center"/>
    </xf>
    <xf numFmtId="0" fontId="15" fillId="0" borderId="0" xfId="0" applyFont="1" applyAlignment="1">
      <alignment horizontal="right"/>
    </xf>
    <xf numFmtId="0" fontId="15" fillId="0" borderId="4" xfId="0" applyFont="1" applyBorder="1"/>
    <xf numFmtId="0" fontId="30" fillId="0" borderId="0" xfId="0" applyFont="1" applyAlignment="1">
      <alignment horizontal="center"/>
    </xf>
    <xf numFmtId="14" fontId="27" fillId="0" borderId="4" xfId="1" quotePrefix="1" applyNumberFormat="1" applyFont="1" applyBorder="1" applyAlignment="1">
      <alignment horizontal="center" wrapText="1"/>
    </xf>
    <xf numFmtId="0" fontId="27" fillId="0" borderId="4" xfId="1" applyFont="1" applyBorder="1" applyAlignment="1">
      <alignment horizontal="center" wrapText="1"/>
    </xf>
    <xf numFmtId="0" fontId="27" fillId="0" borderId="17" xfId="1" applyFont="1" applyBorder="1" applyAlignment="1">
      <alignment horizontal="center" wrapText="1"/>
    </xf>
    <xf numFmtId="174" fontId="27" fillId="0" borderId="21" xfId="1" applyNumberFormat="1" applyFont="1" applyBorder="1" applyAlignment="1">
      <alignment horizontal="center"/>
    </xf>
    <xf numFmtId="165" fontId="27" fillId="0" borderId="22" xfId="25" applyNumberFormat="1" applyFont="1" applyFill="1" applyBorder="1" applyAlignment="1">
      <alignment horizontal="center"/>
    </xf>
    <xf numFmtId="165" fontId="27" fillId="0" borderId="23" xfId="25" applyNumberFormat="1" applyFont="1" applyFill="1" applyBorder="1" applyAlignment="1">
      <alignment horizontal="center"/>
    </xf>
    <xf numFmtId="174" fontId="27" fillId="0" borderId="27" xfId="1" applyNumberFormat="1" applyFont="1" applyBorder="1" applyAlignment="1">
      <alignment horizontal="center"/>
    </xf>
    <xf numFmtId="165" fontId="27" fillId="0" borderId="27" xfId="25" applyNumberFormat="1" applyFont="1" applyFill="1" applyBorder="1" applyAlignment="1">
      <alignment horizontal="center"/>
    </xf>
    <xf numFmtId="165" fontId="27" fillId="0" borderId="28" xfId="25" applyNumberFormat="1" applyFont="1" applyFill="1" applyBorder="1" applyAlignment="1">
      <alignment horizontal="center"/>
    </xf>
    <xf numFmtId="174" fontId="15" fillId="0" borderId="0" xfId="0" applyNumberFormat="1" applyFont="1"/>
    <xf numFmtId="0" fontId="27" fillId="0" borderId="18" xfId="1" applyFont="1" applyBorder="1" applyAlignment="1">
      <alignment horizontal="center"/>
    </xf>
    <xf numFmtId="0" fontId="27" fillId="0" borderId="1" xfId="1" applyFont="1" applyBorder="1" applyAlignment="1">
      <alignment horizontal="center"/>
    </xf>
    <xf numFmtId="165" fontId="27" fillId="0" borderId="22" xfId="22" applyNumberFormat="1" applyFont="1" applyFill="1" applyBorder="1" applyAlignment="1">
      <alignment horizontal="center"/>
    </xf>
    <xf numFmtId="165" fontId="27" fillId="0" borderId="21" xfId="22" applyNumberFormat="1" applyFont="1" applyFill="1" applyBorder="1" applyAlignment="1">
      <alignment horizontal="center"/>
    </xf>
    <xf numFmtId="165" fontId="27" fillId="0" borderId="23" xfId="22" applyNumberFormat="1" applyFont="1" applyFill="1" applyBorder="1" applyAlignment="1">
      <alignment horizontal="center"/>
    </xf>
    <xf numFmtId="165" fontId="27" fillId="0" borderId="27" xfId="22" applyNumberFormat="1" applyFont="1" applyFill="1" applyBorder="1" applyAlignment="1">
      <alignment horizontal="center"/>
    </xf>
    <xf numFmtId="165" fontId="27" fillId="0" borderId="28" xfId="22" applyNumberFormat="1" applyFont="1" applyFill="1" applyBorder="1" applyAlignment="1">
      <alignment horizontal="center"/>
    </xf>
    <xf numFmtId="0" fontId="0" fillId="7" borderId="0" xfId="0" applyFill="1"/>
    <xf numFmtId="0" fontId="1" fillId="7" borderId="0" xfId="0" applyFont="1" applyFill="1"/>
    <xf numFmtId="3" fontId="1" fillId="7" borderId="6" xfId="0" applyNumberFormat="1" applyFont="1" applyFill="1" applyBorder="1"/>
    <xf numFmtId="37" fontId="0" fillId="6" borderId="0" xfId="0" applyNumberFormat="1" applyFill="1"/>
    <xf numFmtId="0" fontId="0" fillId="6" borderId="0" xfId="0" applyFill="1"/>
    <xf numFmtId="5" fontId="21" fillId="6" borderId="0" xfId="0" applyNumberFormat="1" applyFont="1" applyFill="1"/>
    <xf numFmtId="0" fontId="32" fillId="6" borderId="0" xfId="0" applyFont="1" applyFill="1" applyAlignment="1">
      <alignment horizontal="right"/>
    </xf>
    <xf numFmtId="0" fontId="33" fillId="0" borderId="0" xfId="0" applyFont="1" applyAlignment="1">
      <alignment horizontal="center" wrapText="1"/>
    </xf>
    <xf numFmtId="0" fontId="28" fillId="0" borderId="0" xfId="1" applyFont="1" applyAlignment="1">
      <alignment horizontal="right"/>
    </xf>
    <xf numFmtId="0" fontId="28" fillId="0" borderId="7" xfId="1" applyFont="1" applyBorder="1" applyAlignment="1">
      <alignment horizontal="center"/>
    </xf>
    <xf numFmtId="0" fontId="15" fillId="0" borderId="0" xfId="0" applyFont="1" applyAlignment="1">
      <alignment vertical="top" wrapText="1"/>
    </xf>
    <xf numFmtId="172" fontId="27" fillId="0" borderId="0" xfId="3" applyNumberFormat="1" applyFont="1" applyFill="1" applyBorder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10" fontId="12" fillId="8" borderId="0" xfId="24" applyNumberFormat="1" applyFont="1" applyFill="1" applyAlignment="1">
      <alignment horizontal="center"/>
    </xf>
    <xf numFmtId="165" fontId="12" fillId="0" borderId="0" xfId="24" applyNumberFormat="1" applyFont="1" applyAlignment="1">
      <alignment horizontal="center"/>
    </xf>
    <xf numFmtId="0" fontId="14" fillId="0" borderId="0" xfId="1" applyFont="1"/>
    <xf numFmtId="0" fontId="34" fillId="0" borderId="0" xfId="0" applyFont="1"/>
    <xf numFmtId="172" fontId="12" fillId="0" borderId="0" xfId="0" applyNumberFormat="1" applyFont="1" applyAlignment="1">
      <alignment horizontal="center"/>
    </xf>
    <xf numFmtId="172" fontId="12" fillId="0" borderId="0" xfId="3" applyNumberFormat="1" applyFont="1" applyFill="1"/>
    <xf numFmtId="172" fontId="27" fillId="0" borderId="0" xfId="3" applyNumberFormat="1" applyFont="1" applyBorder="1" applyAlignment="1">
      <alignment horizontal="center" wrapText="1"/>
    </xf>
    <xf numFmtId="0" fontId="34" fillId="0" borderId="0" xfId="0" applyFont="1" applyAlignment="1">
      <alignment horizontal="center"/>
    </xf>
    <xf numFmtId="9" fontId="35" fillId="0" borderId="0" xfId="40" applyFont="1" applyAlignment="1">
      <alignment horizontal="right"/>
    </xf>
    <xf numFmtId="0" fontId="12" fillId="0" borderId="32" xfId="0" applyFont="1" applyBorder="1" applyAlignment="1">
      <alignment horizontal="center"/>
    </xf>
    <xf numFmtId="172" fontId="12" fillId="0" borderId="32" xfId="3" applyNumberFormat="1" applyFont="1" applyBorder="1"/>
    <xf numFmtId="172" fontId="12" fillId="0" borderId="30" xfId="3" applyNumberFormat="1" applyFont="1" applyBorder="1"/>
    <xf numFmtId="172" fontId="12" fillId="8" borderId="0" xfId="0" applyNumberFormat="1" applyFont="1" applyFill="1" applyAlignment="1">
      <alignment horizontal="center"/>
    </xf>
    <xf numFmtId="43" fontId="15" fillId="0" borderId="0" xfId="0" applyNumberFormat="1" applyFont="1"/>
    <xf numFmtId="172" fontId="12" fillId="0" borderId="0" xfId="3" applyNumberFormat="1" applyFont="1" applyFill="1" applyBorder="1"/>
    <xf numFmtId="175" fontId="15" fillId="0" borderId="0" xfId="0" applyNumberFormat="1" applyFont="1"/>
    <xf numFmtId="43" fontId="12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/>
    <xf numFmtId="4" fontId="14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/>
    </xf>
    <xf numFmtId="10" fontId="12" fillId="0" borderId="0" xfId="24" applyNumberFormat="1" applyFont="1"/>
    <xf numFmtId="172" fontId="12" fillId="0" borderId="0" xfId="3" applyNumberFormat="1" applyFont="1"/>
    <xf numFmtId="0" fontId="14" fillId="0" borderId="0" xfId="0" applyFont="1" applyAlignment="1">
      <alignment horizontal="right" vertical="center"/>
    </xf>
    <xf numFmtId="0" fontId="29" fillId="0" borderId="0" xfId="0" applyFont="1"/>
    <xf numFmtId="0" fontId="28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176" fontId="27" fillId="0" borderId="0" xfId="41" applyNumberFormat="1" applyFont="1" applyAlignment="1" applyProtection="1">
      <alignment horizontal="left"/>
      <protection locked="0"/>
    </xf>
    <xf numFmtId="176" fontId="28" fillId="0" borderId="0" xfId="42" applyNumberFormat="1" applyFont="1" applyAlignment="1">
      <alignment horizontal="right"/>
    </xf>
    <xf numFmtId="177" fontId="12" fillId="8" borderId="0" xfId="0" applyNumberFormat="1" applyFont="1" applyFill="1"/>
    <xf numFmtId="173" fontId="12" fillId="0" borderId="0" xfId="35" applyNumberFormat="1" applyFont="1"/>
    <xf numFmtId="178" fontId="12" fillId="0" borderId="0" xfId="0" applyNumberFormat="1" applyFont="1" applyAlignment="1">
      <alignment horizontal="center"/>
    </xf>
    <xf numFmtId="176" fontId="27" fillId="0" borderId="0" xfId="42" quotePrefix="1" applyNumberFormat="1" applyFont="1" applyAlignment="1">
      <alignment horizontal="right"/>
    </xf>
    <xf numFmtId="3" fontId="15" fillId="0" borderId="0" xfId="0" applyNumberFormat="1" applyFont="1"/>
    <xf numFmtId="178" fontId="37" fillId="0" borderId="0" xfId="0" applyNumberFormat="1" applyFont="1"/>
    <xf numFmtId="177" fontId="12" fillId="0" borderId="0" xfId="0" applyNumberFormat="1" applyFont="1"/>
    <xf numFmtId="178" fontId="12" fillId="0" borderId="0" xfId="0" applyNumberFormat="1" applyFont="1"/>
    <xf numFmtId="177" fontId="12" fillId="0" borderId="0" xfId="0" applyNumberFormat="1" applyFont="1" applyAlignment="1">
      <alignment horizontal="center"/>
    </xf>
    <xf numFmtId="176" fontId="27" fillId="0" borderId="0" xfId="41" applyNumberFormat="1" applyFont="1" applyAlignment="1" applyProtection="1">
      <alignment horizontal="right"/>
      <protection locked="0"/>
    </xf>
    <xf numFmtId="178" fontId="15" fillId="0" borderId="0" xfId="0" applyNumberFormat="1" applyFont="1"/>
    <xf numFmtId="0" fontId="38" fillId="0" borderId="0" xfId="20" applyFont="1"/>
    <xf numFmtId="17" fontId="16" fillId="0" borderId="0" xfId="20" applyNumberFormat="1" applyFont="1" applyAlignment="1">
      <alignment horizontal="center" wrapText="1"/>
    </xf>
    <xf numFmtId="0" fontId="15" fillId="0" borderId="4" xfId="0" applyFont="1" applyBorder="1" applyAlignment="1">
      <alignment wrapText="1"/>
    </xf>
    <xf numFmtId="0" fontId="15" fillId="0" borderId="4" xfId="0" applyFont="1" applyBorder="1" applyAlignment="1">
      <alignment horizontal="center" vertical="top" wrapText="1"/>
    </xf>
    <xf numFmtId="0" fontId="14" fillId="0" borderId="7" xfId="20" applyFont="1" applyBorder="1" applyAlignment="1">
      <alignment horizontal="right"/>
    </xf>
    <xf numFmtId="14" fontId="16" fillId="0" borderId="7" xfId="20" quotePrefix="1" applyNumberFormat="1" applyFont="1" applyBorder="1" applyAlignment="1">
      <alignment horizontal="right"/>
    </xf>
    <xf numFmtId="17" fontId="16" fillId="0" borderId="7" xfId="20" applyNumberFormat="1" applyFont="1" applyBorder="1" applyAlignment="1">
      <alignment horizontal="center" wrapText="1"/>
    </xf>
    <xf numFmtId="0" fontId="15" fillId="0" borderId="7" xfId="0" applyFont="1" applyBorder="1"/>
    <xf numFmtId="0" fontId="14" fillId="0" borderId="0" xfId="20" applyFont="1" applyAlignment="1">
      <alignment horizontal="right"/>
    </xf>
    <xf numFmtId="177" fontId="15" fillId="8" borderId="0" xfId="6" applyNumberFormat="1" applyFont="1" applyFill="1"/>
    <xf numFmtId="177" fontId="15" fillId="0" borderId="0" xfId="6" applyNumberFormat="1" applyFont="1" applyFill="1"/>
    <xf numFmtId="177" fontId="15" fillId="0" borderId="0" xfId="6" applyNumberFormat="1" applyFont="1"/>
    <xf numFmtId="0" fontId="15" fillId="0" borderId="21" xfId="0" applyFont="1" applyBorder="1"/>
    <xf numFmtId="1" fontId="15" fillId="8" borderId="22" xfId="0" applyNumberFormat="1" applyFont="1" applyFill="1" applyBorder="1"/>
    <xf numFmtId="165" fontId="0" fillId="0" borderId="0" xfId="40" applyNumberFormat="1" applyFont="1" applyFill="1"/>
    <xf numFmtId="0" fontId="15" fillId="0" borderId="22" xfId="0" applyFont="1" applyBorder="1"/>
    <xf numFmtId="165" fontId="0" fillId="0" borderId="0" xfId="40" applyNumberFormat="1" applyFont="1" applyFill="1" applyBorder="1"/>
    <xf numFmtId="44" fontId="15" fillId="0" borderId="0" xfId="6" applyFont="1" applyFill="1" applyBorder="1"/>
    <xf numFmtId="0" fontId="15" fillId="0" borderId="9" xfId="0" applyFont="1" applyBorder="1"/>
    <xf numFmtId="1" fontId="15" fillId="8" borderId="9" xfId="0" applyNumberFormat="1" applyFont="1" applyFill="1" applyBorder="1"/>
    <xf numFmtId="1" fontId="17" fillId="0" borderId="0" xfId="20" applyNumberFormat="1" applyFont="1"/>
    <xf numFmtId="1" fontId="14" fillId="0" borderId="0" xfId="20" applyNumberFormat="1" applyFont="1"/>
    <xf numFmtId="1" fontId="28" fillId="0" borderId="0" xfId="0" applyNumberFormat="1" applyFont="1" applyAlignment="1">
      <alignment horizontal="center" wrapText="1"/>
    </xf>
    <xf numFmtId="1" fontId="15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10" fontId="12" fillId="0" borderId="0" xfId="24" applyNumberFormat="1" applyFont="1" applyAlignment="1">
      <alignment horizontal="center"/>
    </xf>
    <xf numFmtId="9" fontId="15" fillId="0" borderId="0" xfId="40" applyFont="1"/>
    <xf numFmtId="172" fontId="27" fillId="9" borderId="0" xfId="3" applyNumberFormat="1" applyFont="1" applyFill="1" applyBorder="1" applyAlignment="1">
      <alignment horizontal="center"/>
    </xf>
    <xf numFmtId="3" fontId="15" fillId="9" borderId="0" xfId="0" applyNumberFormat="1" applyFont="1" applyFill="1"/>
    <xf numFmtId="1" fontId="15" fillId="9" borderId="0" xfId="0" applyNumberFormat="1" applyFont="1" applyFill="1"/>
    <xf numFmtId="44" fontId="29" fillId="0" borderId="0" xfId="6" applyFont="1" applyFill="1" applyBorder="1"/>
    <xf numFmtId="165" fontId="15" fillId="0" borderId="0" xfId="24" applyNumberFormat="1" applyFont="1" applyFill="1" applyBorder="1"/>
    <xf numFmtId="44" fontId="15" fillId="10" borderId="0" xfId="6" applyFont="1" applyFill="1" applyBorder="1"/>
    <xf numFmtId="44" fontId="27" fillId="0" borderId="22" xfId="1" applyNumberFormat="1" applyFont="1" applyBorder="1" applyAlignment="1">
      <alignment horizontal="center"/>
    </xf>
    <xf numFmtId="44" fontId="27" fillId="0" borderId="30" xfId="1" applyNumberFormat="1" applyFont="1" applyBorder="1" applyAlignment="1">
      <alignment horizontal="center"/>
    </xf>
    <xf numFmtId="44" fontId="27" fillId="0" borderId="27" xfId="1" applyNumberFormat="1" applyFont="1" applyBorder="1" applyAlignment="1">
      <alignment horizontal="center"/>
    </xf>
    <xf numFmtId="44" fontId="27" fillId="0" borderId="25" xfId="1" applyNumberFormat="1" applyFont="1" applyBorder="1" applyAlignment="1">
      <alignment horizontal="center"/>
    </xf>
    <xf numFmtId="1" fontId="15" fillId="0" borderId="9" xfId="0" applyNumberFormat="1" applyFont="1" applyBorder="1"/>
    <xf numFmtId="1" fontId="15" fillId="0" borderId="4" xfId="0" applyNumberFormat="1" applyFont="1" applyBorder="1"/>
    <xf numFmtId="10" fontId="12" fillId="8" borderId="0" xfId="40" applyNumberFormat="1" applyFont="1" applyFill="1" applyAlignment="1">
      <alignment horizontal="center"/>
    </xf>
    <xf numFmtId="10" fontId="15" fillId="0" borderId="0" xfId="40" applyNumberFormat="1" applyFont="1"/>
    <xf numFmtId="6" fontId="12" fillId="0" borderId="0" xfId="0" applyNumberFormat="1" applyFont="1"/>
    <xf numFmtId="179" fontId="12" fillId="0" borderId="0" xfId="3" applyNumberFormat="1" applyFont="1" applyFill="1"/>
    <xf numFmtId="0" fontId="0" fillId="11" borderId="0" xfId="0" applyFill="1"/>
    <xf numFmtId="172" fontId="15" fillId="0" borderId="0" xfId="39" applyNumberFormat="1" applyFont="1" applyFill="1"/>
    <xf numFmtId="177" fontId="12" fillId="0" borderId="0" xfId="0" applyNumberFormat="1" applyFont="1" applyAlignment="1">
      <alignment horizontal="right"/>
    </xf>
    <xf numFmtId="172" fontId="42" fillId="0" borderId="0" xfId="0" applyNumberFormat="1" applyFont="1"/>
    <xf numFmtId="0" fontId="42" fillId="0" borderId="0" xfId="0" applyFont="1" applyAlignment="1">
      <alignment horizontal="center"/>
    </xf>
    <xf numFmtId="14" fontId="28" fillId="0" borderId="0" xfId="0" applyNumberFormat="1" applyFont="1" applyAlignment="1">
      <alignment horizontal="center" wrapText="1"/>
    </xf>
    <xf numFmtId="49" fontId="27" fillId="0" borderId="4" xfId="1" quotePrefix="1" applyNumberFormat="1" applyFont="1" applyBorder="1" applyAlignment="1">
      <alignment horizontal="center" wrapText="1"/>
    </xf>
    <xf numFmtId="0" fontId="28" fillId="0" borderId="0" xfId="1" applyFont="1" applyAlignment="1">
      <alignment horizontal="center"/>
    </xf>
    <xf numFmtId="172" fontId="15" fillId="0" borderId="0" xfId="0" applyNumberFormat="1" applyFont="1"/>
    <xf numFmtId="14" fontId="0" fillId="0" borderId="0" xfId="0" applyNumberFormat="1" applyAlignment="1">
      <alignment horizontal="left"/>
    </xf>
    <xf numFmtId="3" fontId="1" fillId="0" borderId="6" xfId="0" applyNumberFormat="1" applyFont="1" applyBorder="1"/>
    <xf numFmtId="173" fontId="0" fillId="0" borderId="0" xfId="35" applyNumberFormat="1" applyFont="1" applyFill="1"/>
    <xf numFmtId="5" fontId="25" fillId="0" borderId="0" xfId="0" applyNumberFormat="1" applyFont="1"/>
    <xf numFmtId="172" fontId="20" fillId="0" borderId="0" xfId="39" applyNumberFormat="1" applyFont="1" applyFill="1"/>
    <xf numFmtId="43" fontId="0" fillId="6" borderId="0" xfId="39" applyFont="1" applyFill="1" applyAlignment="1">
      <alignment horizontal="right"/>
    </xf>
    <xf numFmtId="0" fontId="0" fillId="6" borderId="0" xfId="0" applyFill="1" applyAlignment="1">
      <alignment horizontal="right"/>
    </xf>
    <xf numFmtId="5" fontId="21" fillId="6" borderId="0" xfId="0" applyNumberFormat="1" applyFont="1" applyFill="1" applyAlignment="1">
      <alignment horizontal="right"/>
    </xf>
    <xf numFmtId="172" fontId="27" fillId="0" borderId="0" xfId="3" applyNumberFormat="1" applyFont="1" applyAlignment="1">
      <alignment horizontal="center"/>
    </xf>
    <xf numFmtId="9" fontId="15" fillId="0" borderId="0" xfId="40" applyFont="1" applyAlignment="1">
      <alignment horizontal="center"/>
    </xf>
    <xf numFmtId="0" fontId="30" fillId="0" borderId="26" xfId="0" applyFont="1" applyBorder="1" applyAlignment="1">
      <alignment horizontal="center"/>
    </xf>
    <xf numFmtId="172" fontId="27" fillId="0" borderId="7" xfId="3" applyNumberFormat="1" applyFont="1" applyBorder="1" applyAlignment="1">
      <alignment horizontal="center"/>
    </xf>
    <xf numFmtId="172" fontId="27" fillId="0" borderId="0" xfId="3" applyNumberFormat="1" applyFont="1" applyAlignment="1">
      <alignment horizontal="center" wrapText="1"/>
    </xf>
    <xf numFmtId="10" fontId="12" fillId="8" borderId="32" xfId="40" applyNumberFormat="1" applyFont="1" applyFill="1" applyBorder="1" applyAlignment="1">
      <alignment horizontal="center"/>
    </xf>
    <xf numFmtId="43" fontId="12" fillId="0" borderId="0" xfId="3" applyFont="1"/>
    <xf numFmtId="0" fontId="12" fillId="0" borderId="32" xfId="0" applyFont="1" applyBorder="1"/>
    <xf numFmtId="172" fontId="15" fillId="0" borderId="0" xfId="39" applyNumberFormat="1" applyFont="1"/>
    <xf numFmtId="165" fontId="0" fillId="0" borderId="0" xfId="40" applyNumberFormat="1" applyFont="1" applyAlignment="1">
      <alignment horizontal="right"/>
    </xf>
    <xf numFmtId="165" fontId="0" fillId="0" borderId="0" xfId="40" applyNumberFormat="1" applyFont="1"/>
    <xf numFmtId="44" fontId="15" fillId="0" borderId="0" xfId="6" applyFont="1"/>
    <xf numFmtId="165" fontId="15" fillId="0" borderId="0" xfId="24" applyNumberFormat="1" applyFont="1"/>
    <xf numFmtId="44" fontId="15" fillId="10" borderId="0" xfId="6" applyFont="1" applyFill="1"/>
    <xf numFmtId="44" fontId="29" fillId="0" borderId="0" xfId="6" applyFont="1"/>
    <xf numFmtId="9" fontId="35" fillId="0" borderId="0" xfId="40" applyFont="1" applyFill="1" applyAlignment="1">
      <alignment horizontal="right"/>
    </xf>
    <xf numFmtId="174" fontId="27" fillId="0" borderId="20" xfId="1" applyNumberFormat="1" applyFont="1" applyBorder="1" applyAlignment="1">
      <alignment horizontal="center"/>
    </xf>
    <xf numFmtId="174" fontId="27" fillId="0" borderId="25" xfId="1" applyNumberFormat="1" applyFont="1" applyBorder="1" applyAlignment="1">
      <alignment horizontal="center"/>
    </xf>
    <xf numFmtId="14" fontId="27" fillId="0" borderId="21" xfId="1" quotePrefix="1" applyNumberFormat="1" applyFont="1" applyBorder="1" applyAlignment="1">
      <alignment horizontal="center" wrapText="1"/>
    </xf>
    <xf numFmtId="0" fontId="15" fillId="0" borderId="21" xfId="0" applyFont="1" applyBorder="1" applyAlignment="1">
      <alignment horizontal="right"/>
    </xf>
    <xf numFmtId="0" fontId="15" fillId="0" borderId="22" xfId="0" applyFont="1" applyBorder="1" applyAlignment="1">
      <alignment horizontal="right"/>
    </xf>
    <xf numFmtId="0" fontId="15" fillId="0" borderId="9" xfId="0" applyFont="1" applyBorder="1" applyAlignment="1">
      <alignment horizontal="right"/>
    </xf>
    <xf numFmtId="37" fontId="15" fillId="0" borderId="0" xfId="0" applyNumberFormat="1" applyFont="1"/>
    <xf numFmtId="0" fontId="43" fillId="6" borderId="0" xfId="0" applyFont="1" applyFill="1"/>
    <xf numFmtId="43" fontId="43" fillId="0" borderId="0" xfId="0" applyNumberFormat="1" applyFont="1"/>
    <xf numFmtId="17" fontId="0" fillId="0" borderId="0" xfId="0" applyNumberFormat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72" fontId="45" fillId="0" borderId="9" xfId="3" applyNumberFormat="1" applyFont="1" applyFill="1" applyBorder="1" applyAlignment="1">
      <alignment horizontal="right"/>
    </xf>
    <xf numFmtId="43" fontId="0" fillId="0" borderId="0" xfId="39" applyFont="1" applyFill="1"/>
    <xf numFmtId="177" fontId="15" fillId="8" borderId="31" xfId="6" applyNumberFormat="1" applyFont="1" applyFill="1" applyBorder="1"/>
    <xf numFmtId="2" fontId="15" fillId="0" borderId="0" xfId="24" applyNumberFormat="1" applyFont="1" applyFill="1" applyBorder="1"/>
    <xf numFmtId="181" fontId="15" fillId="0" borderId="0" xfId="0" applyNumberFormat="1" applyFont="1"/>
    <xf numFmtId="37" fontId="1" fillId="7" borderId="6" xfId="0" applyNumberFormat="1" applyFont="1" applyFill="1" applyBorder="1"/>
    <xf numFmtId="177" fontId="1" fillId="0" borderId="0" xfId="0" applyNumberFormat="1" applyFont="1"/>
    <xf numFmtId="177" fontId="0" fillId="0" borderId="0" xfId="0" applyNumberFormat="1"/>
    <xf numFmtId="182" fontId="0" fillId="0" borderId="0" xfId="0" applyNumberFormat="1"/>
    <xf numFmtId="183" fontId="12" fillId="0" borderId="0" xfId="0" applyNumberFormat="1" applyFont="1"/>
    <xf numFmtId="177" fontId="15" fillId="0" borderId="0" xfId="0" applyNumberFormat="1" applyFont="1"/>
    <xf numFmtId="172" fontId="12" fillId="0" borderId="0" xfId="39" applyNumberFormat="1" applyFont="1" applyFill="1" applyAlignment="1">
      <alignment horizontal="center"/>
    </xf>
    <xf numFmtId="172" fontId="12" fillId="0" borderId="22" xfId="3" applyNumberFormat="1" applyFont="1" applyFill="1" applyBorder="1"/>
    <xf numFmtId="43" fontId="15" fillId="6" borderId="0" xfId="39" applyFont="1" applyFill="1"/>
    <xf numFmtId="0" fontId="15" fillId="6" borderId="0" xfId="0" applyFont="1" applyFill="1"/>
    <xf numFmtId="5" fontId="27" fillId="6" borderId="0" xfId="0" applyNumberFormat="1" applyFont="1" applyFill="1"/>
    <xf numFmtId="0" fontId="27" fillId="0" borderId="8" xfId="1" applyFont="1" applyBorder="1" applyAlignment="1">
      <alignment horizontal="center"/>
    </xf>
    <xf numFmtId="14" fontId="27" fillId="0" borderId="4" xfId="1" applyNumberFormat="1" applyFont="1" applyBorder="1" applyAlignment="1">
      <alignment horizontal="center" wrapText="1"/>
    </xf>
    <xf numFmtId="165" fontId="27" fillId="0" borderId="27" xfId="40" applyNumberFormat="1" applyFont="1" applyBorder="1" applyAlignment="1">
      <alignment horizontal="center"/>
    </xf>
    <xf numFmtId="0" fontId="46" fillId="0" borderId="0" xfId="0" applyFont="1"/>
    <xf numFmtId="0" fontId="46" fillId="0" borderId="0" xfId="20" applyFont="1"/>
    <xf numFmtId="184" fontId="12" fillId="0" borderId="0" xfId="0" applyNumberFormat="1" applyFont="1"/>
    <xf numFmtId="185" fontId="12" fillId="0" borderId="0" xfId="0" applyNumberFormat="1" applyFont="1"/>
    <xf numFmtId="172" fontId="12" fillId="0" borderId="0" xfId="39" applyNumberFormat="1" applyFont="1" applyFill="1"/>
    <xf numFmtId="38" fontId="15" fillId="0" borderId="0" xfId="0" applyNumberFormat="1" applyFont="1"/>
    <xf numFmtId="165" fontId="27" fillId="0" borderId="30" xfId="40" applyNumberFormat="1" applyFont="1" applyBorder="1" applyAlignment="1">
      <alignment horizontal="center"/>
    </xf>
    <xf numFmtId="0" fontId="36" fillId="0" borderId="0" xfId="0" applyFont="1"/>
    <xf numFmtId="177" fontId="15" fillId="0" borderId="0" xfId="6" applyNumberFormat="1" applyFont="1" applyFill="1" applyBorder="1"/>
    <xf numFmtId="44" fontId="15" fillId="0" borderId="0" xfId="6" applyFont="1" applyFill="1"/>
    <xf numFmtId="44" fontId="29" fillId="0" borderId="0" xfId="6" applyFont="1" applyFill="1"/>
    <xf numFmtId="0" fontId="29" fillId="0" borderId="0" xfId="0" applyFont="1" applyAlignment="1">
      <alignment wrapText="1"/>
    </xf>
    <xf numFmtId="181" fontId="15" fillId="0" borderId="0" xfId="0" applyNumberFormat="1" applyFont="1" applyAlignment="1">
      <alignment horizontal="center"/>
    </xf>
    <xf numFmtId="0" fontId="27" fillId="0" borderId="29" xfId="1" applyFont="1" applyBorder="1" applyAlignment="1">
      <alignment horizontal="right"/>
    </xf>
    <xf numFmtId="0" fontId="27" fillId="0" borderId="30" xfId="1" applyFont="1" applyBorder="1" applyAlignment="1">
      <alignment horizontal="right"/>
    </xf>
    <xf numFmtId="17" fontId="15" fillId="0" borderId="0" xfId="6" applyNumberFormat="1" applyFont="1" applyAlignment="1">
      <alignment horizontal="center"/>
    </xf>
    <xf numFmtId="17" fontId="15" fillId="0" borderId="0" xfId="6" quotePrefix="1" applyNumberFormat="1" applyFont="1" applyAlignment="1">
      <alignment horizontal="center"/>
    </xf>
    <xf numFmtId="44" fontId="15" fillId="0" borderId="0" xfId="0" applyNumberFormat="1" applyFont="1"/>
    <xf numFmtId="165" fontId="27" fillId="0" borderId="40" xfId="22" applyNumberFormat="1" applyFont="1" applyFill="1" applyBorder="1" applyAlignment="1">
      <alignment horizontal="center"/>
    </xf>
    <xf numFmtId="0" fontId="27" fillId="0" borderId="41" xfId="1" applyFont="1" applyBorder="1" applyAlignment="1">
      <alignment horizontal="center" wrapText="1"/>
    </xf>
    <xf numFmtId="165" fontId="27" fillId="0" borderId="30" xfId="40" applyNumberFormat="1" applyFont="1" applyFill="1" applyBorder="1" applyAlignment="1">
      <alignment horizontal="center"/>
    </xf>
    <xf numFmtId="165" fontId="27" fillId="0" borderId="42" xfId="22" applyNumberFormat="1" applyFont="1" applyFill="1" applyBorder="1" applyAlignment="1">
      <alignment horizontal="center"/>
    </xf>
    <xf numFmtId="165" fontId="27" fillId="0" borderId="25" xfId="40" applyNumberFormat="1" applyFont="1" applyFill="1" applyBorder="1" applyAlignment="1">
      <alignment horizontal="center"/>
    </xf>
    <xf numFmtId="165" fontId="27" fillId="0" borderId="38" xfId="22" applyNumberFormat="1" applyFont="1" applyFill="1" applyBorder="1" applyAlignment="1">
      <alignment horizontal="center"/>
    </xf>
    <xf numFmtId="165" fontId="27" fillId="0" borderId="27" xfId="40" applyNumberFormat="1" applyFont="1" applyFill="1" applyBorder="1" applyAlignment="1">
      <alignment horizontal="center"/>
    </xf>
    <xf numFmtId="0" fontId="15" fillId="0" borderId="7" xfId="0" applyFont="1" applyBorder="1" applyAlignment="1">
      <alignment horizontal="center"/>
    </xf>
    <xf numFmtId="2" fontId="15" fillId="0" borderId="0" xfId="0" applyNumberFormat="1" applyFont="1"/>
    <xf numFmtId="186" fontId="15" fillId="0" borderId="0" xfId="0" applyNumberFormat="1" applyFont="1"/>
    <xf numFmtId="39" fontId="15" fillId="0" borderId="0" xfId="0" applyNumberFormat="1" applyFont="1"/>
    <xf numFmtId="9" fontId="12" fillId="0" borderId="0" xfId="40" applyFont="1"/>
    <xf numFmtId="10" fontId="12" fillId="0" borderId="0" xfId="40" applyNumberFormat="1" applyFont="1"/>
    <xf numFmtId="10" fontId="14" fillId="0" borderId="0" xfId="40" applyNumberFormat="1" applyFont="1"/>
    <xf numFmtId="2" fontId="15" fillId="0" borderId="0" xfId="40" applyNumberFormat="1" applyFont="1" applyBorder="1"/>
    <xf numFmtId="10" fontId="15" fillId="0" borderId="0" xfId="40" applyNumberFormat="1" applyFont="1" applyBorder="1"/>
    <xf numFmtId="43" fontId="12" fillId="0" borderId="0" xfId="0" applyNumberFormat="1" applyFont="1" applyAlignment="1">
      <alignment horizontal="right"/>
    </xf>
    <xf numFmtId="43" fontId="15" fillId="0" borderId="0" xfId="39" applyFont="1"/>
    <xf numFmtId="184" fontId="15" fillId="0" borderId="0" xfId="0" applyNumberFormat="1" applyFont="1"/>
    <xf numFmtId="0" fontId="13" fillId="0" borderId="0" xfId="0" applyFont="1"/>
    <xf numFmtId="0" fontId="27" fillId="9" borderId="4" xfId="1" applyFont="1" applyFill="1" applyBorder="1" applyAlignment="1">
      <alignment horizontal="center"/>
    </xf>
    <xf numFmtId="0" fontId="15" fillId="9" borderId="0" xfId="0" applyFont="1" applyFill="1" applyAlignment="1">
      <alignment horizontal="right"/>
    </xf>
    <xf numFmtId="0" fontId="15" fillId="9" borderId="7" xfId="0" applyFont="1" applyFill="1" applyBorder="1" applyAlignment="1">
      <alignment horizontal="right"/>
    </xf>
    <xf numFmtId="0" fontId="43" fillId="0" borderId="0" xfId="0" applyFont="1" applyAlignment="1">
      <alignment horizontal="center"/>
    </xf>
    <xf numFmtId="44" fontId="43" fillId="0" borderId="0" xfId="0" applyNumberFormat="1" applyFont="1" applyAlignment="1">
      <alignment horizontal="center"/>
    </xf>
    <xf numFmtId="3" fontId="43" fillId="0" borderId="0" xfId="0" applyNumberFormat="1" applyFont="1"/>
    <xf numFmtId="0" fontId="40" fillId="0" borderId="0" xfId="0" applyFont="1" applyAlignment="1">
      <alignment vertical="center"/>
    </xf>
    <xf numFmtId="172" fontId="39" fillId="0" borderId="0" xfId="0" applyNumberFormat="1" applyFont="1" applyAlignment="1">
      <alignment vertical="center"/>
    </xf>
    <xf numFmtId="187" fontId="27" fillId="0" borderId="4" xfId="1" applyNumberFormat="1" applyFont="1" applyBorder="1" applyAlignment="1">
      <alignment horizontal="center" wrapText="1"/>
    </xf>
    <xf numFmtId="164" fontId="51" fillId="0" borderId="0" xfId="0" applyNumberFormat="1" applyFont="1" applyAlignment="1">
      <alignment wrapText="1"/>
    </xf>
    <xf numFmtId="0" fontId="1" fillId="0" borderId="0" xfId="0" applyFont="1" applyAlignment="1">
      <alignment horizontal="center"/>
    </xf>
    <xf numFmtId="6" fontId="1" fillId="0" borderId="7" xfId="0" quotePrefix="1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center"/>
    </xf>
    <xf numFmtId="0" fontId="43" fillId="0" borderId="0" xfId="0" applyFont="1"/>
    <xf numFmtId="0" fontId="52" fillId="0" borderId="0" xfId="0" applyFont="1"/>
    <xf numFmtId="10" fontId="12" fillId="0" borderId="0" xfId="24" applyNumberFormat="1" applyFont="1" applyFill="1" applyAlignment="1">
      <alignment horizontal="center"/>
    </xf>
    <xf numFmtId="10" fontId="12" fillId="0" borderId="0" xfId="40" applyNumberFormat="1" applyFont="1" applyFill="1" applyAlignment="1">
      <alignment horizontal="right"/>
    </xf>
    <xf numFmtId="172" fontId="12" fillId="0" borderId="0" xfId="39" applyNumberFormat="1" applyFont="1" applyFill="1" applyBorder="1" applyAlignment="1">
      <alignment horizontal="center"/>
    </xf>
    <xf numFmtId="191" fontId="12" fillId="0" borderId="0" xfId="0" applyNumberFormat="1" applyFont="1" applyAlignment="1">
      <alignment horizontal="center"/>
    </xf>
    <xf numFmtId="191" fontId="12" fillId="0" borderId="0" xfId="0" applyNumberFormat="1" applyFont="1"/>
    <xf numFmtId="192" fontId="15" fillId="0" borderId="0" xfId="0" applyNumberFormat="1" applyFont="1"/>
    <xf numFmtId="43" fontId="12" fillId="0" borderId="0" xfId="0" applyNumberFormat="1" applyFont="1" applyAlignment="1">
      <alignment horizontal="center" wrapText="1"/>
    </xf>
    <xf numFmtId="10" fontId="15" fillId="0" borderId="0" xfId="40" applyNumberFormat="1" applyFont="1" applyFill="1"/>
    <xf numFmtId="184" fontId="15" fillId="0" borderId="0" xfId="40" applyNumberFormat="1" applyFont="1" applyBorder="1"/>
    <xf numFmtId="0" fontId="12" fillId="0" borderId="35" xfId="0" applyFont="1" applyBorder="1" applyAlignment="1">
      <alignment horizontal="center" wrapText="1"/>
    </xf>
    <xf numFmtId="0" fontId="12" fillId="0" borderId="20" xfId="0" applyFont="1" applyBorder="1" applyAlignment="1">
      <alignment horizontal="center" wrapText="1"/>
    </xf>
    <xf numFmtId="43" fontId="0" fillId="0" borderId="0" xfId="0" applyNumberFormat="1"/>
    <xf numFmtId="9" fontId="0" fillId="0" borderId="0" xfId="40" applyFont="1"/>
    <xf numFmtId="9" fontId="0" fillId="0" borderId="0" xfId="35" applyNumberFormat="1" applyFont="1"/>
    <xf numFmtId="9" fontId="53" fillId="0" borderId="0" xfId="35" applyNumberFormat="1" applyFont="1"/>
    <xf numFmtId="9" fontId="53" fillId="0" borderId="0" xfId="40" applyFont="1"/>
    <xf numFmtId="175" fontId="12" fillId="0" borderId="0" xfId="0" applyNumberFormat="1" applyFont="1"/>
    <xf numFmtId="37" fontId="43" fillId="0" borderId="0" xfId="0" applyNumberFormat="1" applyFont="1"/>
    <xf numFmtId="172" fontId="43" fillId="0" borderId="0" xfId="39" applyNumberFormat="1" applyFont="1" applyAlignment="1">
      <alignment horizontal="center"/>
    </xf>
    <xf numFmtId="37" fontId="43" fillId="0" borderId="0" xfId="0" applyNumberFormat="1" applyFont="1" applyAlignment="1">
      <alignment horizontal="center"/>
    </xf>
    <xf numFmtId="193" fontId="43" fillId="0" borderId="0" xfId="0" applyNumberFormat="1" applyFont="1"/>
    <xf numFmtId="193" fontId="0" fillId="0" borderId="0" xfId="0" applyNumberFormat="1"/>
    <xf numFmtId="0" fontId="27" fillId="0" borderId="26" xfId="1" applyFont="1" applyBorder="1" applyAlignment="1">
      <alignment horizontal="right"/>
    </xf>
    <xf numFmtId="172" fontId="0" fillId="0" borderId="0" xfId="39" applyNumberFormat="1" applyFont="1" applyFill="1" applyBorder="1"/>
    <xf numFmtId="49" fontId="16" fillId="0" borderId="7" xfId="20" quotePrefix="1" applyNumberFormat="1" applyFont="1" applyBorder="1" applyAlignment="1">
      <alignment horizontal="right"/>
    </xf>
    <xf numFmtId="0" fontId="54" fillId="0" borderId="0" xfId="0" applyFont="1"/>
    <xf numFmtId="10" fontId="12" fillId="0" borderId="0" xfId="40" applyNumberFormat="1" applyFont="1" applyFill="1" applyAlignment="1">
      <alignment horizontal="center"/>
    </xf>
    <xf numFmtId="0" fontId="15" fillId="0" borderId="36" xfId="0" applyFont="1" applyBorder="1"/>
    <xf numFmtId="172" fontId="12" fillId="0" borderId="0" xfId="39" applyNumberFormat="1" applyFont="1" applyFill="1" applyBorder="1"/>
    <xf numFmtId="173" fontId="12" fillId="0" borderId="0" xfId="35" applyNumberFormat="1" applyFont="1" applyFill="1" applyBorder="1"/>
    <xf numFmtId="176" fontId="55" fillId="0" borderId="0" xfId="42" quotePrefix="1" applyNumberFormat="1" applyFont="1" applyAlignment="1">
      <alignment horizontal="right"/>
    </xf>
    <xf numFmtId="0" fontId="56" fillId="0" borderId="0" xfId="0" applyFont="1"/>
    <xf numFmtId="0" fontId="57" fillId="0" borderId="0" xfId="0" applyFont="1"/>
    <xf numFmtId="0" fontId="57" fillId="0" borderId="0" xfId="0" applyFont="1" applyAlignment="1">
      <alignment wrapText="1"/>
    </xf>
    <xf numFmtId="0" fontId="57" fillId="0" borderId="0" xfId="0" applyFont="1" applyAlignment="1">
      <alignment horizontal="center" vertical="top" wrapText="1"/>
    </xf>
    <xf numFmtId="0" fontId="57" fillId="0" borderId="0" xfId="0" applyFont="1" applyAlignment="1">
      <alignment horizontal="center"/>
    </xf>
    <xf numFmtId="0" fontId="15" fillId="0" borderId="4" xfId="0" applyFont="1" applyBorder="1" applyAlignment="1">
      <alignment horizontal="center"/>
    </xf>
    <xf numFmtId="0" fontId="57" fillId="0" borderId="0" xfId="0" applyFont="1" applyAlignment="1">
      <alignment horizontal="right"/>
    </xf>
    <xf numFmtId="1" fontId="57" fillId="0" borderId="0" xfId="0" applyNumberFormat="1" applyFont="1"/>
    <xf numFmtId="165" fontId="58" fillId="0" borderId="0" xfId="40" applyNumberFormat="1" applyFont="1" applyFill="1" applyBorder="1" applyAlignment="1">
      <alignment horizontal="right"/>
    </xf>
    <xf numFmtId="0" fontId="15" fillId="0" borderId="32" xfId="0" applyFont="1" applyBorder="1"/>
    <xf numFmtId="1" fontId="15" fillId="9" borderId="21" xfId="6" applyNumberFormat="1" applyFont="1" applyFill="1" applyBorder="1"/>
    <xf numFmtId="165" fontId="0" fillId="0" borderId="22" xfId="40" applyNumberFormat="1" applyFont="1" applyFill="1" applyBorder="1"/>
    <xf numFmtId="1" fontId="0" fillId="0" borderId="22" xfId="40" applyNumberFormat="1" applyFont="1" applyFill="1" applyBorder="1"/>
    <xf numFmtId="1" fontId="15" fillId="9" borderId="22" xfId="6" applyNumberFormat="1" applyFont="1" applyFill="1" applyBorder="1"/>
    <xf numFmtId="0" fontId="15" fillId="0" borderId="33" xfId="0" applyFont="1" applyBorder="1"/>
    <xf numFmtId="1" fontId="15" fillId="9" borderId="9" xfId="6" applyNumberFormat="1" applyFont="1" applyFill="1" applyBorder="1"/>
    <xf numFmtId="165" fontId="0" fillId="0" borderId="9" xfId="40" applyNumberFormat="1" applyFont="1" applyFill="1" applyBorder="1"/>
    <xf numFmtId="1" fontId="0" fillId="0" borderId="9" xfId="40" applyNumberFormat="1" applyFont="1" applyFill="1" applyBorder="1"/>
    <xf numFmtId="0" fontId="14" fillId="0" borderId="0" xfId="20" quotePrefix="1" applyFont="1" applyAlignment="1">
      <alignment horizontal="right"/>
    </xf>
    <xf numFmtId="180" fontId="2" fillId="0" borderId="0" xfId="62" applyFont="1"/>
    <xf numFmtId="180" fontId="6" fillId="0" borderId="0" xfId="62" applyAlignment="1">
      <alignment horizontal="left"/>
    </xf>
    <xf numFmtId="180" fontId="59" fillId="0" borderId="0" xfId="62" applyFont="1" applyAlignment="1">
      <alignment horizontal="center"/>
    </xf>
    <xf numFmtId="14" fontId="28" fillId="0" borderId="7" xfId="0" applyNumberFormat="1" applyFont="1" applyBorder="1" applyAlignment="1">
      <alignment horizontal="center" wrapText="1"/>
    </xf>
    <xf numFmtId="37" fontId="6" fillId="0" borderId="0" xfId="62" applyNumberFormat="1"/>
    <xf numFmtId="165" fontId="6" fillId="0" borderId="0" xfId="24" applyNumberFormat="1" applyFont="1" applyFill="1" applyBorder="1"/>
    <xf numFmtId="165" fontId="6" fillId="0" borderId="0" xfId="24" applyNumberFormat="1" applyFont="1" applyFill="1" applyBorder="1" applyAlignment="1">
      <alignment horizontal="right"/>
    </xf>
    <xf numFmtId="40" fontId="15" fillId="0" borderId="0" xfId="0" applyNumberFormat="1" applyFont="1"/>
    <xf numFmtId="180" fontId="6" fillId="0" borderId="0" xfId="62"/>
    <xf numFmtId="9" fontId="6" fillId="0" borderId="0" xfId="24" applyFont="1" applyFill="1" applyBorder="1" applyProtection="1"/>
    <xf numFmtId="14" fontId="16" fillId="0" borderId="0" xfId="0" applyNumberFormat="1" applyFont="1" applyAlignment="1">
      <alignment horizontal="center" wrapText="1"/>
    </xf>
    <xf numFmtId="9" fontId="35" fillId="0" borderId="0" xfId="40" applyFont="1" applyFill="1" applyBorder="1" applyAlignment="1">
      <alignment horizontal="right"/>
    </xf>
    <xf numFmtId="10" fontId="12" fillId="0" borderId="0" xfId="40" applyNumberFormat="1" applyFont="1" applyFill="1" applyBorder="1" applyAlignment="1">
      <alignment horizont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vertical="top" wrapText="1"/>
    </xf>
    <xf numFmtId="0" fontId="15" fillId="0" borderId="30" xfId="0" applyFont="1" applyBorder="1"/>
    <xf numFmtId="0" fontId="15" fillId="0" borderId="1" xfId="0" applyFont="1" applyBorder="1"/>
    <xf numFmtId="165" fontId="0" fillId="0" borderId="0" xfId="40" applyNumberFormat="1" applyFont="1" applyFill="1" applyBorder="1" applyAlignment="1">
      <alignment horizontal="right"/>
    </xf>
    <xf numFmtId="14" fontId="16" fillId="0" borderId="0" xfId="20" quotePrefix="1" applyNumberFormat="1" applyFont="1" applyAlignment="1">
      <alignment horizontal="right"/>
    </xf>
    <xf numFmtId="0" fontId="60" fillId="0" borderId="0" xfId="20" applyFont="1" applyAlignment="1">
      <alignment horizontal="right"/>
    </xf>
    <xf numFmtId="44" fontId="42" fillId="0" borderId="0" xfId="6" applyFont="1"/>
    <xf numFmtId="0" fontId="27" fillId="0" borderId="29" xfId="1" applyFont="1" applyBorder="1"/>
    <xf numFmtId="0" fontId="27" fillId="0" borderId="24" xfId="1" applyFont="1" applyBorder="1"/>
    <xf numFmtId="0" fontId="61" fillId="0" borderId="0" xfId="0" applyFont="1" applyAlignment="1">
      <alignment horizontal="right"/>
    </xf>
    <xf numFmtId="44" fontId="42" fillId="0" borderId="0" xfId="0" applyNumberFormat="1" applyFont="1"/>
    <xf numFmtId="174" fontId="27" fillId="0" borderId="22" xfId="1" applyNumberFormat="1" applyFont="1" applyBorder="1" applyAlignment="1">
      <alignment horizontal="center"/>
    </xf>
    <xf numFmtId="174" fontId="27" fillId="0" borderId="30" xfId="1" applyNumberFormat="1" applyFont="1" applyBorder="1" applyAlignment="1">
      <alignment horizontal="center"/>
    </xf>
    <xf numFmtId="0" fontId="27" fillId="0" borderId="19" xfId="1" applyFont="1" applyBorder="1"/>
    <xf numFmtId="165" fontId="27" fillId="0" borderId="40" xfId="22" applyNumberFormat="1" applyFont="1" applyBorder="1" applyAlignment="1">
      <alignment horizontal="center"/>
    </xf>
    <xf numFmtId="165" fontId="27" fillId="0" borderId="38" xfId="22" applyNumberFormat="1" applyFont="1" applyBorder="1" applyAlignment="1">
      <alignment horizontal="center"/>
    </xf>
    <xf numFmtId="41" fontId="62" fillId="0" borderId="0" xfId="39" applyNumberFormat="1" applyFont="1" applyFill="1" applyBorder="1"/>
    <xf numFmtId="0" fontId="1" fillId="0" borderId="36" xfId="0" applyFont="1" applyBorder="1"/>
    <xf numFmtId="43" fontId="15" fillId="6" borderId="0" xfId="39" applyFont="1" applyFill="1" applyAlignment="1"/>
    <xf numFmtId="0" fontId="15" fillId="6" borderId="0" xfId="0" applyFont="1" applyFill="1" applyAlignment="1">
      <alignment vertical="center"/>
    </xf>
    <xf numFmtId="178" fontId="0" fillId="0" borderId="0" xfId="0" applyNumberFormat="1" applyAlignment="1">
      <alignment horizontal="center"/>
    </xf>
    <xf numFmtId="44" fontId="53" fillId="0" borderId="0" xfId="35" applyFont="1"/>
    <xf numFmtId="44" fontId="15" fillId="0" borderId="4" xfId="0" applyNumberFormat="1" applyFont="1" applyBorder="1"/>
    <xf numFmtId="10" fontId="12" fillId="8" borderId="33" xfId="24" applyNumberFormat="1" applyFont="1" applyFill="1" applyBorder="1" applyAlignment="1">
      <alignment horizontal="center"/>
    </xf>
    <xf numFmtId="10" fontId="12" fillId="8" borderId="7" xfId="24" applyNumberFormat="1" applyFont="1" applyFill="1" applyBorder="1" applyAlignment="1">
      <alignment horizontal="center"/>
    </xf>
    <xf numFmtId="10" fontId="12" fillId="8" borderId="34" xfId="24" applyNumberFormat="1" applyFont="1" applyFill="1" applyBorder="1" applyAlignment="1">
      <alignment horizontal="center"/>
    </xf>
    <xf numFmtId="9" fontId="0" fillId="0" borderId="0" xfId="40" applyFont="1" applyAlignment="1">
      <alignment horizontal="center"/>
    </xf>
    <xf numFmtId="165" fontId="0" fillId="0" borderId="0" xfId="40" applyNumberFormat="1" applyFont="1" applyAlignment="1">
      <alignment horizontal="center"/>
    </xf>
    <xf numFmtId="16" fontId="0" fillId="0" borderId="0" xfId="0" applyNumberFormat="1"/>
    <xf numFmtId="180" fontId="41" fillId="0" borderId="29" xfId="43" applyFont="1" applyBorder="1" applyAlignment="1">
      <alignment vertical="top" wrapText="1"/>
    </xf>
    <xf numFmtId="180" fontId="41" fillId="0" borderId="0" xfId="43" applyFont="1" applyAlignment="1">
      <alignment vertical="top" wrapText="1"/>
    </xf>
    <xf numFmtId="49" fontId="1" fillId="0" borderId="0" xfId="0" applyNumberFormat="1" applyFont="1" applyAlignment="1">
      <alignment horizontal="right"/>
    </xf>
    <xf numFmtId="172" fontId="43" fillId="0" borderId="0" xfId="0" applyNumberFormat="1" applyFont="1"/>
    <xf numFmtId="49" fontId="28" fillId="0" borderId="0" xfId="0" applyNumberFormat="1" applyFont="1" applyAlignment="1">
      <alignment horizontal="center" wrapText="1"/>
    </xf>
    <xf numFmtId="190" fontId="0" fillId="0" borderId="0" xfId="0" applyNumberFormat="1"/>
    <xf numFmtId="9" fontId="0" fillId="0" borderId="0" xfId="40" applyFont="1" applyFill="1" applyBorder="1"/>
    <xf numFmtId="37" fontId="0" fillId="0" borderId="0" xfId="0" applyNumberFormat="1" applyAlignment="1">
      <alignment wrapText="1"/>
    </xf>
    <xf numFmtId="37" fontId="0" fillId="0" borderId="0" xfId="0" applyNumberFormat="1" applyAlignment="1">
      <alignment horizontal="right"/>
    </xf>
    <xf numFmtId="9" fontId="0" fillId="0" borderId="0" xfId="40" applyFont="1" applyFill="1" applyBorder="1" applyAlignment="1">
      <alignment horizontal="right"/>
    </xf>
    <xf numFmtId="0" fontId="66" fillId="0" borderId="0" xfId="0" applyFont="1" applyAlignment="1">
      <alignment horizontal="left" vertical="center" wrapText="1"/>
    </xf>
    <xf numFmtId="0" fontId="67" fillId="9" borderId="0" xfId="0" applyFont="1" applyFill="1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left" vertical="top" indent="1"/>
    </xf>
    <xf numFmtId="14" fontId="12" fillId="0" borderId="4" xfId="0" applyNumberFormat="1" applyFont="1" applyBorder="1" applyAlignment="1">
      <alignment horizontal="center" wrapText="1"/>
    </xf>
    <xf numFmtId="14" fontId="15" fillId="0" borderId="4" xfId="0" applyNumberFormat="1" applyFont="1" applyBorder="1" applyAlignment="1">
      <alignment horizontal="center"/>
    </xf>
    <xf numFmtId="184" fontId="12" fillId="0" borderId="4" xfId="0" applyNumberFormat="1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29" fillId="0" borderId="4" xfId="0" applyFont="1" applyBorder="1"/>
    <xf numFmtId="0" fontId="29" fillId="0" borderId="4" xfId="0" applyFont="1" applyBorder="1" applyAlignment="1">
      <alignment horizontal="center"/>
    </xf>
    <xf numFmtId="0" fontId="29" fillId="0" borderId="7" xfId="0" applyFont="1" applyBorder="1" applyAlignment="1">
      <alignment horizontal="center" wrapText="1"/>
    </xf>
    <xf numFmtId="0" fontId="28" fillId="9" borderId="0" xfId="1" applyFont="1" applyFill="1"/>
    <xf numFmtId="0" fontId="15" fillId="9" borderId="0" xfId="0" applyFont="1" applyFill="1" applyAlignment="1">
      <alignment horizontal="center"/>
    </xf>
    <xf numFmtId="0" fontId="37" fillId="0" borderId="0" xfId="0" applyFont="1"/>
    <xf numFmtId="10" fontId="12" fillId="0" borderId="0" xfId="3" applyNumberFormat="1" applyFont="1"/>
    <xf numFmtId="0" fontId="21" fillId="0" borderId="0" xfId="0" applyFont="1"/>
    <xf numFmtId="5" fontId="2" fillId="0" borderId="0" xfId="38" applyNumberFormat="1" applyFont="1" applyAlignment="1">
      <alignment horizontal="left" vertical="center"/>
    </xf>
    <xf numFmtId="3" fontId="68" fillId="0" borderId="0" xfId="0" applyNumberFormat="1" applyFont="1"/>
    <xf numFmtId="3" fontId="69" fillId="0" borderId="0" xfId="0" applyNumberFormat="1" applyFont="1" applyAlignment="1">
      <alignment horizontal="right"/>
    </xf>
    <xf numFmtId="0" fontId="70" fillId="0" borderId="0" xfId="0" applyFont="1"/>
    <xf numFmtId="0" fontId="21" fillId="0" borderId="0" xfId="0" applyFont="1" applyAlignment="1">
      <alignment horizontal="right" vertical="center"/>
    </xf>
    <xf numFmtId="172" fontId="21" fillId="0" borderId="0" xfId="0" applyNumberFormat="1" applyFont="1"/>
    <xf numFmtId="0" fontId="2" fillId="0" borderId="0" xfId="38" applyFont="1" applyAlignment="1">
      <alignment horizontal="left"/>
    </xf>
    <xf numFmtId="194" fontId="0" fillId="0" borderId="0" xfId="0" applyNumberFormat="1"/>
    <xf numFmtId="1" fontId="12" fillId="0" borderId="0" xfId="39" applyNumberFormat="1" applyFont="1" applyAlignment="1">
      <alignment horizontal="center"/>
    </xf>
    <xf numFmtId="37" fontId="35" fillId="0" borderId="0" xfId="0" applyNumberFormat="1" applyFont="1" applyAlignment="1">
      <alignment horizontal="center"/>
    </xf>
    <xf numFmtId="9" fontId="35" fillId="9" borderId="0" xfId="40" applyFont="1" applyFill="1" applyAlignment="1">
      <alignment horizontal="center"/>
    </xf>
    <xf numFmtId="0" fontId="35" fillId="0" borderId="0" xfId="0" applyFont="1" applyAlignment="1">
      <alignment horizontal="center"/>
    </xf>
    <xf numFmtId="0" fontId="35" fillId="9" borderId="0" xfId="0" applyFont="1" applyFill="1" applyAlignment="1">
      <alignment horizontal="left"/>
    </xf>
    <xf numFmtId="10" fontId="42" fillId="0" borderId="0" xfId="40" applyNumberFormat="1" applyFont="1"/>
    <xf numFmtId="192" fontId="15" fillId="9" borderId="0" xfId="0" applyNumberFormat="1" applyFont="1" applyFill="1"/>
    <xf numFmtId="192" fontId="42" fillId="0" borderId="0" xfId="0" applyNumberFormat="1" applyFont="1"/>
    <xf numFmtId="192" fontId="42" fillId="0" borderId="0" xfId="0" applyNumberFormat="1" applyFont="1" applyAlignment="1">
      <alignment horizontal="center"/>
    </xf>
    <xf numFmtId="165" fontId="15" fillId="0" borderId="0" xfId="40" applyNumberFormat="1" applyFont="1"/>
    <xf numFmtId="179" fontId="15" fillId="0" borderId="0" xfId="39" applyNumberFormat="1" applyFont="1"/>
    <xf numFmtId="195" fontId="15" fillId="0" borderId="0" xfId="39" applyNumberFormat="1" applyFont="1"/>
    <xf numFmtId="195" fontId="15" fillId="0" borderId="0" xfId="0" applyNumberFormat="1" applyFont="1"/>
    <xf numFmtId="179" fontId="42" fillId="0" borderId="0" xfId="0" applyNumberFormat="1" applyFont="1"/>
    <xf numFmtId="14" fontId="27" fillId="0" borderId="4" xfId="0" applyNumberFormat="1" applyFont="1" applyBorder="1" applyAlignment="1">
      <alignment horizontal="center" wrapText="1"/>
    </xf>
    <xf numFmtId="0" fontId="27" fillId="0" borderId="4" xfId="0" applyFont="1" applyBorder="1" applyAlignment="1">
      <alignment horizontal="center" wrapText="1"/>
    </xf>
    <xf numFmtId="184" fontId="27" fillId="0" borderId="4" xfId="0" applyNumberFormat="1" applyFont="1" applyBorder="1" applyAlignment="1">
      <alignment horizontal="center" wrapText="1"/>
    </xf>
    <xf numFmtId="196" fontId="12" fillId="0" borderId="0" xfId="3" applyNumberFormat="1" applyFont="1" applyFill="1"/>
    <xf numFmtId="196" fontId="12" fillId="8" borderId="0" xfId="0" applyNumberFormat="1" applyFont="1" applyFill="1" applyAlignment="1">
      <alignment horizontal="center"/>
    </xf>
    <xf numFmtId="9" fontId="42" fillId="0" borderId="0" xfId="40" applyFont="1"/>
    <xf numFmtId="165" fontId="42" fillId="0" borderId="29" xfId="22" applyNumberFormat="1" applyFont="1" applyBorder="1" applyAlignment="1">
      <alignment horizontal="center"/>
    </xf>
    <xf numFmtId="0" fontId="42" fillId="0" borderId="0" xfId="0" applyFont="1"/>
    <xf numFmtId="0" fontId="42" fillId="0" borderId="0" xfId="1" applyFont="1" applyAlignment="1">
      <alignment wrapText="1"/>
    </xf>
    <xf numFmtId="165" fontId="62" fillId="0" borderId="0" xfId="40" applyNumberFormat="1" applyFont="1" applyFill="1" applyBorder="1"/>
    <xf numFmtId="3" fontId="42" fillId="0" borderId="0" xfId="0" applyNumberFormat="1" applyFont="1" applyAlignment="1">
      <alignment horizontal="right"/>
    </xf>
    <xf numFmtId="174" fontId="27" fillId="0" borderId="0" xfId="1" applyNumberFormat="1" applyFont="1" applyAlignment="1">
      <alignment horizontal="center"/>
    </xf>
    <xf numFmtId="174" fontId="27" fillId="0" borderId="26" xfId="1" applyNumberFormat="1" applyFont="1" applyBorder="1" applyAlignment="1">
      <alignment horizontal="center"/>
    </xf>
    <xf numFmtId="37" fontId="21" fillId="0" borderId="0" xfId="0" applyNumberFormat="1" applyFont="1"/>
    <xf numFmtId="14" fontId="1" fillId="0" borderId="1" xfId="0" applyNumberFormat="1" applyFont="1" applyBorder="1"/>
    <xf numFmtId="37" fontId="0" fillId="0" borderId="1" xfId="0" applyNumberFormat="1" applyBorder="1"/>
    <xf numFmtId="178" fontId="71" fillId="0" borderId="0" xfId="0" applyNumberFormat="1" applyFont="1"/>
    <xf numFmtId="190" fontId="71" fillId="0" borderId="0" xfId="35" applyNumberFormat="1" applyFont="1"/>
    <xf numFmtId="0" fontId="0" fillId="0" borderId="1" xfId="0" quotePrefix="1" applyBorder="1" applyAlignment="1">
      <alignment wrapText="1"/>
    </xf>
    <xf numFmtId="165" fontId="1" fillId="0" borderId="0" xfId="40" applyNumberFormat="1" applyFont="1" applyFill="1" applyAlignment="1">
      <alignment horizontal="center"/>
    </xf>
    <xf numFmtId="14" fontId="27" fillId="6" borderId="4" xfId="1" quotePrefix="1" applyNumberFormat="1" applyFont="1" applyFill="1" applyBorder="1" applyAlignment="1">
      <alignment horizontal="center" wrapText="1"/>
    </xf>
    <xf numFmtId="176" fontId="27" fillId="0" borderId="0" xfId="42" quotePrefix="1" applyNumberFormat="1" applyFont="1" applyAlignment="1">
      <alignment horizontal="left"/>
    </xf>
    <xf numFmtId="41" fontId="0" fillId="0" borderId="0" xfId="39" applyNumberFormat="1" applyFont="1" applyFill="1" applyBorder="1"/>
    <xf numFmtId="17" fontId="0" fillId="0" borderId="0" xfId="0" applyNumberFormat="1"/>
    <xf numFmtId="0" fontId="15" fillId="0" borderId="8" xfId="0" applyFont="1" applyBorder="1"/>
    <xf numFmtId="0" fontId="15" fillId="0" borderId="36" xfId="0" applyFont="1" applyBorder="1" applyAlignment="1">
      <alignment horizontal="left" indent="20"/>
    </xf>
    <xf numFmtId="0" fontId="15" fillId="0" borderId="36" xfId="0" applyFont="1" applyBorder="1" applyAlignment="1">
      <alignment horizontal="left" indent="28"/>
    </xf>
    <xf numFmtId="0" fontId="15" fillId="0" borderId="1" xfId="0" applyFont="1" applyBorder="1" applyAlignment="1">
      <alignment horizontal="left" indent="28"/>
    </xf>
    <xf numFmtId="0" fontId="15" fillId="0" borderId="8" xfId="0" applyFont="1" applyBorder="1" applyAlignment="1">
      <alignment horizontal="left" indent="28"/>
    </xf>
    <xf numFmtId="0" fontId="15" fillId="0" borderId="0" xfId="0" applyFont="1" applyAlignment="1">
      <alignment horizontal="left" indent="23"/>
    </xf>
    <xf numFmtId="0" fontId="15" fillId="0" borderId="36" xfId="0" applyFont="1" applyBorder="1" applyAlignment="1">
      <alignment horizontal="left" indent="13"/>
    </xf>
    <xf numFmtId="0" fontId="15" fillId="0" borderId="1" xfId="0" applyFont="1" applyBorder="1" applyAlignment="1">
      <alignment horizontal="left" indent="13"/>
    </xf>
    <xf numFmtId="0" fontId="15" fillId="0" borderId="8" xfId="0" applyFont="1" applyBorder="1" applyAlignment="1">
      <alignment horizontal="left" indent="13"/>
    </xf>
    <xf numFmtId="0" fontId="22" fillId="0" borderId="1" xfId="0" applyFont="1" applyBorder="1" applyAlignment="1">
      <alignment horizontal="center" wrapText="1"/>
    </xf>
    <xf numFmtId="173" fontId="43" fillId="0" borderId="0" xfId="35" applyNumberFormat="1" applyFont="1" applyFill="1"/>
    <xf numFmtId="0" fontId="0" fillId="0" borderId="7" xfId="0" applyBorder="1" applyAlignment="1">
      <alignment horizontal="center" wrapText="1"/>
    </xf>
    <xf numFmtId="0" fontId="43" fillId="0" borderId="0" xfId="0" applyFont="1" applyAlignment="1">
      <alignment horizontal="right"/>
    </xf>
    <xf numFmtId="1" fontId="12" fillId="0" borderId="0" xfId="39" applyNumberFormat="1" applyFont="1" applyFill="1" applyAlignment="1">
      <alignment horizontal="center"/>
    </xf>
    <xf numFmtId="0" fontId="15" fillId="14" borderId="35" xfId="0" applyFont="1" applyFill="1" applyBorder="1"/>
    <xf numFmtId="0" fontId="15" fillId="14" borderId="32" xfId="0" applyFont="1" applyFill="1" applyBorder="1"/>
    <xf numFmtId="0" fontId="29" fillId="14" borderId="0" xfId="0" applyFont="1" applyFill="1"/>
    <xf numFmtId="0" fontId="28" fillId="14" borderId="0" xfId="0" applyFont="1" applyFill="1" applyAlignment="1">
      <alignment horizontal="center" wrapText="1"/>
    </xf>
    <xf numFmtId="0" fontId="28" fillId="14" borderId="30" xfId="0" applyFont="1" applyFill="1" applyBorder="1" applyAlignment="1">
      <alignment horizontal="center" wrapText="1"/>
    </xf>
    <xf numFmtId="0" fontId="29" fillId="14" borderId="32" xfId="0" applyFont="1" applyFill="1" applyBorder="1" applyAlignment="1">
      <alignment horizontal="right"/>
    </xf>
    <xf numFmtId="0" fontId="29" fillId="14" borderId="33" xfId="0" applyFont="1" applyFill="1" applyBorder="1" applyAlignment="1">
      <alignment horizontal="right"/>
    </xf>
    <xf numFmtId="179" fontId="15" fillId="14" borderId="0" xfId="39" applyNumberFormat="1" applyFont="1" applyFill="1" applyBorder="1"/>
    <xf numFmtId="179" fontId="15" fillId="14" borderId="7" xfId="39" applyNumberFormat="1" applyFont="1" applyFill="1" applyBorder="1"/>
    <xf numFmtId="179" fontId="12" fillId="14" borderId="30" xfId="39" applyNumberFormat="1" applyFont="1" applyFill="1" applyBorder="1"/>
    <xf numFmtId="179" fontId="12" fillId="14" borderId="34" xfId="39" applyNumberFormat="1" applyFont="1" applyFill="1" applyBorder="1"/>
    <xf numFmtId="179" fontId="37" fillId="0" borderId="0" xfId="0" applyNumberFormat="1" applyFont="1"/>
    <xf numFmtId="0" fontId="31" fillId="0" borderId="1" xfId="0" applyFont="1" applyBorder="1" applyAlignment="1">
      <alignment horizontal="left"/>
    </xf>
    <xf numFmtId="0" fontId="43" fillId="0" borderId="8" xfId="0" applyFont="1" applyBorder="1" applyAlignment="1">
      <alignment wrapText="1"/>
    </xf>
    <xf numFmtId="0" fontId="22" fillId="0" borderId="8" xfId="0" applyFont="1" applyBorder="1"/>
    <xf numFmtId="172" fontId="43" fillId="0" borderId="0" xfId="39" applyNumberFormat="1" applyFont="1" applyFill="1" applyBorder="1"/>
    <xf numFmtId="37" fontId="43" fillId="0" borderId="0" xfId="0" applyNumberFormat="1" applyFont="1" applyAlignment="1">
      <alignment horizontal="center" wrapText="1"/>
    </xf>
    <xf numFmtId="173" fontId="43" fillId="0" borderId="0" xfId="35" applyNumberFormat="1" applyFont="1" applyFill="1" applyBorder="1"/>
    <xf numFmtId="172" fontId="43" fillId="0" borderId="0" xfId="0" applyNumberFormat="1" applyFont="1" applyAlignment="1">
      <alignment wrapText="1"/>
    </xf>
    <xf numFmtId="3" fontId="22" fillId="0" borderId="0" xfId="0" applyNumberFormat="1" applyFont="1"/>
    <xf numFmtId="0" fontId="43" fillId="0" borderId="8" xfId="0" applyFont="1" applyBorder="1" applyAlignment="1">
      <alignment horizontal="left" wrapText="1"/>
    </xf>
    <xf numFmtId="0" fontId="43" fillId="0" borderId="0" xfId="0" applyFont="1" applyAlignment="1">
      <alignment wrapText="1"/>
    </xf>
    <xf numFmtId="0" fontId="0" fillId="0" borderId="8" xfId="0" applyBorder="1" applyAlignment="1">
      <alignment horizontal="left" wrapText="1"/>
    </xf>
    <xf numFmtId="0" fontId="43" fillId="0" borderId="8" xfId="0" applyFont="1" applyBorder="1"/>
    <xf numFmtId="37" fontId="0" fillId="0" borderId="0" xfId="0" applyNumberFormat="1" applyAlignment="1">
      <alignment horizontal="center"/>
    </xf>
    <xf numFmtId="0" fontId="74" fillId="0" borderId="0" xfId="0" applyFont="1"/>
    <xf numFmtId="44" fontId="42" fillId="0" borderId="0" xfId="6" applyFont="1" applyBorder="1"/>
    <xf numFmtId="0" fontId="42" fillId="0" borderId="0" xfId="1" applyFont="1"/>
    <xf numFmtId="0" fontId="42" fillId="0" borderId="0" xfId="0" applyFont="1" applyAlignment="1">
      <alignment horizontal="left"/>
    </xf>
    <xf numFmtId="165" fontId="42" fillId="0" borderId="0" xfId="40" applyNumberFormat="1" applyFont="1" applyBorder="1"/>
    <xf numFmtId="9" fontId="37" fillId="0" borderId="0" xfId="40" applyFont="1" applyAlignment="1">
      <alignment horizontal="center"/>
    </xf>
    <xf numFmtId="0" fontId="76" fillId="0" borderId="0" xfId="0" applyFont="1"/>
    <xf numFmtId="176" fontId="27" fillId="0" borderId="0" xfId="42" applyNumberFormat="1" applyFont="1" applyAlignment="1">
      <alignment horizontal="right"/>
    </xf>
    <xf numFmtId="0" fontId="77" fillId="0" borderId="0" xfId="0" applyFont="1"/>
    <xf numFmtId="9" fontId="15" fillId="0" borderId="0" xfId="40" applyFont="1" applyFill="1"/>
    <xf numFmtId="9" fontId="15" fillId="0" borderId="31" xfId="40" applyFont="1" applyFill="1" applyBorder="1"/>
    <xf numFmtId="173" fontId="12" fillId="0" borderId="0" xfId="35" applyNumberFormat="1" applyFont="1" applyFill="1"/>
    <xf numFmtId="17" fontId="15" fillId="0" borderId="0" xfId="6" quotePrefix="1" applyNumberFormat="1" applyFont="1" applyAlignment="1"/>
    <xf numFmtId="17" fontId="15" fillId="0" borderId="0" xfId="6" applyNumberFormat="1" applyFont="1" applyAlignment="1"/>
    <xf numFmtId="44" fontId="15" fillId="0" borderId="36" xfId="0" applyNumberFormat="1" applyFont="1" applyBorder="1" applyAlignment="1">
      <alignment horizontal="left" indent="13"/>
    </xf>
    <xf numFmtId="0" fontId="15" fillId="0" borderId="0" xfId="0" applyFont="1" applyAlignment="1">
      <alignment horizontal="left"/>
    </xf>
    <xf numFmtId="2" fontId="37" fillId="0" borderId="0" xfId="40" applyNumberFormat="1" applyFont="1" applyAlignment="1">
      <alignment horizontal="center"/>
    </xf>
    <xf numFmtId="10" fontId="12" fillId="8" borderId="32" xfId="24" applyNumberFormat="1" applyFont="1" applyFill="1" applyBorder="1" applyAlignment="1">
      <alignment horizontal="center"/>
    </xf>
    <xf numFmtId="10" fontId="12" fillId="8" borderId="0" xfId="24" applyNumberFormat="1" applyFont="1" applyFill="1" applyBorder="1" applyAlignment="1">
      <alignment horizontal="center"/>
    </xf>
    <xf numFmtId="10" fontId="12" fillId="8" borderId="30" xfId="24" applyNumberFormat="1" applyFont="1" applyFill="1" applyBorder="1" applyAlignment="1">
      <alignment horizontal="center"/>
    </xf>
    <xf numFmtId="0" fontId="15" fillId="0" borderId="35" xfId="0" applyFont="1" applyBorder="1"/>
    <xf numFmtId="0" fontId="15" fillId="0" borderId="31" xfId="0" applyFont="1" applyBorder="1"/>
    <xf numFmtId="172" fontId="12" fillId="0" borderId="33" xfId="3" applyNumberFormat="1" applyFont="1" applyBorder="1"/>
    <xf numFmtId="172" fontId="12" fillId="0" borderId="7" xfId="3" applyNumberFormat="1" applyFont="1" applyFill="1" applyBorder="1"/>
    <xf numFmtId="172" fontId="12" fillId="0" borderId="34" xfId="3" applyNumberFormat="1" applyFont="1" applyBorder="1"/>
    <xf numFmtId="172" fontId="12" fillId="0" borderId="9" xfId="3" applyNumberFormat="1" applyFont="1" applyFill="1" applyBorder="1"/>
    <xf numFmtId="172" fontId="12" fillId="0" borderId="32" xfId="0" applyNumberFormat="1" applyFont="1" applyBorder="1" applyAlignment="1">
      <alignment horizontal="center"/>
    </xf>
    <xf numFmtId="172" fontId="12" fillId="0" borderId="30" xfId="0" applyNumberFormat="1" applyFont="1" applyBorder="1" applyAlignment="1">
      <alignment horizontal="center"/>
    </xf>
    <xf numFmtId="172" fontId="12" fillId="0" borderId="32" xfId="3" applyNumberFormat="1" applyFont="1" applyFill="1" applyBorder="1"/>
    <xf numFmtId="172" fontId="12" fillId="0" borderId="30" xfId="3" applyNumberFormat="1" applyFont="1" applyFill="1" applyBorder="1"/>
    <xf numFmtId="172" fontId="12" fillId="0" borderId="33" xfId="3" applyNumberFormat="1" applyFont="1" applyFill="1" applyBorder="1"/>
    <xf numFmtId="172" fontId="12" fillId="0" borderId="34" xfId="3" applyNumberFormat="1" applyFont="1" applyFill="1" applyBorder="1"/>
    <xf numFmtId="172" fontId="12" fillId="0" borderId="7" xfId="3" applyNumberFormat="1" applyFont="1" applyBorder="1"/>
    <xf numFmtId="0" fontId="12" fillId="0" borderId="30" xfId="0" applyFont="1" applyBorder="1" applyAlignment="1">
      <alignment horizontal="center"/>
    </xf>
    <xf numFmtId="172" fontId="12" fillId="9" borderId="0" xfId="3" applyNumberFormat="1" applyFont="1" applyFill="1" applyBorder="1"/>
    <xf numFmtId="172" fontId="12" fillId="9" borderId="30" xfId="3" applyNumberFormat="1" applyFont="1" applyFill="1" applyBorder="1"/>
    <xf numFmtId="172" fontId="12" fillId="9" borderId="7" xfId="3" applyNumberFormat="1" applyFont="1" applyFill="1" applyBorder="1"/>
    <xf numFmtId="172" fontId="12" fillId="9" borderId="34" xfId="3" applyNumberFormat="1" applyFont="1" applyFill="1" applyBorder="1"/>
    <xf numFmtId="0" fontId="15" fillId="0" borderId="36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5" fillId="0" borderId="8" xfId="0" applyFont="1" applyBorder="1" applyAlignment="1">
      <alignment wrapText="1"/>
    </xf>
    <xf numFmtId="0" fontId="15" fillId="0" borderId="20" xfId="0" applyFont="1" applyBorder="1"/>
    <xf numFmtId="0" fontId="15" fillId="0" borderId="34" xfId="0" applyFont="1" applyBorder="1"/>
    <xf numFmtId="3" fontId="78" fillId="0" borderId="0" xfId="0" applyNumberFormat="1" applyFont="1"/>
    <xf numFmtId="177" fontId="78" fillId="0" borderId="20" xfId="6" applyNumberFormat="1" applyFont="1" applyFill="1" applyBorder="1"/>
    <xf numFmtId="172" fontId="79" fillId="0" borderId="35" xfId="39" applyNumberFormat="1" applyFont="1" applyFill="1" applyBorder="1"/>
    <xf numFmtId="177" fontId="79" fillId="0" borderId="31" xfId="0" applyNumberFormat="1" applyFont="1" applyBorder="1"/>
    <xf numFmtId="177" fontId="78" fillId="0" borderId="30" xfId="6" applyNumberFormat="1" applyFont="1" applyFill="1" applyBorder="1"/>
    <xf numFmtId="172" fontId="79" fillId="0" borderId="32" xfId="39" applyNumberFormat="1" applyFont="1" applyFill="1" applyBorder="1"/>
    <xf numFmtId="177" fontId="78" fillId="0" borderId="34" xfId="6" applyNumberFormat="1" applyFont="1" applyFill="1" applyBorder="1"/>
    <xf numFmtId="172" fontId="79" fillId="0" borderId="33" xfId="39" applyNumberFormat="1" applyFont="1" applyFill="1" applyBorder="1"/>
    <xf numFmtId="177" fontId="79" fillId="0" borderId="7" xfId="0" applyNumberFormat="1" applyFont="1" applyBorder="1"/>
    <xf numFmtId="165" fontId="72" fillId="0" borderId="0" xfId="40" applyNumberFormat="1" applyFont="1" applyFill="1" applyAlignment="1">
      <alignment horizontal="right"/>
    </xf>
    <xf numFmtId="10" fontId="79" fillId="0" borderId="35" xfId="24" applyNumberFormat="1" applyFont="1" applyFill="1" applyBorder="1" applyAlignment="1">
      <alignment horizontal="center"/>
    </xf>
    <xf numFmtId="10" fontId="79" fillId="0" borderId="31" xfId="24" applyNumberFormat="1" applyFont="1" applyFill="1" applyBorder="1" applyAlignment="1">
      <alignment horizontal="center"/>
    </xf>
    <xf numFmtId="10" fontId="79" fillId="0" borderId="20" xfId="24" applyNumberFormat="1" applyFont="1" applyFill="1" applyBorder="1" applyAlignment="1">
      <alignment horizontal="center"/>
    </xf>
    <xf numFmtId="44" fontId="78" fillId="0" borderId="4" xfId="0" applyNumberFormat="1" applyFont="1" applyBorder="1"/>
    <xf numFmtId="10" fontId="79" fillId="0" borderId="33" xfId="24" applyNumberFormat="1" applyFont="1" applyFill="1" applyBorder="1" applyAlignment="1">
      <alignment horizontal="center"/>
    </xf>
    <xf numFmtId="10" fontId="79" fillId="0" borderId="7" xfId="24" applyNumberFormat="1" applyFont="1" applyFill="1" applyBorder="1" applyAlignment="1">
      <alignment horizontal="center"/>
    </xf>
    <xf numFmtId="10" fontId="79" fillId="0" borderId="34" xfId="24" applyNumberFormat="1" applyFont="1" applyFill="1" applyBorder="1" applyAlignment="1">
      <alignment horizontal="center"/>
    </xf>
    <xf numFmtId="10" fontId="79" fillId="0" borderId="0" xfId="24" applyNumberFormat="1" applyFont="1" applyFill="1" applyBorder="1" applyAlignment="1">
      <alignment horizontal="center"/>
    </xf>
    <xf numFmtId="0" fontId="78" fillId="0" borderId="4" xfId="0" applyFont="1" applyBorder="1" applyAlignment="1">
      <alignment horizontal="center" wrapText="1"/>
    </xf>
    <xf numFmtId="0" fontId="78" fillId="0" borderId="4" xfId="0" applyFont="1" applyBorder="1" applyAlignment="1">
      <alignment horizontal="center"/>
    </xf>
    <xf numFmtId="184" fontId="78" fillId="0" borderId="4" xfId="0" applyNumberFormat="1" applyFont="1" applyBorder="1" applyAlignment="1">
      <alignment horizontal="center" wrapText="1"/>
    </xf>
    <xf numFmtId="184" fontId="78" fillId="0" borderId="4" xfId="0" applyNumberFormat="1" applyFont="1" applyBorder="1" applyAlignment="1">
      <alignment horizontal="center"/>
    </xf>
    <xf numFmtId="187" fontId="27" fillId="0" borderId="4" xfId="1" quotePrefix="1" applyNumberFormat="1" applyFont="1" applyBorder="1" applyAlignment="1">
      <alignment horizontal="center"/>
    </xf>
    <xf numFmtId="10" fontId="78" fillId="0" borderId="35" xfId="24" applyNumberFormat="1" applyFont="1" applyFill="1" applyBorder="1" applyAlignment="1">
      <alignment horizontal="center"/>
    </xf>
    <xf numFmtId="10" fontId="78" fillId="0" borderId="31" xfId="24" applyNumberFormat="1" applyFont="1" applyFill="1" applyBorder="1" applyAlignment="1">
      <alignment horizontal="center"/>
    </xf>
    <xf numFmtId="10" fontId="78" fillId="0" borderId="20" xfId="24" applyNumberFormat="1" applyFont="1" applyFill="1" applyBorder="1" applyAlignment="1">
      <alignment horizontal="center"/>
    </xf>
    <xf numFmtId="10" fontId="78" fillId="0" borderId="33" xfId="24" applyNumberFormat="1" applyFont="1" applyFill="1" applyBorder="1" applyAlignment="1">
      <alignment horizontal="center"/>
    </xf>
    <xf numFmtId="10" fontId="78" fillId="0" borderId="7" xfId="24" applyNumberFormat="1" applyFont="1" applyFill="1" applyBorder="1" applyAlignment="1">
      <alignment horizontal="center"/>
    </xf>
    <xf numFmtId="10" fontId="78" fillId="0" borderId="34" xfId="24" applyNumberFormat="1" applyFont="1" applyFill="1" applyBorder="1" applyAlignment="1">
      <alignment horizontal="center"/>
    </xf>
    <xf numFmtId="0" fontId="15" fillId="0" borderId="0" xfId="0" applyFont="1" applyAlignment="1">
      <alignment horizontal="left" indent="2"/>
    </xf>
    <xf numFmtId="172" fontId="78" fillId="0" borderId="35" xfId="39" applyNumberFormat="1" applyFont="1" applyBorder="1" applyAlignment="1">
      <alignment horizontal="center"/>
    </xf>
    <xf numFmtId="172" fontId="78" fillId="0" borderId="31" xfId="39" applyNumberFormat="1" applyFont="1" applyBorder="1" applyAlignment="1">
      <alignment horizontal="center"/>
    </xf>
    <xf numFmtId="172" fontId="78" fillId="0" borderId="20" xfId="39" applyNumberFormat="1" applyFont="1" applyBorder="1" applyAlignment="1">
      <alignment horizontal="center"/>
    </xf>
    <xf numFmtId="172" fontId="78" fillId="0" borderId="32" xfId="39" applyNumberFormat="1" applyFont="1" applyBorder="1" applyAlignment="1">
      <alignment horizontal="center"/>
    </xf>
    <xf numFmtId="172" fontId="78" fillId="0" borderId="0" xfId="39" applyNumberFormat="1" applyFont="1" applyBorder="1" applyAlignment="1">
      <alignment horizontal="center"/>
    </xf>
    <xf numFmtId="172" fontId="78" fillId="0" borderId="30" xfId="39" applyNumberFormat="1" applyFont="1" applyBorder="1" applyAlignment="1">
      <alignment horizontal="center"/>
    </xf>
    <xf numFmtId="172" fontId="78" fillId="0" borderId="33" xfId="39" applyNumberFormat="1" applyFont="1" applyBorder="1" applyAlignment="1">
      <alignment horizontal="center"/>
    </xf>
    <xf numFmtId="172" fontId="78" fillId="0" borderId="7" xfId="39" applyNumberFormat="1" applyFont="1" applyBorder="1" applyAlignment="1">
      <alignment horizontal="center"/>
    </xf>
    <xf numFmtId="172" fontId="78" fillId="0" borderId="34" xfId="39" applyNumberFormat="1" applyFont="1" applyBorder="1" applyAlignment="1">
      <alignment horizontal="center"/>
    </xf>
    <xf numFmtId="165" fontId="0" fillId="0" borderId="0" xfId="40" applyNumberFormat="1" applyFont="1" applyFill="1" applyAlignment="1">
      <alignment horizontal="right"/>
    </xf>
    <xf numFmtId="37" fontId="79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14" fontId="81" fillId="0" borderId="4" xfId="0" applyNumberFormat="1" applyFont="1" applyBorder="1" applyAlignment="1">
      <alignment horizontal="center"/>
    </xf>
    <xf numFmtId="0" fontId="81" fillId="0" borderId="0" xfId="0" applyFont="1"/>
    <xf numFmtId="14" fontId="15" fillId="0" borderId="0" xfId="0" applyNumberFormat="1" applyFont="1"/>
    <xf numFmtId="184" fontId="78" fillId="0" borderId="0" xfId="0" applyNumberFormat="1" applyFont="1" applyAlignment="1">
      <alignment horizontal="center" wrapText="1"/>
    </xf>
    <xf numFmtId="0" fontId="78" fillId="0" borderId="0" xfId="0" applyFont="1" applyAlignment="1">
      <alignment horizontal="center"/>
    </xf>
    <xf numFmtId="176" fontId="27" fillId="0" borderId="36" xfId="42" quotePrefix="1" applyNumberFormat="1" applyFont="1" applyBorder="1" applyAlignment="1">
      <alignment horizontal="right"/>
    </xf>
    <xf numFmtId="177" fontId="79" fillId="0" borderId="8" xfId="0" applyNumberFormat="1" applyFont="1" applyBorder="1" applyAlignment="1">
      <alignment horizontal="center"/>
    </xf>
    <xf numFmtId="172" fontId="78" fillId="0" borderId="35" xfId="39" applyNumberFormat="1" applyFont="1" applyFill="1" applyBorder="1" applyAlignment="1">
      <alignment horizontal="center"/>
    </xf>
    <xf numFmtId="172" fontId="78" fillId="0" borderId="32" xfId="39" applyNumberFormat="1" applyFont="1" applyFill="1" applyBorder="1" applyAlignment="1">
      <alignment horizontal="center"/>
    </xf>
    <xf numFmtId="178" fontId="79" fillId="0" borderId="36" xfId="0" applyNumberFormat="1" applyFont="1" applyBorder="1"/>
    <xf numFmtId="0" fontId="78" fillId="0" borderId="36" xfId="0" applyFont="1" applyBorder="1"/>
    <xf numFmtId="177" fontId="15" fillId="8" borderId="0" xfId="6" applyNumberFormat="1" applyFont="1" applyFill="1" applyBorder="1"/>
    <xf numFmtId="172" fontId="78" fillId="0" borderId="35" xfId="39" applyNumberFormat="1" applyFont="1" applyFill="1" applyBorder="1"/>
    <xf numFmtId="172" fontId="78" fillId="0" borderId="32" xfId="39" applyNumberFormat="1" applyFont="1" applyFill="1" applyBorder="1"/>
    <xf numFmtId="165" fontId="72" fillId="0" borderId="0" xfId="40" applyNumberFormat="1" applyFont="1" applyFill="1" applyBorder="1" applyAlignment="1">
      <alignment horizontal="center"/>
    </xf>
    <xf numFmtId="1" fontId="72" fillId="0" borderId="0" xfId="40" applyNumberFormat="1" applyFont="1" applyFill="1" applyBorder="1" applyAlignment="1">
      <alignment horizontal="center"/>
    </xf>
    <xf numFmtId="14" fontId="81" fillId="0" borderId="0" xfId="0" applyNumberFormat="1" applyFont="1" applyAlignment="1">
      <alignment horizontal="center"/>
    </xf>
    <xf numFmtId="40" fontId="78" fillId="0" borderId="21" xfId="0" applyNumberFormat="1" applyFont="1" applyBorder="1" applyAlignment="1">
      <alignment horizontal="center"/>
    </xf>
    <xf numFmtId="40" fontId="78" fillId="0" borderId="22" xfId="0" applyNumberFormat="1" applyFont="1" applyBorder="1" applyAlignment="1">
      <alignment horizontal="center"/>
    </xf>
    <xf numFmtId="40" fontId="78" fillId="0" borderId="9" xfId="0" applyNumberFormat="1" applyFont="1" applyBorder="1" applyAlignment="1">
      <alignment horizontal="center"/>
    </xf>
    <xf numFmtId="172" fontId="78" fillId="0" borderId="35" xfId="39" applyNumberFormat="1" applyFont="1" applyBorder="1"/>
    <xf numFmtId="172" fontId="78" fillId="0" borderId="32" xfId="39" applyNumberFormat="1" applyFont="1" applyBorder="1"/>
    <xf numFmtId="0" fontId="78" fillId="0" borderId="30" xfId="0" applyFont="1" applyBorder="1"/>
    <xf numFmtId="172" fontId="78" fillId="0" borderId="33" xfId="39" applyNumberFormat="1" applyFont="1" applyBorder="1"/>
    <xf numFmtId="0" fontId="78" fillId="0" borderId="34" xfId="0" applyFont="1" applyBorder="1"/>
    <xf numFmtId="2" fontId="12" fillId="9" borderId="0" xfId="0" applyNumberFormat="1" applyFont="1" applyFill="1"/>
    <xf numFmtId="172" fontId="45" fillId="0" borderId="21" xfId="39" applyNumberFormat="1" applyFont="1" applyFill="1" applyBorder="1" applyAlignment="1">
      <alignment horizontal="left"/>
    </xf>
    <xf numFmtId="172" fontId="45" fillId="0" borderId="22" xfId="3" applyNumberFormat="1" applyFont="1" applyFill="1" applyBorder="1" applyAlignment="1">
      <alignment horizontal="right"/>
    </xf>
    <xf numFmtId="0" fontId="29" fillId="0" borderId="1" xfId="0" applyFont="1" applyBorder="1" applyAlignment="1">
      <alignment horizontal="right"/>
    </xf>
    <xf numFmtId="165" fontId="81" fillId="0" borderId="4" xfId="40" applyNumberFormat="1" applyFont="1" applyBorder="1"/>
    <xf numFmtId="10" fontId="42" fillId="0" borderId="0" xfId="0" applyNumberFormat="1" applyFont="1"/>
    <xf numFmtId="0" fontId="15" fillId="0" borderId="36" xfId="0" applyFont="1" applyBorder="1" applyAlignment="1">
      <alignment horizontal="left" indent="11"/>
    </xf>
    <xf numFmtId="0" fontId="81" fillId="0" borderId="0" xfId="0" applyFont="1" applyAlignment="1">
      <alignment horizontal="left"/>
    </xf>
    <xf numFmtId="9" fontId="42" fillId="0" borderId="0" xfId="0" applyNumberFormat="1" applyFont="1"/>
    <xf numFmtId="0" fontId="83" fillId="0" borderId="0" xfId="71" applyFont="1"/>
    <xf numFmtId="3" fontId="78" fillId="0" borderId="35" xfId="0" applyNumberFormat="1" applyFont="1" applyBorder="1"/>
    <xf numFmtId="3" fontId="78" fillId="0" borderId="31" xfId="0" applyNumberFormat="1" applyFont="1" applyBorder="1"/>
    <xf numFmtId="3" fontId="78" fillId="0" borderId="20" xfId="0" applyNumberFormat="1" applyFont="1" applyBorder="1"/>
    <xf numFmtId="192" fontId="80" fillId="0" borderId="33" xfId="0" applyNumberFormat="1" applyFont="1" applyBorder="1"/>
    <xf numFmtId="192" fontId="78" fillId="0" borderId="7" xfId="0" applyNumberFormat="1" applyFont="1" applyBorder="1"/>
    <xf numFmtId="192" fontId="78" fillId="0" borderId="34" xfId="0" applyNumberFormat="1" applyFont="1" applyBorder="1"/>
    <xf numFmtId="9" fontId="79" fillId="0" borderId="20" xfId="40" applyFont="1" applyFill="1" applyBorder="1" applyAlignment="1">
      <alignment horizontal="center"/>
    </xf>
    <xf numFmtId="9" fontId="79" fillId="0" borderId="34" xfId="40" applyFont="1" applyFill="1" applyBorder="1" applyAlignment="1">
      <alignment horizontal="center"/>
    </xf>
    <xf numFmtId="0" fontId="42" fillId="0" borderId="0" xfId="0" applyFont="1" applyAlignment="1">
      <alignment horizontal="right"/>
    </xf>
    <xf numFmtId="9" fontId="79" fillId="0" borderId="0" xfId="40" applyFont="1" applyFill="1" applyBorder="1" applyAlignment="1">
      <alignment horizontal="center"/>
    </xf>
    <xf numFmtId="37" fontId="79" fillId="0" borderId="35" xfId="0" applyNumberFormat="1" applyFont="1" applyBorder="1" applyAlignment="1">
      <alignment horizontal="center"/>
    </xf>
    <xf numFmtId="9" fontId="79" fillId="0" borderId="31" xfId="40" applyFont="1" applyFill="1" applyBorder="1" applyAlignment="1">
      <alignment horizontal="center"/>
    </xf>
    <xf numFmtId="37" fontId="79" fillId="0" borderId="33" xfId="0" applyNumberFormat="1" applyFont="1" applyBorder="1" applyAlignment="1">
      <alignment horizontal="center"/>
    </xf>
    <xf numFmtId="9" fontId="79" fillId="0" borderId="7" xfId="40" applyFont="1" applyFill="1" applyBorder="1" applyAlignment="1">
      <alignment horizontal="center"/>
    </xf>
    <xf numFmtId="10" fontId="79" fillId="0" borderId="0" xfId="40" applyNumberFormat="1" applyFont="1" applyFill="1" applyBorder="1" applyAlignment="1">
      <alignment horizontal="center"/>
    </xf>
    <xf numFmtId="172" fontId="79" fillId="0" borderId="0" xfId="0" applyNumberFormat="1" applyFont="1" applyAlignment="1">
      <alignment horizontal="center"/>
    </xf>
    <xf numFmtId="0" fontId="84" fillId="16" borderId="0" xfId="0" applyFont="1" applyFill="1" applyAlignment="1">
      <alignment horizontal="left"/>
    </xf>
    <xf numFmtId="0" fontId="84" fillId="16" borderId="0" xfId="0" applyFont="1" applyFill="1"/>
    <xf numFmtId="0" fontId="72" fillId="0" borderId="4" xfId="0" applyFont="1" applyBorder="1" applyAlignment="1">
      <alignment horizontal="center"/>
    </xf>
    <xf numFmtId="0" fontId="72" fillId="0" borderId="0" xfId="0" applyFont="1" applyAlignment="1">
      <alignment horizontal="center"/>
    </xf>
    <xf numFmtId="0" fontId="84" fillId="0" borderId="0" xfId="0" applyFont="1"/>
    <xf numFmtId="177" fontId="79" fillId="0" borderId="31" xfId="0" applyNumberFormat="1" applyFont="1" applyBorder="1" applyAlignment="1">
      <alignment horizontal="center"/>
    </xf>
    <xf numFmtId="177" fontId="79" fillId="0" borderId="1" xfId="0" applyNumberFormat="1" applyFont="1" applyBorder="1" applyAlignment="1">
      <alignment horizontal="center"/>
    </xf>
    <xf numFmtId="177" fontId="79" fillId="15" borderId="30" xfId="0" applyNumberFormat="1" applyFont="1" applyFill="1" applyBorder="1" applyAlignment="1">
      <alignment horizontal="center"/>
    </xf>
    <xf numFmtId="177" fontId="79" fillId="15" borderId="34" xfId="0" applyNumberFormat="1" applyFont="1" applyFill="1" applyBorder="1" applyAlignment="1">
      <alignment horizontal="center"/>
    </xf>
    <xf numFmtId="0" fontId="78" fillId="0" borderId="1" xfId="0" applyFont="1" applyBorder="1"/>
    <xf numFmtId="177" fontId="78" fillId="0" borderId="7" xfId="0" applyNumberFormat="1" applyFont="1" applyBorder="1"/>
    <xf numFmtId="177" fontId="82" fillId="0" borderId="1" xfId="0" applyNumberFormat="1" applyFont="1" applyBorder="1"/>
    <xf numFmtId="177" fontId="79" fillId="0" borderId="1" xfId="0" applyNumberFormat="1" applyFont="1" applyBorder="1"/>
    <xf numFmtId="177" fontId="78" fillId="0" borderId="31" xfId="0" applyNumberFormat="1" applyFont="1" applyBorder="1"/>
    <xf numFmtId="0" fontId="78" fillId="0" borderId="7" xfId="0" applyFont="1" applyBorder="1"/>
    <xf numFmtId="0" fontId="78" fillId="0" borderId="31" xfId="0" applyFont="1" applyBorder="1"/>
    <xf numFmtId="172" fontId="78" fillId="0" borderId="20" xfId="39" applyNumberFormat="1" applyFont="1" applyBorder="1"/>
    <xf numFmtId="1" fontId="15" fillId="12" borderId="22" xfId="0" applyNumberFormat="1" applyFont="1" applyFill="1" applyBorder="1"/>
    <xf numFmtId="1" fontId="15" fillId="12" borderId="9" xfId="0" applyNumberFormat="1" applyFont="1" applyFill="1" applyBorder="1"/>
    <xf numFmtId="1" fontId="15" fillId="12" borderId="21" xfId="6" applyNumberFormat="1" applyFont="1" applyFill="1" applyBorder="1"/>
    <xf numFmtId="1" fontId="15" fillId="12" borderId="22" xfId="6" applyNumberFormat="1" applyFont="1" applyFill="1" applyBorder="1"/>
    <xf numFmtId="1" fontId="15" fillId="12" borderId="9" xfId="6" applyNumberFormat="1" applyFont="1" applyFill="1" applyBorder="1"/>
    <xf numFmtId="9" fontId="78" fillId="0" borderId="35" xfId="40" applyFont="1" applyFill="1" applyBorder="1"/>
    <xf numFmtId="9" fontId="78" fillId="0" borderId="31" xfId="40" applyFont="1" applyFill="1" applyBorder="1"/>
    <xf numFmtId="9" fontId="78" fillId="0" borderId="20" xfId="40" applyFont="1" applyFill="1" applyBorder="1"/>
    <xf numFmtId="9" fontId="78" fillId="0" borderId="32" xfId="40" applyFont="1" applyFill="1" applyBorder="1"/>
    <xf numFmtId="9" fontId="78" fillId="0" borderId="0" xfId="40" applyFont="1" applyFill="1" applyBorder="1"/>
    <xf numFmtId="9" fontId="78" fillId="0" borderId="30" xfId="40" applyFont="1" applyFill="1" applyBorder="1"/>
    <xf numFmtId="9" fontId="78" fillId="0" borderId="33" xfId="40" applyFont="1" applyFill="1" applyBorder="1"/>
    <xf numFmtId="9" fontId="78" fillId="0" borderId="7" xfId="40" applyFont="1" applyFill="1" applyBorder="1"/>
    <xf numFmtId="9" fontId="78" fillId="0" borderId="34" xfId="40" applyFont="1" applyFill="1" applyBorder="1"/>
    <xf numFmtId="10" fontId="78" fillId="0" borderId="21" xfId="0" applyNumberFormat="1" applyFont="1" applyBorder="1"/>
    <xf numFmtId="10" fontId="78" fillId="0" borderId="9" xfId="0" applyNumberFormat="1" applyFont="1" applyBorder="1"/>
    <xf numFmtId="0" fontId="29" fillId="0" borderId="0" xfId="0" applyFont="1" applyAlignment="1">
      <alignment horizontal="left"/>
    </xf>
    <xf numFmtId="0" fontId="29" fillId="0" borderId="0" xfId="0" applyFont="1" applyAlignment="1">
      <alignment horizontal="right" indent="1"/>
    </xf>
    <xf numFmtId="10" fontId="78" fillId="0" borderId="21" xfId="40" applyNumberFormat="1" applyFont="1" applyBorder="1"/>
    <xf numFmtId="10" fontId="78" fillId="0" borderId="9" xfId="40" applyNumberFormat="1" applyFont="1" applyBorder="1"/>
    <xf numFmtId="0" fontId="85" fillId="0" borderId="0" xfId="0" quotePrefix="1" applyFont="1" applyAlignment="1">
      <alignment horizontal="left"/>
    </xf>
    <xf numFmtId="0" fontId="85" fillId="0" borderId="0" xfId="0" quotePrefix="1" applyFont="1" applyAlignment="1">
      <alignment horizontal="center"/>
    </xf>
    <xf numFmtId="14" fontId="81" fillId="0" borderId="0" xfId="0" applyNumberFormat="1" applyFont="1"/>
    <xf numFmtId="10" fontId="79" fillId="0" borderId="21" xfId="24" applyNumberFormat="1" applyFont="1" applyFill="1" applyBorder="1" applyAlignment="1">
      <alignment horizontal="center"/>
    </xf>
    <xf numFmtId="10" fontId="79" fillId="0" borderId="9" xfId="40" applyNumberFormat="1" applyFont="1" applyFill="1" applyBorder="1" applyAlignment="1">
      <alignment horizontal="center"/>
    </xf>
    <xf numFmtId="179" fontId="79" fillId="0" borderId="35" xfId="0" applyNumberFormat="1" applyFont="1" applyBorder="1"/>
    <xf numFmtId="179" fontId="79" fillId="0" borderId="31" xfId="0" applyNumberFormat="1" applyFont="1" applyBorder="1"/>
    <xf numFmtId="179" fontId="79" fillId="0" borderId="20" xfId="0" applyNumberFormat="1" applyFont="1" applyBorder="1"/>
    <xf numFmtId="179" fontId="79" fillId="0" borderId="32" xfId="0" applyNumberFormat="1" applyFont="1" applyBorder="1"/>
    <xf numFmtId="179" fontId="79" fillId="0" borderId="0" xfId="0" applyNumberFormat="1" applyFont="1"/>
    <xf numFmtId="179" fontId="79" fillId="0" borderId="30" xfId="0" applyNumberFormat="1" applyFont="1" applyBorder="1"/>
    <xf numFmtId="179" fontId="79" fillId="0" borderId="33" xfId="0" applyNumberFormat="1" applyFont="1" applyBorder="1"/>
    <xf numFmtId="179" fontId="79" fillId="0" borderId="7" xfId="0" applyNumberFormat="1" applyFont="1" applyBorder="1"/>
    <xf numFmtId="179" fontId="79" fillId="0" borderId="34" xfId="0" applyNumberFormat="1" applyFont="1" applyBorder="1"/>
    <xf numFmtId="0" fontId="80" fillId="0" borderId="0" xfId="0" applyFont="1" applyAlignment="1">
      <alignment horizontal="center"/>
    </xf>
    <xf numFmtId="14" fontId="80" fillId="0" borderId="0" xfId="0" applyNumberFormat="1" applyFont="1" applyAlignment="1">
      <alignment horizontal="center"/>
    </xf>
    <xf numFmtId="14" fontId="80" fillId="0" borderId="0" xfId="0" applyNumberFormat="1" applyFont="1"/>
    <xf numFmtId="177" fontId="79" fillId="0" borderId="0" xfId="0" applyNumberFormat="1" applyFont="1" applyAlignment="1">
      <alignment horizontal="center"/>
    </xf>
    <xf numFmtId="177" fontId="79" fillId="0" borderId="0" xfId="0" applyNumberFormat="1" applyFont="1"/>
    <xf numFmtId="178" fontId="79" fillId="0" borderId="0" xfId="0" applyNumberFormat="1" applyFont="1"/>
    <xf numFmtId="177" fontId="78" fillId="0" borderId="0" xfId="0" applyNumberFormat="1" applyFont="1"/>
    <xf numFmtId="14" fontId="80" fillId="0" borderId="0" xfId="0" applyNumberFormat="1" applyFont="1" applyAlignment="1">
      <alignment horizontal="left" indent="5"/>
    </xf>
    <xf numFmtId="0" fontId="80" fillId="0" borderId="0" xfId="0" applyFont="1"/>
    <xf numFmtId="14" fontId="80" fillId="0" borderId="0" xfId="0" applyNumberFormat="1" applyFont="1" applyAlignment="1">
      <alignment horizontal="left" indent="8"/>
    </xf>
    <xf numFmtId="9" fontId="15" fillId="0" borderId="0" xfId="0" applyNumberFormat="1" applyFont="1"/>
    <xf numFmtId="0" fontId="61" fillId="0" borderId="7" xfId="0" applyFont="1" applyBorder="1" applyAlignment="1">
      <alignment horizontal="right"/>
    </xf>
    <xf numFmtId="9" fontId="42" fillId="0" borderId="7" xfId="0" applyNumberFormat="1" applyFont="1" applyBorder="1"/>
    <xf numFmtId="0" fontId="78" fillId="0" borderId="0" xfId="0" applyFont="1"/>
    <xf numFmtId="172" fontId="15" fillId="0" borderId="0" xfId="39" applyNumberFormat="1" applyFont="1" applyBorder="1"/>
    <xf numFmtId="184" fontId="78" fillId="0" borderId="7" xfId="0" applyNumberFormat="1" applyFont="1" applyBorder="1" applyAlignment="1">
      <alignment horizontal="center" wrapText="1"/>
    </xf>
    <xf numFmtId="0" fontId="78" fillId="0" borderId="7" xfId="0" applyFont="1" applyBorder="1" applyAlignment="1">
      <alignment horizontal="center"/>
    </xf>
    <xf numFmtId="3" fontId="12" fillId="0" borderId="31" xfId="0" applyNumberFormat="1" applyFont="1" applyBorder="1" applyAlignment="1">
      <alignment horizontal="center"/>
    </xf>
    <xf numFmtId="0" fontId="12" fillId="0" borderId="31" xfId="0" applyFont="1" applyBorder="1"/>
    <xf numFmtId="0" fontId="27" fillId="0" borderId="31" xfId="0" applyFont="1" applyBorder="1"/>
    <xf numFmtId="0" fontId="35" fillId="0" borderId="0" xfId="0" applyFont="1" applyAlignment="1">
      <alignment horizontal="left"/>
    </xf>
    <xf numFmtId="1" fontId="12" fillId="0" borderId="0" xfId="39" applyNumberFormat="1" applyFont="1" applyBorder="1" applyAlignment="1">
      <alignment horizontal="center"/>
    </xf>
    <xf numFmtId="172" fontId="79" fillId="0" borderId="30" xfId="0" applyNumberFormat="1" applyFont="1" applyBorder="1" applyAlignment="1">
      <alignment horizontal="center"/>
    </xf>
    <xf numFmtId="9" fontId="35" fillId="0" borderId="7" xfId="40" applyFont="1" applyFill="1" applyBorder="1" applyAlignment="1">
      <alignment horizontal="right"/>
    </xf>
    <xf numFmtId="172" fontId="79" fillId="0" borderId="7" xfId="0" applyNumberFormat="1" applyFont="1" applyBorder="1" applyAlignment="1">
      <alignment horizontal="center"/>
    </xf>
    <xf numFmtId="172" fontId="79" fillId="0" borderId="34" xfId="0" applyNumberFormat="1" applyFont="1" applyBorder="1" applyAlignment="1">
      <alignment horizontal="center"/>
    </xf>
    <xf numFmtId="0" fontId="61" fillId="0" borderId="31" xfId="0" applyFont="1" applyBorder="1" applyAlignment="1">
      <alignment horizontal="right"/>
    </xf>
    <xf numFmtId="9" fontId="35" fillId="0" borderId="31" xfId="40" applyFont="1" applyFill="1" applyBorder="1" applyAlignment="1">
      <alignment horizontal="right"/>
    </xf>
    <xf numFmtId="172" fontId="79" fillId="0" borderId="31" xfId="0" applyNumberFormat="1" applyFont="1" applyBorder="1" applyAlignment="1">
      <alignment horizontal="center"/>
    </xf>
    <xf numFmtId="172" fontId="79" fillId="0" borderId="20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42" fillId="0" borderId="7" xfId="0" applyFont="1" applyBorder="1" applyAlignment="1">
      <alignment horizontal="right"/>
    </xf>
    <xf numFmtId="0" fontId="29" fillId="0" borderId="35" xfId="0" applyFont="1" applyBorder="1"/>
    <xf numFmtId="165" fontId="72" fillId="0" borderId="0" xfId="40" applyNumberFormat="1" applyFont="1" applyFill="1" applyBorder="1" applyAlignment="1">
      <alignment horizontal="right"/>
    </xf>
    <xf numFmtId="1" fontId="15" fillId="0" borderId="7" xfId="0" applyNumberFormat="1" applyFont="1" applyBorder="1"/>
    <xf numFmtId="165" fontId="72" fillId="0" borderId="7" xfId="40" applyNumberFormat="1" applyFont="1" applyFill="1" applyBorder="1" applyAlignment="1">
      <alignment horizontal="right"/>
    </xf>
    <xf numFmtId="1" fontId="78" fillId="0" borderId="0" xfId="0" applyNumberFormat="1" applyFont="1"/>
    <xf numFmtId="3" fontId="78" fillId="0" borderId="7" xfId="0" applyNumberFormat="1" applyFont="1" applyBorder="1"/>
    <xf numFmtId="0" fontId="80" fillId="0" borderId="4" xfId="0" applyFont="1" applyBorder="1" applyAlignment="1">
      <alignment horizontal="center"/>
    </xf>
    <xf numFmtId="0" fontId="15" fillId="12" borderId="4" xfId="0" applyFont="1" applyFill="1" applyBorder="1" applyAlignment="1">
      <alignment horizontal="center"/>
    </xf>
    <xf numFmtId="14" fontId="0" fillId="12" borderId="4" xfId="0" quotePrefix="1" applyNumberFormat="1" applyFill="1" applyBorder="1"/>
    <xf numFmtId="0" fontId="29" fillId="0" borderId="0" xfId="0" applyFont="1" applyAlignment="1">
      <alignment horizontal="left" indent="3"/>
    </xf>
    <xf numFmtId="172" fontId="78" fillId="0" borderId="21" xfId="39" applyNumberFormat="1" applyFont="1" applyFill="1" applyBorder="1" applyAlignment="1">
      <alignment horizontal="center"/>
    </xf>
    <xf numFmtId="172" fontId="78" fillId="0" borderId="32" xfId="39" applyNumberFormat="1" applyFont="1" applyFill="1" applyBorder="1" applyAlignment="1">
      <alignment horizontal="center" wrapText="1"/>
    </xf>
    <xf numFmtId="172" fontId="78" fillId="0" borderId="22" xfId="39" applyNumberFormat="1" applyFont="1" applyFill="1" applyBorder="1" applyAlignment="1">
      <alignment horizontal="center" wrapText="1"/>
    </xf>
    <xf numFmtId="172" fontId="78" fillId="0" borderId="33" xfId="39" applyNumberFormat="1" applyFont="1" applyFill="1" applyBorder="1" applyAlignment="1">
      <alignment horizontal="center"/>
    </xf>
    <xf numFmtId="172" fontId="78" fillId="0" borderId="9" xfId="39" applyNumberFormat="1" applyFont="1" applyFill="1" applyBorder="1" applyAlignment="1">
      <alignment horizontal="center"/>
    </xf>
    <xf numFmtId="1" fontId="27" fillId="0" borderId="4" xfId="1" applyNumberFormat="1" applyFont="1" applyBorder="1" applyAlignment="1">
      <alignment horizontal="center"/>
    </xf>
    <xf numFmtId="172" fontId="20" fillId="0" borderId="0" xfId="39" applyNumberFormat="1" applyFont="1" applyFill="1" applyBorder="1"/>
    <xf numFmtId="6" fontId="0" fillId="0" borderId="0" xfId="0" applyNumberFormat="1"/>
    <xf numFmtId="197" fontId="69" fillId="0" borderId="0" xfId="0" applyNumberFormat="1" applyFont="1"/>
    <xf numFmtId="172" fontId="72" fillId="0" borderId="0" xfId="39" applyNumberFormat="1" applyFont="1" applyFill="1"/>
    <xf numFmtId="172" fontId="15" fillId="0" borderId="0" xfId="0" applyNumberFormat="1" applyFont="1" applyAlignment="1">
      <alignment horizontal="left"/>
    </xf>
    <xf numFmtId="0" fontId="15" fillId="0" borderId="30" xfId="0" applyFont="1" applyBorder="1" applyAlignment="1">
      <alignment horizontal="center"/>
    </xf>
    <xf numFmtId="0" fontId="29" fillId="0" borderId="32" xfId="0" applyFont="1" applyBorder="1"/>
    <xf numFmtId="172" fontId="21" fillId="0" borderId="0" xfId="39" applyNumberFormat="1" applyFont="1" applyFill="1"/>
    <xf numFmtId="173" fontId="21" fillId="0" borderId="0" xfId="35" applyNumberFormat="1" applyFont="1" applyFill="1"/>
    <xf numFmtId="172" fontId="21" fillId="0" borderId="0" xfId="39" applyNumberFormat="1" applyFont="1" applyFill="1" applyBorder="1"/>
    <xf numFmtId="17" fontId="21" fillId="0" borderId="0" xfId="0" applyNumberFormat="1" applyFont="1" applyAlignment="1">
      <alignment horizontal="left"/>
    </xf>
    <xf numFmtId="0" fontId="25" fillId="0" borderId="0" xfId="0" applyFont="1"/>
    <xf numFmtId="0" fontId="21" fillId="0" borderId="0" xfId="0" applyFont="1" applyAlignment="1">
      <alignment wrapText="1"/>
    </xf>
    <xf numFmtId="3" fontId="21" fillId="0" borderId="0" xfId="0" applyNumberFormat="1" applyFont="1"/>
    <xf numFmtId="37" fontId="12" fillId="0" borderId="0" xfId="0" applyNumberFormat="1" applyFont="1" applyAlignment="1">
      <alignment horizontal="center"/>
    </xf>
    <xf numFmtId="9" fontId="12" fillId="0" borderId="0" xfId="40" applyFont="1" applyFill="1" applyAlignment="1">
      <alignment horizontal="center"/>
    </xf>
    <xf numFmtId="179" fontId="12" fillId="0" borderId="0" xfId="0" applyNumberFormat="1" applyFont="1"/>
    <xf numFmtId="196" fontId="12" fillId="0" borderId="0" xfId="39" applyNumberFormat="1" applyFont="1" applyFill="1" applyAlignment="1">
      <alignment horizontal="center"/>
    </xf>
    <xf numFmtId="196" fontId="12" fillId="0" borderId="0" xfId="0" applyNumberFormat="1" applyFont="1" applyAlignment="1">
      <alignment horizontal="center"/>
    </xf>
    <xf numFmtId="0" fontId="12" fillId="0" borderId="21" xfId="0" applyFont="1" applyBorder="1" applyAlignment="1">
      <alignment horizontal="center"/>
    </xf>
    <xf numFmtId="172" fontId="15" fillId="0" borderId="22" xfId="0" applyNumberFormat="1" applyFont="1" applyBorder="1"/>
    <xf numFmtId="172" fontId="15" fillId="0" borderId="9" xfId="0" applyNumberFormat="1" applyFont="1" applyBorder="1"/>
    <xf numFmtId="0" fontId="12" fillId="0" borderId="20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9" fontId="12" fillId="0" borderId="0" xfId="40" applyFont="1" applyFill="1" applyAlignment="1">
      <alignment horizontal="right"/>
    </xf>
    <xf numFmtId="0" fontId="14" fillId="0" borderId="39" xfId="20" applyFont="1" applyBorder="1" applyAlignment="1">
      <alignment horizontal="center"/>
    </xf>
    <xf numFmtId="165" fontId="15" fillId="0" borderId="0" xfId="40" applyNumberFormat="1" applyFont="1" applyFill="1"/>
    <xf numFmtId="177" fontId="15" fillId="9" borderId="0" xfId="6" applyNumberFormat="1" applyFont="1" applyFill="1"/>
    <xf numFmtId="181" fontId="27" fillId="0" borderId="0" xfId="0" applyNumberFormat="1" applyFont="1"/>
    <xf numFmtId="0" fontId="27" fillId="0" borderId="0" xfId="0" applyFont="1" applyAlignment="1">
      <alignment horizontal="center"/>
    </xf>
    <xf numFmtId="172" fontId="27" fillId="0" borderId="0" xfId="0" applyNumberFormat="1" applyFont="1"/>
    <xf numFmtId="43" fontId="27" fillId="0" borderId="0" xfId="0" applyNumberFormat="1" applyFont="1"/>
    <xf numFmtId="0" fontId="27" fillId="0" borderId="32" xfId="0" applyFont="1" applyBorder="1"/>
    <xf numFmtId="0" fontId="27" fillId="0" borderId="30" xfId="0" applyFont="1" applyBorder="1"/>
    <xf numFmtId="10" fontId="27" fillId="0" borderId="0" xfId="40" applyNumberFormat="1" applyFont="1"/>
    <xf numFmtId="0" fontId="28" fillId="0" borderId="0" xfId="0" applyFont="1"/>
    <xf numFmtId="0" fontId="27" fillId="0" borderId="35" xfId="0" applyFont="1" applyBorder="1"/>
    <xf numFmtId="0" fontId="28" fillId="0" borderId="29" xfId="1" applyFont="1" applyBorder="1"/>
    <xf numFmtId="0" fontId="27" fillId="0" borderId="36" xfId="1" applyFont="1" applyBorder="1" applyAlignment="1">
      <alignment horizontal="center" wrapText="1"/>
    </xf>
    <xf numFmtId="0" fontId="27" fillId="0" borderId="29" xfId="1" applyFont="1" applyBorder="1" applyAlignment="1">
      <alignment horizontal="center" wrapText="1"/>
    </xf>
    <xf numFmtId="0" fontId="27" fillId="0" borderId="0" xfId="1" applyFont="1" applyAlignment="1">
      <alignment horizontal="center" wrapText="1"/>
    </xf>
    <xf numFmtId="165" fontId="27" fillId="0" borderId="22" xfId="40" applyNumberFormat="1" applyFont="1" applyFill="1" applyBorder="1" applyAlignment="1">
      <alignment horizontal="center"/>
    </xf>
    <xf numFmtId="165" fontId="27" fillId="0" borderId="32" xfId="25" applyNumberFormat="1" applyFont="1" applyFill="1" applyBorder="1" applyAlignment="1">
      <alignment horizontal="center"/>
    </xf>
    <xf numFmtId="165" fontId="42" fillId="0" borderId="29" xfId="22" applyNumberFormat="1" applyFont="1" applyFill="1" applyBorder="1" applyAlignment="1">
      <alignment horizontal="center"/>
    </xf>
    <xf numFmtId="165" fontId="27" fillId="0" borderId="37" xfId="25" applyNumberFormat="1" applyFont="1" applyFill="1" applyBorder="1" applyAlignment="1">
      <alignment horizontal="center"/>
    </xf>
    <xf numFmtId="165" fontId="27" fillId="0" borderId="38" xfId="25" applyNumberFormat="1" applyFont="1" applyFill="1" applyBorder="1" applyAlignment="1">
      <alignment horizontal="center"/>
    </xf>
    <xf numFmtId="0" fontId="29" fillId="0" borderId="29" xfId="0" applyFont="1" applyBorder="1"/>
    <xf numFmtId="165" fontId="27" fillId="0" borderId="35" xfId="22" applyNumberFormat="1" applyFont="1" applyFill="1" applyBorder="1" applyAlignment="1">
      <alignment horizontal="center"/>
    </xf>
    <xf numFmtId="165" fontId="27" fillId="0" borderId="32" xfId="22" applyNumberFormat="1" applyFont="1" applyFill="1" applyBorder="1" applyAlignment="1">
      <alignment horizontal="center"/>
    </xf>
    <xf numFmtId="165" fontId="27" fillId="0" borderId="37" xfId="22" applyNumberFormat="1" applyFont="1" applyFill="1" applyBorder="1" applyAlignment="1">
      <alignment horizontal="center"/>
    </xf>
    <xf numFmtId="9" fontId="42" fillId="0" borderId="0" xfId="40" applyFont="1" applyFill="1"/>
    <xf numFmtId="0" fontId="15" fillId="0" borderId="29" xfId="0" applyFont="1" applyBorder="1"/>
    <xf numFmtId="3" fontId="42" fillId="0" borderId="0" xfId="0" applyNumberFormat="1" applyFont="1"/>
    <xf numFmtId="184" fontId="42" fillId="0" borderId="0" xfId="0" applyNumberFormat="1" applyFont="1"/>
    <xf numFmtId="0" fontId="22" fillId="0" borderId="0" xfId="0" applyFont="1"/>
    <xf numFmtId="0" fontId="67" fillId="0" borderId="0" xfId="0" applyFont="1"/>
    <xf numFmtId="37" fontId="0" fillId="17" borderId="0" xfId="0" applyNumberFormat="1" applyFill="1"/>
    <xf numFmtId="172" fontId="0" fillId="17" borderId="0" xfId="0" applyNumberFormat="1" applyFill="1"/>
    <xf numFmtId="172" fontId="21" fillId="17" borderId="0" xfId="0" applyNumberFormat="1" applyFont="1" applyFill="1"/>
    <xf numFmtId="0" fontId="15" fillId="0" borderId="33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36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0" fontId="27" fillId="0" borderId="29" xfId="1" applyFont="1" applyBorder="1" applyAlignment="1">
      <alignment horizontal="right"/>
    </xf>
    <xf numFmtId="0" fontId="27" fillId="0" borderId="0" xfId="1" applyFont="1" applyAlignment="1">
      <alignment horizontal="right"/>
    </xf>
    <xf numFmtId="0" fontId="27" fillId="0" borderId="24" xfId="1" applyFont="1" applyBorder="1" applyAlignment="1">
      <alignment horizontal="right"/>
    </xf>
    <xf numFmtId="0" fontId="27" fillId="0" borderId="26" xfId="1" applyFont="1" applyBorder="1" applyAlignment="1">
      <alignment horizontal="right"/>
    </xf>
    <xf numFmtId="0" fontId="29" fillId="0" borderId="13" xfId="0" applyFont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29" fillId="0" borderId="10" xfId="0" applyFont="1" applyBorder="1" applyAlignment="1">
      <alignment horizontal="center"/>
    </xf>
    <xf numFmtId="0" fontId="29" fillId="0" borderId="11" xfId="0" applyFont="1" applyBorder="1" applyAlignment="1">
      <alignment horizontal="center"/>
    </xf>
    <xf numFmtId="0" fontId="29" fillId="0" borderId="12" xfId="0" applyFont="1" applyBorder="1" applyAlignment="1">
      <alignment horizontal="center"/>
    </xf>
    <xf numFmtId="0" fontId="27" fillId="0" borderId="25" xfId="1" applyFont="1" applyBorder="1" applyAlignment="1">
      <alignment horizontal="right"/>
    </xf>
    <xf numFmtId="0" fontId="27" fillId="0" borderId="30" xfId="1" applyFont="1" applyBorder="1" applyAlignment="1">
      <alignment horizontal="right"/>
    </xf>
    <xf numFmtId="0" fontId="28" fillId="0" borderId="13" xfId="1" applyFont="1" applyBorder="1" applyAlignment="1">
      <alignment horizontal="center"/>
    </xf>
    <xf numFmtId="0" fontId="28" fillId="0" borderId="14" xfId="1" applyFont="1" applyBorder="1" applyAlignment="1">
      <alignment horizontal="center"/>
    </xf>
    <xf numFmtId="0" fontId="28" fillId="0" borderId="15" xfId="1" applyFont="1" applyBorder="1" applyAlignment="1">
      <alignment horizontal="center"/>
    </xf>
    <xf numFmtId="0" fontId="27" fillId="0" borderId="16" xfId="1" applyFont="1" applyBorder="1" applyAlignment="1">
      <alignment horizontal="right"/>
    </xf>
    <xf numFmtId="0" fontId="27" fillId="0" borderId="4" xfId="1" applyFont="1" applyBorder="1" applyAlignment="1">
      <alignment horizontal="right"/>
    </xf>
    <xf numFmtId="0" fontId="27" fillId="0" borderId="18" xfId="1" applyFont="1" applyBorder="1" applyAlignment="1">
      <alignment horizontal="center"/>
    </xf>
    <xf numFmtId="0" fontId="27" fillId="0" borderId="8" xfId="1" applyFont="1" applyBorder="1" applyAlignment="1">
      <alignment horizontal="center"/>
    </xf>
    <xf numFmtId="0" fontId="27" fillId="0" borderId="19" xfId="1" applyFont="1" applyBorder="1" applyAlignment="1">
      <alignment horizontal="right"/>
    </xf>
    <xf numFmtId="0" fontId="27" fillId="0" borderId="20" xfId="1" applyFont="1" applyBorder="1" applyAlignment="1">
      <alignment horizontal="right"/>
    </xf>
    <xf numFmtId="0" fontId="27" fillId="0" borderId="31" xfId="1" applyFont="1" applyBorder="1" applyAlignment="1">
      <alignment horizontal="right"/>
    </xf>
    <xf numFmtId="0" fontId="28" fillId="0" borderId="10" xfId="1" applyFont="1" applyBorder="1" applyAlignment="1">
      <alignment horizontal="center"/>
    </xf>
    <xf numFmtId="0" fontId="28" fillId="0" borderId="11" xfId="1" applyFont="1" applyBorder="1" applyAlignment="1">
      <alignment horizontal="center"/>
    </xf>
    <xf numFmtId="0" fontId="28" fillId="0" borderId="12" xfId="1" applyFont="1" applyBorder="1" applyAlignment="1">
      <alignment horizontal="center"/>
    </xf>
    <xf numFmtId="0" fontId="15" fillId="13" borderId="0" xfId="0" applyFont="1" applyFill="1" applyAlignment="1">
      <alignment horizontal="center" wrapText="1"/>
    </xf>
    <xf numFmtId="0" fontId="29" fillId="0" borderId="36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29" fillId="15" borderId="10" xfId="0" applyFont="1" applyFill="1" applyBorder="1" applyAlignment="1">
      <alignment horizontal="center"/>
    </xf>
    <xf numFmtId="0" fontId="29" fillId="15" borderId="11" xfId="0" applyFont="1" applyFill="1" applyBorder="1" applyAlignment="1">
      <alignment horizontal="center"/>
    </xf>
    <xf numFmtId="0" fontId="29" fillId="15" borderId="1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2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3" fillId="0" borderId="35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8" fillId="0" borderId="0" xfId="1" applyFont="1" applyAlignment="1">
      <alignment horizontal="center"/>
    </xf>
    <xf numFmtId="0" fontId="12" fillId="0" borderId="36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4" fillId="0" borderId="0" xfId="0" applyFont="1" applyAlignment="1">
      <alignment vertical="center"/>
    </xf>
    <xf numFmtId="0" fontId="34" fillId="0" borderId="35" xfId="0" applyFont="1" applyBorder="1" applyAlignment="1">
      <alignment horizontal="center" wrapText="1"/>
    </xf>
    <xf numFmtId="0" fontId="34" fillId="0" borderId="33" xfId="0" applyFont="1" applyBorder="1" applyAlignment="1">
      <alignment horizontal="center" wrapText="1"/>
    </xf>
    <xf numFmtId="0" fontId="34" fillId="0" borderId="21" xfId="0" applyFont="1" applyBorder="1" applyAlignment="1">
      <alignment horizontal="center" wrapText="1"/>
    </xf>
    <xf numFmtId="0" fontId="34" fillId="0" borderId="9" xfId="0" applyFont="1" applyBorder="1" applyAlignment="1">
      <alignment horizontal="center" wrapText="1"/>
    </xf>
    <xf numFmtId="0" fontId="12" fillId="0" borderId="36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34" fillId="0" borderId="35" xfId="0" applyFont="1" applyBorder="1" applyAlignment="1">
      <alignment horizontal="center"/>
    </xf>
    <xf numFmtId="0" fontId="34" fillId="0" borderId="20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29" fillId="14" borderId="31" xfId="0" applyFont="1" applyFill="1" applyBorder="1" applyAlignment="1">
      <alignment horizontal="center"/>
    </xf>
    <xf numFmtId="0" fontId="29" fillId="14" borderId="20" xfId="0" applyFont="1" applyFill="1" applyBorder="1" applyAlignment="1">
      <alignment horizontal="center"/>
    </xf>
    <xf numFmtId="0" fontId="28" fillId="0" borderId="0" xfId="1" applyFont="1" applyAlignment="1">
      <alignment horizontal="right"/>
    </xf>
    <xf numFmtId="0" fontId="36" fillId="0" borderId="7" xfId="0" applyFont="1" applyBorder="1" applyAlignment="1">
      <alignment horizontal="center"/>
    </xf>
    <xf numFmtId="0" fontId="46" fillId="0" borderId="0" xfId="20" applyFont="1" applyAlignment="1">
      <alignment horizontal="center"/>
    </xf>
    <xf numFmtId="17" fontId="15" fillId="0" borderId="0" xfId="6" quotePrefix="1" applyNumberFormat="1" applyFont="1" applyBorder="1" applyAlignment="1">
      <alignment horizontal="center"/>
    </xf>
    <xf numFmtId="17" fontId="15" fillId="0" borderId="0" xfId="6" applyNumberFormat="1" applyFont="1" applyBorder="1" applyAlignment="1">
      <alignment horizontal="center"/>
    </xf>
    <xf numFmtId="17" fontId="15" fillId="0" borderId="0" xfId="6" applyNumberFormat="1" applyFont="1" applyFill="1" applyBorder="1" applyAlignment="1">
      <alignment horizontal="center"/>
    </xf>
    <xf numFmtId="17" fontId="15" fillId="0" borderId="0" xfId="6" quotePrefix="1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14" fontId="14" fillId="0" borderId="7" xfId="20" quotePrefix="1" applyNumberFormat="1" applyFont="1" applyBorder="1" applyAlignment="1">
      <alignment horizontal="center"/>
    </xf>
    <xf numFmtId="49" fontId="14" fillId="0" borderId="7" xfId="20" quotePrefix="1" applyNumberFormat="1" applyFont="1" applyBorder="1" applyAlignment="1">
      <alignment horizontal="center"/>
    </xf>
    <xf numFmtId="0" fontId="14" fillId="0" borderId="7" xfId="20" quotePrefix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3" fillId="0" borderId="35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13" fillId="0" borderId="35" xfId="0" applyFont="1" applyBorder="1" applyAlignment="1">
      <alignment horizontal="center" wrapText="1"/>
    </xf>
    <xf numFmtId="0" fontId="13" fillId="0" borderId="33" xfId="0" applyFont="1" applyBorder="1" applyAlignment="1">
      <alignment horizontal="center" wrapText="1"/>
    </xf>
    <xf numFmtId="0" fontId="28" fillId="0" borderId="7" xfId="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42" fillId="0" borderId="29" xfId="1" applyFont="1" applyBorder="1" applyAlignment="1">
      <alignment horizontal="center" wrapText="1"/>
    </xf>
    <xf numFmtId="0" fontId="42" fillId="0" borderId="23" xfId="1" applyFont="1" applyBorder="1" applyAlignment="1">
      <alignment horizontal="center" wrapText="1"/>
    </xf>
    <xf numFmtId="17" fontId="15" fillId="0" borderId="0" xfId="6" quotePrefix="1" applyNumberFormat="1" applyFont="1" applyAlignment="1">
      <alignment horizontal="center"/>
    </xf>
    <xf numFmtId="17" fontId="15" fillId="0" borderId="0" xfId="6" applyNumberFormat="1" applyFont="1" applyAlignment="1">
      <alignment horizontal="center"/>
    </xf>
    <xf numFmtId="0" fontId="15" fillId="0" borderId="29" xfId="0" applyFont="1" applyBorder="1" applyAlignment="1">
      <alignment horizontal="center"/>
    </xf>
    <xf numFmtId="17" fontId="15" fillId="0" borderId="0" xfId="6" quotePrefix="1" applyNumberFormat="1" applyFont="1" applyFill="1" applyAlignment="1">
      <alignment horizontal="center"/>
    </xf>
    <xf numFmtId="17" fontId="15" fillId="0" borderId="0" xfId="6" applyNumberFormat="1" applyFont="1" applyFill="1" applyAlignment="1">
      <alignment horizontal="center"/>
    </xf>
    <xf numFmtId="0" fontId="46" fillId="0" borderId="0" xfId="0" applyFont="1" applyAlignment="1">
      <alignment horizontal="center"/>
    </xf>
    <xf numFmtId="192" fontId="15" fillId="0" borderId="0" xfId="0" applyNumberFormat="1" applyFont="1" applyFill="1"/>
    <xf numFmtId="0" fontId="15" fillId="0" borderId="0" xfId="0" applyFont="1" applyFill="1"/>
    <xf numFmtId="0" fontId="15" fillId="0" borderId="7" xfId="0" applyFont="1" applyFill="1" applyBorder="1"/>
  </cellXfs>
  <cellStyles count="72">
    <cellStyle name="_x0010_“+ˆÉ•?pý¤" xfId="56" xr:uid="{AAB2CC73-5E4D-4702-9A54-3B17F4170E9D}"/>
    <cellStyle name="Actual Date" xfId="2" xr:uid="{90A20703-E73F-4FFB-9D41-11B9B8598C31}"/>
    <cellStyle name="Actual Date 2" xfId="57" xr:uid="{5081DE82-2029-4827-9AF9-7B1AE9A73FE2}"/>
    <cellStyle name="Actual Date 2 2" xfId="63" xr:uid="{B67C9283-4392-474F-9FB5-5DBAB6F79502}"/>
    <cellStyle name="Comma" xfId="39" builtinId="3"/>
    <cellStyle name="Comma [0] 2" xfId="48" xr:uid="{162F856C-75E3-4868-B3AC-6EF06F17C4FC}"/>
    <cellStyle name="Comma 2" xfId="3" xr:uid="{A463B59C-A829-4CA9-983F-290777244053}"/>
    <cellStyle name="Comma 3" xfId="47" xr:uid="{0963D63D-5763-4CFE-AD42-240379CC31C8}"/>
    <cellStyle name="Comma 31 2" xfId="36" xr:uid="{6112A572-923D-4AF2-B44E-C0DB9129578D}"/>
    <cellStyle name="Comma 4" xfId="70" xr:uid="{472F506F-A02F-42B6-8D70-7BE8C1BA4F41}"/>
    <cellStyle name="Comma0" xfId="4" xr:uid="{BFA70494-24E7-4EB4-8245-3E92DE30AB79}"/>
    <cellStyle name="Currency" xfId="35" builtinId="4"/>
    <cellStyle name="Currency [0] 2" xfId="46" xr:uid="{70280F9D-97C7-42DD-9BF4-C98DADE21D70}"/>
    <cellStyle name="Currency 2" xfId="6" xr:uid="{C853109E-BA78-4949-AE6E-97FBB2C947A2}"/>
    <cellStyle name="Currency 3" xfId="5" xr:uid="{71193358-ACE2-4128-B76E-A894406DE180}"/>
    <cellStyle name="Currency 4" xfId="45" xr:uid="{B9EED9D9-BAA1-4E8B-B70D-8CFF8975C509}"/>
    <cellStyle name="Currency0" xfId="7" xr:uid="{11C847DE-D199-4798-B8A6-6DF371C1596F}"/>
    <cellStyle name="Date" xfId="8" xr:uid="{55B42165-9C35-400C-8039-99C32BF8F8D1}"/>
    <cellStyle name="Date 2" xfId="58" xr:uid="{8138A17D-8AFB-4CE2-A576-861FB754B1B2}"/>
    <cellStyle name="Fixed" xfId="9" xr:uid="{73C8C8B8-EF3A-48A3-A48A-A4A6A3CEB441}"/>
    <cellStyle name="Fixed 2" xfId="59" xr:uid="{BF0AF9AB-9D8D-48FC-AA77-6CCFE11077C5}"/>
    <cellStyle name="Grey" xfId="10" xr:uid="{B049FF98-EED1-44B0-B326-4132EA93C5E2}"/>
    <cellStyle name="Grey 2" xfId="49" xr:uid="{98622DFE-A551-469F-BD88-EF8AEE3B8ECA}"/>
    <cellStyle name="HEADER" xfId="11" xr:uid="{EADF02B1-8108-4E0E-9DB6-F65EA011F410}"/>
    <cellStyle name="Heading 1 2" xfId="12" xr:uid="{C958FC72-ADC5-4A1B-8837-26CC92340585}"/>
    <cellStyle name="Heading 2 2" xfId="13" xr:uid="{6C11C16C-14DA-433C-B90A-019D9D58FAA5}"/>
    <cellStyle name="Heading1" xfId="14" xr:uid="{D5CB65F7-622F-48D9-BDFE-EA5710CB06E5}"/>
    <cellStyle name="Heading2" xfId="15" xr:uid="{B6C120CA-23B0-46B6-A206-F21EFD627A0E}"/>
    <cellStyle name="HIGHLIGHT" xfId="16" xr:uid="{0FA977AC-6A13-4F7D-B4C6-304F02BAB7E6}"/>
    <cellStyle name="Hyperlink" xfId="71" builtinId="8"/>
    <cellStyle name="Hyperlink 3" xfId="67" xr:uid="{9A670481-784D-4386-8511-D541DD9F96EC}"/>
    <cellStyle name="Input [yellow]" xfId="17" xr:uid="{483402D1-6D66-4584-B91A-9EFB4E29CD72}"/>
    <cellStyle name="Input [yellow] 2" xfId="50" xr:uid="{3479EC4D-FA0C-44AD-BFB1-E5483485436F}"/>
    <cellStyle name="no dec" xfId="18" xr:uid="{1FFD3759-CFEB-431B-95E2-F9D56114D76C}"/>
    <cellStyle name="Normal" xfId="0" builtinId="0"/>
    <cellStyle name="Normal - Style1" xfId="19" xr:uid="{09AAD6A7-C83A-4809-BC97-D6D075635A0F}"/>
    <cellStyle name="Normal - Style1 2" xfId="51" xr:uid="{A36E7241-7D7A-446A-AE46-897B9848A8A7}"/>
    <cellStyle name="Normal 10" xfId="34" xr:uid="{11F0179F-876F-4C81-8782-FEAE6EA9A44F}"/>
    <cellStyle name="Normal 19" xfId="37" xr:uid="{2E801201-3018-4BBB-869B-19B0A8909CC2}"/>
    <cellStyle name="Normal 2" xfId="1" xr:uid="{FCF77B81-9A51-4CFC-8630-2394A24C8B4C}"/>
    <cellStyle name="Normal 2 10 10" xfId="61" xr:uid="{4110C643-72A2-48D0-AB32-72BED6862E98}"/>
    <cellStyle name="Normal 2 2" xfId="20" xr:uid="{768976F9-6BF3-4C64-A7A2-0699BE302438}"/>
    <cellStyle name="Normal 2 2 2" xfId="66" xr:uid="{AD042F41-ECEB-46F9-9972-79343188A2B9}"/>
    <cellStyle name="Normal 2 2 3" xfId="54" xr:uid="{F097BE2F-C1DF-4808-8B93-136DAFC079D0}"/>
    <cellStyle name="Normal 2 3" xfId="53" xr:uid="{7BDDD26F-CD0D-48AB-AB15-4F2082187FD0}"/>
    <cellStyle name="Normal 2 4" xfId="65" xr:uid="{CEE47971-2CB1-4289-BDA7-46AC65784E98}"/>
    <cellStyle name="Normal 208 5 8" xfId="68" xr:uid="{A46F6EA7-D736-4486-8200-CFEB70001B34}"/>
    <cellStyle name="Normal 3" xfId="21" xr:uid="{1BE115B0-68EE-409A-BE42-7964F3B2186B}"/>
    <cellStyle name="Normal 3 2" xfId="31" xr:uid="{EBD24680-6BB0-4648-B6FB-486BE3B05DA3}"/>
    <cellStyle name="Normal 4" xfId="38" xr:uid="{1BC7C7CD-A29E-49D5-ACE9-28B9AEC0F15E}"/>
    <cellStyle name="Normal 4 2" xfId="55" xr:uid="{294F292F-C751-4760-BBE6-DF7528BFFF64}"/>
    <cellStyle name="Normal 5" xfId="60" xr:uid="{50F6C0A5-95DF-447C-B0B3-342AF1735AC0}"/>
    <cellStyle name="Normal 5 2" xfId="64" xr:uid="{3C9418E6-6645-4025-85D2-2A2A59A4AF5D}"/>
    <cellStyle name="Normal 6" xfId="69" xr:uid="{EC59DD7F-761E-4AF5-936C-C2D6CAA1F3E2}"/>
    <cellStyle name="Normal 9" xfId="32" xr:uid="{74F7FB52-B68E-44BF-B225-318676247797}"/>
    <cellStyle name="Normal_Bill Impacts (UDC and EECC Rates)" xfId="62" xr:uid="{5176955C-BBC6-41AA-92A4-84F6FB4F7F58}"/>
    <cellStyle name="Normal_Effective Rates (1-6-2003)" xfId="41" xr:uid="{2BB44F1E-EE46-452C-B99F-141D84227AFB}"/>
    <cellStyle name="Normal_RD-WP(Combined 1-01-01 filing)" xfId="43" xr:uid="{BB5A44EF-4D99-404D-ABC9-E78DF42F5A40}"/>
    <cellStyle name="Normal_SDGE Tiered ratesmud" xfId="42" xr:uid="{292919E0-12A2-4E43-A1A2-4C24DB3B257A}"/>
    <cellStyle name="Percent" xfId="40" builtinId="5"/>
    <cellStyle name="Percent [2]" xfId="23" xr:uid="{E59307F2-F086-4441-9673-C73345619B92}"/>
    <cellStyle name="Percent 2" xfId="24" xr:uid="{53FD8FB0-DE16-440B-8091-1A5F721D0797}"/>
    <cellStyle name="Percent 3" xfId="25" xr:uid="{FD09ACED-468E-42F6-A1AA-5A76707CDC8A}"/>
    <cellStyle name="Percent 4" xfId="33" xr:uid="{75FC7505-8CA7-4DC6-AF7E-0A549648BDAB}"/>
    <cellStyle name="Percent 5" xfId="22" xr:uid="{FDA81B20-6FA8-49F6-A9CF-1116F234E27E}"/>
    <cellStyle name="Percent 6" xfId="44" xr:uid="{E63A8815-2CE5-4B23-BCD9-1050A93745E5}"/>
    <cellStyle name="Total 2" xfId="26" xr:uid="{B7044CB5-68EF-42DF-AE5D-9CDC42788CD9}"/>
    <cellStyle name="Unprot" xfId="27" xr:uid="{C5877B4C-C00B-4575-97C3-8AFFB3689A95}"/>
    <cellStyle name="Unprot 2" xfId="52" xr:uid="{C0BB8D62-0188-49C7-A43C-A149C87B528C}"/>
    <cellStyle name="Unprot$" xfId="28" xr:uid="{67D3E91F-4980-4407-9928-2E00A0F61904}"/>
    <cellStyle name="Unprot_07-2008 CSI Update v1.5 - FINAL" xfId="29" xr:uid="{12952277-79F8-44C2-A6A3-D712ABB4C91F}"/>
    <cellStyle name="Unprotect" xfId="30" xr:uid="{B510A288-A05D-40A2-AD64-2906F1437A0A}"/>
  </cellStyles>
  <dxfs count="1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00FF"/>
      <color rgb="FF66FFFF"/>
      <color rgb="FFFFE5FF"/>
      <color rgb="FFCCFFFF"/>
      <color rgb="FFCC99FF"/>
      <color rgb="FFEFE7FD"/>
      <color rgb="FFBDFFDE"/>
      <color rgb="FF99FFCC"/>
      <color rgb="FFAF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565694</xdr:colOff>
      <xdr:row>36</xdr:row>
      <xdr:rowOff>93254</xdr:rowOff>
    </xdr:from>
    <xdr:to>
      <xdr:col>10</xdr:col>
      <xdr:colOff>0</xdr:colOff>
      <xdr:row>40</xdr:row>
      <xdr:rowOff>99060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B44D9D3-5D50-ED68-E062-E58F210354D8}"/>
            </a:ext>
          </a:extLst>
        </xdr:cNvPr>
        <xdr:cNvSpPr txBox="1"/>
      </xdr:nvSpPr>
      <xdr:spPr>
        <a:xfrm>
          <a:off x="5793014" y="6829334"/>
          <a:ext cx="2101306" cy="737326"/>
        </a:xfrm>
        <a:prstGeom prst="rect">
          <a:avLst/>
        </a:prstGeom>
        <a:ln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section is used</a:t>
          </a:r>
          <a:r>
            <a:rPr lang="en-US" sz="1100" baseline="0"/>
            <a:t> only for "Summary" tab to help strip out MCAM</a:t>
          </a:r>
        </a:p>
        <a:p>
          <a:r>
            <a:rPr lang="en-US" sz="1100"/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6350</xdr:colOff>
      <xdr:row>9</xdr:row>
      <xdr:rowOff>0</xdr:rowOff>
    </xdr:from>
    <xdr:to>
      <xdr:col>5</xdr:col>
      <xdr:colOff>12700</xdr:colOff>
      <xdr:row>16</xdr:row>
      <xdr:rowOff>31750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2141E9F-9D49-7891-1F58-C2F7CD113892}"/>
            </a:ext>
          </a:extLst>
        </xdr:cNvPr>
        <xdr:cNvSpPr txBox="1"/>
      </xdr:nvSpPr>
      <xdr:spPr>
        <a:xfrm>
          <a:off x="2076450" y="1701800"/>
          <a:ext cx="10331450" cy="1320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</a:t>
          </a:r>
          <a:r>
            <a:rPr lang="en-US"/>
            <a:t>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Quarterly Tracker, as developed per the Affordability OIR and used across the California IOUs, performs high-level rate and bill calculation estimates which will not replicate rate or bill impacts that match SDG&amp;E’s modeling used for CPUC/FERC filings and implementation.</a:t>
          </a:r>
          <a:b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en-US"/>
          </a:b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</a:t>
          </a:r>
          <a:r>
            <a:rPr lang="en-US"/>
            <a:t>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Different rate components use simplified allocations that may not reflect actual revenue allocation and rate design.</a:t>
          </a:r>
          <a:r>
            <a:rPr lang="en-US"/>
            <a:t> </a:t>
          </a:r>
          <a:br>
            <a:rPr lang="en-US"/>
          </a:br>
          <a:br>
            <a:rPr lang="en-US"/>
          </a:b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US"/>
            <a:t>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Forecasts may be held constant in outer years if an application has not yet been filed requesting a change, but it is not expected to roll-off. For example, the ERRA Application forecasts for the current year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are held constant over the next four</a:t>
          </a:r>
          <a:r>
            <a:rPr 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years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will be updated as new ERRA Applications are filed.</a:t>
          </a:r>
          <a:r>
            <a:rPr lang="en-US"/>
            <a:t> </a:t>
          </a:r>
          <a:endParaRPr 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quino, Tiffany M" id="{133453DF-1F71-4814-8581-7203481819F6}" userId="S::TAquino@sdge.com::0451872c-4df9-4114-bc82-dfa2e8f4acf1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40" dT="2026-08-10T20:41:47.43" personId="{133453DF-1F71-4814-8581-7203481819F6}" id="{DB7BB103-B6D7-4378-9A5B-36C590B5DE07}">
    <text>Gray out?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9CD287D-82BD-48ED-9573-E17F1B5E57AD}">
  <we:reference id="wa200003693" version="1.0.4.0" store="en-US" storeType="OMEX"/>
  <we:alternateReferences>
    <we:reference id="WA200003693" version="1.0.4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AF090-DC05-4032-A329-22FBE41D9FF8}">
  <sheetPr>
    <tabColor rgb="FFCC99FF"/>
  </sheetPr>
  <dimension ref="A6:Y206"/>
  <sheetViews>
    <sheetView workbookViewId="0">
      <selection activeCell="I43" sqref="I43"/>
    </sheetView>
  </sheetViews>
  <sheetFormatPr defaultColWidth="9.140625" defaultRowHeight="15"/>
  <cols>
    <col min="1" max="1" width="3.5703125" style="6" customWidth="1"/>
    <col min="2" max="2" width="9.140625" style="6"/>
    <col min="3" max="3" width="12" style="6" customWidth="1"/>
    <col min="4" max="4" width="12.42578125" style="6" customWidth="1"/>
    <col min="5" max="5" width="11.42578125" style="6" customWidth="1"/>
    <col min="6" max="6" width="12.85546875" style="6" customWidth="1"/>
    <col min="7" max="7" width="13.5703125" style="6" customWidth="1"/>
    <col min="8" max="8" width="12.140625" style="6" customWidth="1"/>
    <col min="9" max="9" width="11" style="6" customWidth="1"/>
    <col min="10" max="10" width="15.140625" style="6" customWidth="1"/>
    <col min="11" max="11" width="16" style="6" customWidth="1"/>
    <col min="12" max="12" width="14" style="6" bestFit="1" customWidth="1"/>
    <col min="13" max="13" width="12.85546875" style="6" customWidth="1"/>
    <col min="14" max="14" width="11" style="6" customWidth="1"/>
    <col min="15" max="15" width="9.140625" style="6"/>
    <col min="16" max="16" width="11.5703125" style="6" customWidth="1"/>
    <col min="17" max="17" width="14.5703125" style="6" customWidth="1"/>
    <col min="18" max="18" width="12.5703125" style="6" customWidth="1"/>
    <col min="19" max="19" width="12.5703125" style="6" bestFit="1" customWidth="1"/>
    <col min="20" max="20" width="12.5703125" style="6" customWidth="1"/>
    <col min="21" max="21" width="12.42578125" style="6" bestFit="1" customWidth="1"/>
    <col min="22" max="22" width="10.85546875" style="6" bestFit="1" customWidth="1"/>
    <col min="23" max="24" width="9.140625" style="6"/>
    <col min="25" max="25" width="9.5703125" style="6" bestFit="1" customWidth="1"/>
    <col min="26" max="16384" width="9.140625" style="6"/>
  </cols>
  <sheetData>
    <row r="6" spans="1:25">
      <c r="B6" s="51"/>
      <c r="C6" s="40" t="s">
        <v>123</v>
      </c>
      <c r="D6"/>
      <c r="F6" s="722" t="s">
        <v>591</v>
      </c>
      <c r="H6" s="6" t="s">
        <v>561</v>
      </c>
      <c r="I6" s="720">
        <f>YEAR(F6)</f>
        <v>2026</v>
      </c>
    </row>
    <row r="7" spans="1:25">
      <c r="C7" s="40" t="s">
        <v>540</v>
      </c>
      <c r="F7" s="722" t="s">
        <v>546</v>
      </c>
      <c r="H7" s="6" t="s">
        <v>562</v>
      </c>
      <c r="I7" s="721" t="s">
        <v>557</v>
      </c>
      <c r="Q7"/>
    </row>
    <row r="9" spans="1:25">
      <c r="X9" s="110"/>
    </row>
    <row r="10" spans="1:25">
      <c r="A10" s="51"/>
      <c r="B10" s="631" t="s">
        <v>589</v>
      </c>
      <c r="C10" s="632"/>
      <c r="D10" s="632"/>
      <c r="E10" s="632"/>
      <c r="F10" s="632"/>
      <c r="G10" s="632"/>
      <c r="H10" s="632"/>
      <c r="I10" s="632"/>
      <c r="J10" s="632"/>
      <c r="K10" s="632"/>
      <c r="L10" s="632"/>
      <c r="M10" s="631"/>
      <c r="N10" s="632"/>
      <c r="O10" s="632"/>
      <c r="P10" s="632"/>
      <c r="Q10" s="632"/>
      <c r="R10" s="632"/>
      <c r="S10" s="632"/>
      <c r="T10" s="632"/>
      <c r="U10" s="632"/>
      <c r="V10" s="632"/>
      <c r="W10" s="632"/>
    </row>
    <row r="11" spans="1:25">
      <c r="A11" s="51"/>
      <c r="C11" s="614"/>
    </row>
    <row r="12" spans="1:25">
      <c r="A12" s="51"/>
      <c r="B12" s="664" t="s">
        <v>573</v>
      </c>
    </row>
    <row r="13" spans="1:25" ht="15.75">
      <c r="B13" s="110"/>
      <c r="C13" s="582"/>
      <c r="D13" s="47" t="s">
        <v>549</v>
      </c>
      <c r="E13" s="47" t="s">
        <v>372</v>
      </c>
      <c r="F13" s="47" t="s">
        <v>59</v>
      </c>
      <c r="G13" s="47" t="s">
        <v>550</v>
      </c>
      <c r="H13" s="47" t="s">
        <v>541</v>
      </c>
      <c r="I13" s="47" t="s">
        <v>14</v>
      </c>
      <c r="J13" s="47" t="s">
        <v>80</v>
      </c>
      <c r="K13" s="47" t="s">
        <v>542</v>
      </c>
      <c r="L13" s="47" t="s">
        <v>97</v>
      </c>
      <c r="M13" s="47" t="s">
        <v>78</v>
      </c>
      <c r="N13" s="47" t="s">
        <v>551</v>
      </c>
      <c r="O13" s="47" t="s">
        <v>552</v>
      </c>
      <c r="P13" s="47" t="s">
        <v>87</v>
      </c>
      <c r="Q13" s="47" t="s">
        <v>251</v>
      </c>
      <c r="R13" s="6" t="s">
        <v>543</v>
      </c>
      <c r="S13" s="83" t="s">
        <v>411</v>
      </c>
      <c r="T13" s="83"/>
    </row>
    <row r="14" spans="1:25" ht="15.75">
      <c r="B14" s="110"/>
      <c r="C14" s="6" t="s">
        <v>547</v>
      </c>
      <c r="D14" s="561">
        <v>0.40562961805994036</v>
      </c>
      <c r="E14" s="549">
        <v>0.19327545344183236</v>
      </c>
      <c r="F14" s="562">
        <v>0.39851332033456138</v>
      </c>
      <c r="G14" s="562">
        <v>0.43380194730347582</v>
      </c>
      <c r="H14" s="562">
        <v>0.93344443914738551</v>
      </c>
      <c r="I14" s="562">
        <v>0.40427529966097542</v>
      </c>
      <c r="J14" s="562">
        <v>0.37541894743899862</v>
      </c>
      <c r="K14" s="562">
        <v>0.35317862543158463</v>
      </c>
      <c r="L14" s="562">
        <v>0</v>
      </c>
      <c r="M14" s="562">
        <v>1</v>
      </c>
      <c r="N14" s="562">
        <v>0.45843322259296171</v>
      </c>
      <c r="O14" s="562">
        <v>0.36967490531701874</v>
      </c>
      <c r="P14" s="562">
        <v>0.31719974358085762</v>
      </c>
      <c r="Q14" s="563">
        <v>0.40762853661429477</v>
      </c>
      <c r="R14" s="551">
        <v>-49.36479961202253</v>
      </c>
      <c r="S14" s="633">
        <v>1E-3</v>
      </c>
      <c r="T14" s="634"/>
      <c r="Y14" s="610"/>
    </row>
    <row r="15" spans="1:25" ht="15.75">
      <c r="B15" s="110"/>
      <c r="C15" s="6" t="s">
        <v>548</v>
      </c>
      <c r="D15" s="564">
        <v>9.4935412349681253E-2</v>
      </c>
      <c r="E15" s="553">
        <v>0.13851677628572273</v>
      </c>
      <c r="F15" s="565">
        <v>9.002076412901687E-2</v>
      </c>
      <c r="G15" s="565">
        <v>0.12208945356504275</v>
      </c>
      <c r="H15" s="565">
        <v>6.2909197813374021E-2</v>
      </c>
      <c r="I15" s="565">
        <v>9.7731262849265088E-2</v>
      </c>
      <c r="J15" s="565">
        <v>9.3098457524424472E-2</v>
      </c>
      <c r="K15" s="565">
        <v>0.10452306935028721</v>
      </c>
      <c r="L15" s="565">
        <v>0</v>
      </c>
      <c r="M15" s="565">
        <v>0</v>
      </c>
      <c r="N15" s="565">
        <v>7.5893870433635352E-2</v>
      </c>
      <c r="O15" s="565">
        <v>0.11887857353730491</v>
      </c>
      <c r="P15" s="565">
        <v>0.10241745998007662</v>
      </c>
      <c r="Q15" s="566">
        <v>9.3965787626165045E-2</v>
      </c>
      <c r="Y15" s="610"/>
    </row>
    <row r="16" spans="1:25">
      <c r="B16" s="110"/>
      <c r="Y16" s="439"/>
    </row>
    <row r="17" spans="1:25">
      <c r="B17" s="612" t="str">
        <f>$I$7&amp;" FORECAST"</f>
        <v>2027 ERRA FORECAST</v>
      </c>
      <c r="Y17" s="439"/>
    </row>
    <row r="18" spans="1:25">
      <c r="B18" s="110"/>
      <c r="D18" s="47" t="s">
        <v>549</v>
      </c>
      <c r="E18" s="47" t="s">
        <v>372</v>
      </c>
      <c r="F18" s="47" t="s">
        <v>59</v>
      </c>
      <c r="G18" s="47" t="s">
        <v>550</v>
      </c>
      <c r="H18" s="47" t="s">
        <v>541</v>
      </c>
      <c r="I18" s="47" t="s">
        <v>14</v>
      </c>
      <c r="J18" s="47" t="s">
        <v>80</v>
      </c>
      <c r="K18" s="47" t="s">
        <v>542</v>
      </c>
      <c r="L18" s="47" t="s">
        <v>97</v>
      </c>
      <c r="M18" s="47" t="s">
        <v>78</v>
      </c>
      <c r="N18" s="47" t="s">
        <v>551</v>
      </c>
      <c r="O18" s="47" t="s">
        <v>552</v>
      </c>
      <c r="P18" s="47" t="s">
        <v>87</v>
      </c>
      <c r="Q18" s="47" t="s">
        <v>251</v>
      </c>
      <c r="R18" s="6" t="s">
        <v>543</v>
      </c>
      <c r="Y18" s="439"/>
    </row>
    <row r="19" spans="1:25" ht="15.75">
      <c r="B19" s="110"/>
      <c r="C19" s="6" t="s">
        <v>547</v>
      </c>
      <c r="D19" s="548">
        <v>0.44202475115697171</v>
      </c>
      <c r="E19" s="549">
        <v>0.19327545344183236</v>
      </c>
      <c r="F19" s="549">
        <v>0.40641042432297969</v>
      </c>
      <c r="G19" s="549">
        <v>0.44395927907969351</v>
      </c>
      <c r="H19" s="549">
        <v>0.93354209609417138</v>
      </c>
      <c r="I19" s="549">
        <v>0.41505810393659281</v>
      </c>
      <c r="J19" s="549">
        <v>0.38515733129766966</v>
      </c>
      <c r="K19" s="549">
        <v>0.36744260900642056</v>
      </c>
      <c r="L19" s="549">
        <v>0</v>
      </c>
      <c r="M19" s="549">
        <v>1</v>
      </c>
      <c r="N19" s="549">
        <v>0.46084548913967766</v>
      </c>
      <c r="O19" s="549">
        <v>0.38455103433060595</v>
      </c>
      <c r="P19" s="549">
        <v>0.32545723580989516</v>
      </c>
      <c r="Q19" s="550">
        <v>0.44458003527111079</v>
      </c>
      <c r="R19" s="551">
        <v>-45.431098379094358</v>
      </c>
      <c r="Y19" s="610"/>
    </row>
    <row r="20" spans="1:25" ht="15.75">
      <c r="B20" s="110"/>
      <c r="C20" s="6" t="s">
        <v>548</v>
      </c>
      <c r="D20" s="552">
        <v>9.8976081918249942E-2</v>
      </c>
      <c r="E20" s="553">
        <v>0.13851677628572273</v>
      </c>
      <c r="F20" s="553">
        <v>8.557224030651249E-2</v>
      </c>
      <c r="G20" s="553">
        <v>0.11910210032559836</v>
      </c>
      <c r="H20" s="553">
        <v>6.2796313220630465E-2</v>
      </c>
      <c r="I20" s="553">
        <v>9.3187706695315564E-2</v>
      </c>
      <c r="J20" s="553">
        <v>8.8706999606321335E-2</v>
      </c>
      <c r="K20" s="553">
        <v>0.10106825143001875</v>
      </c>
      <c r="L20" s="553">
        <v>0</v>
      </c>
      <c r="M20" s="553">
        <v>0</v>
      </c>
      <c r="N20" s="553">
        <v>7.3002115917940216E-2</v>
      </c>
      <c r="O20" s="553">
        <v>0.11293670736083332</v>
      </c>
      <c r="P20" s="553">
        <v>9.7949746237437268E-2</v>
      </c>
      <c r="Q20" s="554">
        <v>9.7887065616048916E-2</v>
      </c>
      <c r="Y20" s="610"/>
    </row>
    <row r="21" spans="1:25" ht="15.75">
      <c r="B21" s="110"/>
      <c r="E21" s="555"/>
      <c r="F21" s="555"/>
      <c r="G21" s="555"/>
      <c r="H21" s="555"/>
      <c r="I21" s="555"/>
      <c r="J21" s="555"/>
      <c r="K21" s="555"/>
      <c r="L21" s="555"/>
      <c r="M21" s="555"/>
      <c r="N21" s="555"/>
      <c r="O21" s="555"/>
      <c r="P21" s="555"/>
      <c r="Q21" s="555"/>
      <c r="R21" s="555"/>
      <c r="Y21" s="610"/>
    </row>
    <row r="22" spans="1:25" ht="15.75">
      <c r="B22" s="670" t="str">
        <f>F7</f>
        <v>6/1/2026</v>
      </c>
      <c r="C22" s="668" t="s">
        <v>585</v>
      </c>
      <c r="E22" s="555"/>
      <c r="F22" s="555"/>
      <c r="G22" s="555"/>
      <c r="H22" s="555"/>
      <c r="I22" s="555"/>
      <c r="J22" s="555"/>
      <c r="K22" s="555"/>
      <c r="L22" s="555"/>
      <c r="M22" s="555"/>
      <c r="N22" s="555"/>
      <c r="O22" s="555"/>
      <c r="P22" s="555"/>
      <c r="Q22" s="555"/>
      <c r="R22" s="555"/>
      <c r="Y22" s="610"/>
    </row>
    <row r="23" spans="1:25" ht="15.75">
      <c r="D23" s="6" t="s">
        <v>583</v>
      </c>
      <c r="E23" s="555"/>
      <c r="F23" s="555"/>
      <c r="G23" s="555"/>
      <c r="H23" s="555"/>
      <c r="I23" s="555"/>
      <c r="J23" s="555"/>
      <c r="K23" s="555"/>
      <c r="L23" s="555"/>
      <c r="M23" s="555"/>
      <c r="N23" s="555"/>
      <c r="O23" s="555"/>
      <c r="P23" s="555"/>
      <c r="Q23" s="555"/>
      <c r="R23" s="555"/>
      <c r="Y23" s="610"/>
    </row>
    <row r="24" spans="1:25" ht="15.75">
      <c r="C24" s="6" t="s">
        <v>547</v>
      </c>
      <c r="D24" s="662">
        <v>0.40762853661429477</v>
      </c>
      <c r="E24" s="555"/>
      <c r="F24" s="555"/>
      <c r="G24" s="555"/>
      <c r="H24" s="555"/>
      <c r="I24" s="555"/>
      <c r="J24" s="555"/>
      <c r="K24" s="555"/>
      <c r="L24" s="555"/>
      <c r="M24" s="555"/>
      <c r="N24" s="555"/>
      <c r="O24" s="555"/>
      <c r="P24" s="555"/>
      <c r="Q24" s="555"/>
      <c r="R24" s="555"/>
      <c r="Y24" s="610"/>
    </row>
    <row r="25" spans="1:25" ht="15.75">
      <c r="C25" s="6" t="s">
        <v>548</v>
      </c>
      <c r="D25" s="663">
        <v>9.3965787626165045E-2</v>
      </c>
      <c r="E25" s="555"/>
      <c r="F25" s="555"/>
      <c r="G25" s="555"/>
      <c r="H25" s="555"/>
      <c r="I25" s="555"/>
      <c r="J25" s="555"/>
      <c r="K25" s="555"/>
      <c r="L25" s="555"/>
      <c r="M25" s="555"/>
      <c r="N25" s="555"/>
      <c r="O25" s="555"/>
      <c r="P25" s="555"/>
      <c r="Q25" s="555"/>
      <c r="R25" s="555"/>
      <c r="Y25" s="610"/>
    </row>
    <row r="27" spans="1:25">
      <c r="A27" s="51"/>
      <c r="B27" s="631" t="s">
        <v>544</v>
      </c>
      <c r="C27" s="632"/>
      <c r="D27" s="632"/>
      <c r="E27" s="632"/>
      <c r="F27" s="632"/>
      <c r="G27" s="632"/>
      <c r="H27" s="632"/>
      <c r="I27" s="632"/>
      <c r="J27" s="632"/>
      <c r="K27" s="632"/>
      <c r="L27" s="632"/>
      <c r="M27" s="632"/>
      <c r="N27" s="632"/>
      <c r="O27" s="632"/>
      <c r="P27" s="632"/>
      <c r="Q27" s="632"/>
      <c r="R27" s="632"/>
      <c r="S27" s="635"/>
      <c r="T27" s="635"/>
      <c r="U27" s="635"/>
      <c r="V27" s="635"/>
    </row>
    <row r="28" spans="1:25">
      <c r="A28" s="51"/>
      <c r="D28" s="110"/>
    </row>
    <row r="29" spans="1:25">
      <c r="A29" s="51"/>
      <c r="D29" s="110"/>
    </row>
    <row r="30" spans="1:25">
      <c r="A30" s="51"/>
      <c r="D30" s="110" t="s">
        <v>553</v>
      </c>
      <c r="K30" s="581" t="str">
        <f>$I$7&amp;" Determinants"</f>
        <v>2027 ERRA Determinants</v>
      </c>
    </row>
    <row r="31" spans="1:25">
      <c r="E31" s="47" t="s">
        <v>147</v>
      </c>
      <c r="F31" s="47" t="s">
        <v>147</v>
      </c>
      <c r="G31" s="47" t="s">
        <v>168</v>
      </c>
      <c r="L31" s="47" t="s">
        <v>147</v>
      </c>
      <c r="M31" s="47" t="s">
        <v>147</v>
      </c>
      <c r="N31" s="47" t="s">
        <v>168</v>
      </c>
    </row>
    <row r="32" spans="1:25">
      <c r="E32" s="47" t="s">
        <v>554</v>
      </c>
      <c r="F32" s="47" t="s">
        <v>555</v>
      </c>
      <c r="G32" s="47" t="s">
        <v>554</v>
      </c>
      <c r="L32" s="47" t="s">
        <v>554</v>
      </c>
      <c r="M32" s="47" t="s">
        <v>555</v>
      </c>
      <c r="N32" s="47" t="s">
        <v>554</v>
      </c>
    </row>
    <row r="33" spans="2:25">
      <c r="D33" s="6" t="s">
        <v>556</v>
      </c>
      <c r="E33" s="568">
        <v>5529244.7570373612</v>
      </c>
      <c r="F33" s="569">
        <v>7311830.3174004499</v>
      </c>
      <c r="G33" s="570">
        <v>1313398.550759305</v>
      </c>
      <c r="K33" s="6" t="s">
        <v>556</v>
      </c>
      <c r="L33" s="568">
        <v>5701842.6252899971</v>
      </c>
      <c r="M33" s="569">
        <v>7567850.4838881912</v>
      </c>
      <c r="N33" s="570">
        <v>1354543.9616701207</v>
      </c>
      <c r="Y33" s="178"/>
    </row>
    <row r="34" spans="2:25">
      <c r="D34" s="6" t="s">
        <v>548</v>
      </c>
      <c r="E34" s="571">
        <v>1785282.6652098768</v>
      </c>
      <c r="F34" s="572">
        <v>1813227.9387441275</v>
      </c>
      <c r="G34" s="573">
        <v>344525.3993103329</v>
      </c>
      <c r="K34" s="6" t="s">
        <v>548</v>
      </c>
      <c r="L34" s="571">
        <v>1716028.948759289</v>
      </c>
      <c r="M34" s="572">
        <v>1742979.4407214243</v>
      </c>
      <c r="N34" s="573">
        <v>335262.7827021245</v>
      </c>
    </row>
    <row r="35" spans="2:25">
      <c r="D35" s="6" t="s">
        <v>147</v>
      </c>
      <c r="E35" s="574">
        <v>17431428.836032141</v>
      </c>
      <c r="F35" s="575">
        <v>19476455.216977414</v>
      </c>
      <c r="G35" s="576">
        <v>3218717.0926473755</v>
      </c>
      <c r="K35" s="6" t="s">
        <v>147</v>
      </c>
      <c r="L35" s="574">
        <v>17519483.354244851</v>
      </c>
      <c r="M35" s="575">
        <v>19648724.998666488</v>
      </c>
      <c r="N35" s="576">
        <v>3056061.0825226498</v>
      </c>
    </row>
    <row r="36" spans="2:25">
      <c r="E36" s="572"/>
      <c r="F36" s="572"/>
      <c r="G36" s="572"/>
      <c r="K36" s="572"/>
      <c r="L36" s="572"/>
      <c r="M36" s="572"/>
    </row>
    <row r="38" spans="2:25">
      <c r="D38" s="670" t="str">
        <f>F7</f>
        <v>6/1/2026</v>
      </c>
    </row>
    <row r="39" spans="2:25">
      <c r="D39" s="582"/>
      <c r="E39" s="47" t="s">
        <v>147</v>
      </c>
      <c r="F39" s="47" t="s">
        <v>147</v>
      </c>
      <c r="G39" s="47" t="s">
        <v>168</v>
      </c>
      <c r="L39" s="596" t="str">
        <f>F6</f>
        <v>8/1/2026</v>
      </c>
      <c r="M39" s="596" t="str">
        <f>F7</f>
        <v>6/1/2026</v>
      </c>
    </row>
    <row r="40" spans="2:25">
      <c r="D40" s="582"/>
      <c r="E40" s="47" t="s">
        <v>554</v>
      </c>
      <c r="F40" s="47" t="s">
        <v>555</v>
      </c>
      <c r="G40" s="47" t="s">
        <v>554</v>
      </c>
      <c r="M40" s="669" t="s">
        <v>584</v>
      </c>
    </row>
    <row r="41" spans="2:25">
      <c r="D41" s="6" t="s">
        <v>556</v>
      </c>
      <c r="E41" s="568">
        <v>5529244.7570373612</v>
      </c>
      <c r="F41" s="569">
        <v>7311830.3174004499</v>
      </c>
      <c r="G41" s="570">
        <v>1313398.550759305</v>
      </c>
      <c r="K41" s="665" t="s">
        <v>581</v>
      </c>
      <c r="L41" s="587">
        <v>331536.00539045094</v>
      </c>
      <c r="M41" s="724">
        <v>354094.65542911831</v>
      </c>
    </row>
    <row r="42" spans="2:25">
      <c r="D42" s="6" t="s">
        <v>548</v>
      </c>
      <c r="E42" s="571">
        <v>1785282.6652098768</v>
      </c>
      <c r="F42" s="572">
        <v>1813227.9387441275</v>
      </c>
      <c r="G42" s="573">
        <v>344525.3993103329</v>
      </c>
      <c r="K42" s="665" t="s">
        <v>372</v>
      </c>
      <c r="L42" s="725">
        <v>313.03090980522069</v>
      </c>
      <c r="M42" s="726">
        <v>313.03090980522069</v>
      </c>
    </row>
    <row r="43" spans="2:25">
      <c r="D43" s="6" t="s">
        <v>147</v>
      </c>
      <c r="E43" s="574">
        <v>17431428.836032141</v>
      </c>
      <c r="F43" s="575">
        <v>19476455.216977414</v>
      </c>
      <c r="G43" s="576">
        <v>3218717.0926473755</v>
      </c>
      <c r="K43" s="665" t="s">
        <v>582</v>
      </c>
      <c r="L43" s="727">
        <f>L41-L42</f>
        <v>331222.97448064573</v>
      </c>
      <c r="M43" s="728">
        <f>M41-M42</f>
        <v>353781.6245193131</v>
      </c>
    </row>
    <row r="46" spans="2:25">
      <c r="B46" s="631" t="s">
        <v>575</v>
      </c>
      <c r="C46" s="631"/>
      <c r="D46" s="631"/>
      <c r="E46" s="631"/>
      <c r="F46" s="631"/>
      <c r="G46" s="631"/>
      <c r="H46" s="631"/>
      <c r="I46" s="631"/>
      <c r="J46" s="631"/>
      <c r="K46" s="631"/>
      <c r="L46" s="631"/>
      <c r="M46" s="631"/>
      <c r="N46" s="631"/>
      <c r="O46" s="631"/>
      <c r="P46" s="631"/>
      <c r="Q46" s="631"/>
      <c r="R46" s="631"/>
      <c r="S46" s="631"/>
      <c r="T46" s="632"/>
      <c r="U46" s="632"/>
      <c r="V46" s="635"/>
    </row>
    <row r="47" spans="2:25">
      <c r="U47" s="635"/>
      <c r="V47" s="635"/>
    </row>
    <row r="48" spans="2:25">
      <c r="B48" s="734"/>
      <c r="U48" s="635"/>
      <c r="V48" s="635"/>
    </row>
    <row r="49" spans="2:22">
      <c r="B49" s="734"/>
      <c r="C49" s="714" t="s">
        <v>606</v>
      </c>
      <c r="D49" s="516"/>
      <c r="E49" s="516"/>
      <c r="F49" s="536"/>
      <c r="U49" s="635"/>
      <c r="V49" s="635"/>
    </row>
    <row r="50" spans="2:22">
      <c r="B50" s="734"/>
      <c r="C50" s="736"/>
      <c r="D50" s="133"/>
      <c r="E50" s="133"/>
      <c r="F50" s="356"/>
      <c r="U50" s="635"/>
      <c r="V50" s="635"/>
    </row>
    <row r="51" spans="2:22">
      <c r="B51" s="734"/>
      <c r="C51" s="331"/>
      <c r="D51" s="327" t="s">
        <v>607</v>
      </c>
      <c r="E51" s="327" t="s">
        <v>583</v>
      </c>
      <c r="F51" s="735"/>
      <c r="U51" s="635"/>
      <c r="V51" s="635"/>
    </row>
    <row r="52" spans="2:22">
      <c r="B52" s="734"/>
      <c r="C52" s="331"/>
      <c r="D52" s="557">
        <v>1.04155</v>
      </c>
      <c r="E52" s="557">
        <v>1.0159100000000001</v>
      </c>
      <c r="F52" s="735"/>
      <c r="U52" s="635"/>
      <c r="V52" s="635"/>
    </row>
    <row r="53" spans="2:22">
      <c r="C53" s="336"/>
      <c r="D53" s="133"/>
      <c r="E53" s="133"/>
      <c r="F53" s="537"/>
      <c r="U53" s="635"/>
      <c r="V53" s="635"/>
    </row>
    <row r="54" spans="2:22">
      <c r="U54" s="635"/>
      <c r="V54" s="635"/>
    </row>
    <row r="55" spans="2:22">
      <c r="C55" s="714" t="s">
        <v>558</v>
      </c>
      <c r="D55" s="516"/>
      <c r="E55" s="516"/>
      <c r="F55" s="516"/>
      <c r="G55" s="516"/>
      <c r="H55" s="516"/>
      <c r="I55" s="516"/>
      <c r="J55" s="516"/>
      <c r="K55" s="536"/>
      <c r="M55" s="714" t="s">
        <v>559</v>
      </c>
      <c r="N55" s="516"/>
      <c r="O55" s="516"/>
      <c r="P55" s="516"/>
      <c r="Q55" s="516"/>
      <c r="R55" s="516"/>
      <c r="S55" s="516"/>
      <c r="T55" s="516"/>
      <c r="U55" s="536"/>
    </row>
    <row r="56" spans="2:22">
      <c r="C56" s="331"/>
      <c r="K56" s="356"/>
      <c r="M56" s="331"/>
      <c r="U56" s="356"/>
    </row>
    <row r="57" spans="2:22">
      <c r="C57" s="331"/>
      <c r="D57" s="6" t="s">
        <v>425</v>
      </c>
      <c r="E57" s="129" t="s">
        <v>192</v>
      </c>
      <c r="F57" s="129" t="s">
        <v>193</v>
      </c>
      <c r="G57" s="129" t="s">
        <v>192</v>
      </c>
      <c r="H57" s="129" t="s">
        <v>193</v>
      </c>
      <c r="I57" s="789" t="s">
        <v>196</v>
      </c>
      <c r="J57" s="790"/>
      <c r="K57" s="356"/>
      <c r="M57" s="331"/>
      <c r="N57" s="126" t="s">
        <v>271</v>
      </c>
      <c r="O57" s="126"/>
      <c r="P57" s="126"/>
      <c r="R57" s="126" t="s">
        <v>272</v>
      </c>
      <c r="S57" s="126"/>
      <c r="T57" s="126"/>
      <c r="U57" s="356"/>
    </row>
    <row r="58" spans="2:22">
      <c r="C58" s="331"/>
      <c r="E58" s="792" t="s">
        <v>149</v>
      </c>
      <c r="F58" s="793"/>
      <c r="G58" s="792" t="s">
        <v>150</v>
      </c>
      <c r="H58" s="793"/>
      <c r="I58" s="47" t="s">
        <v>149</v>
      </c>
      <c r="J58" s="47" t="s">
        <v>150</v>
      </c>
      <c r="K58" s="356"/>
      <c r="M58" s="331"/>
      <c r="N58" s="133" t="s">
        <v>191</v>
      </c>
      <c r="O58" s="133" t="s">
        <v>192</v>
      </c>
      <c r="P58" s="133" t="s">
        <v>193</v>
      </c>
      <c r="R58" s="133" t="s">
        <v>191</v>
      </c>
      <c r="S58" s="133" t="s">
        <v>192</v>
      </c>
      <c r="T58" s="133" t="s">
        <v>193</v>
      </c>
      <c r="U58" s="356"/>
    </row>
    <row r="59" spans="2:22">
      <c r="C59" s="331"/>
      <c r="D59" s="567" t="s">
        <v>125</v>
      </c>
      <c r="E59" s="648">
        <v>334.36541599999998</v>
      </c>
      <c r="F59" s="648">
        <v>309.27334100000002</v>
      </c>
      <c r="G59" s="648">
        <v>329.33632999999998</v>
      </c>
      <c r="H59" s="648">
        <v>300.562815</v>
      </c>
      <c r="I59" s="715">
        <v>0.59302976011933228</v>
      </c>
      <c r="J59" s="715">
        <v>0.5004157582517873</v>
      </c>
      <c r="K59" s="356"/>
      <c r="M59" s="331"/>
      <c r="N59" s="6" t="s">
        <v>125</v>
      </c>
      <c r="O59" s="538">
        <v>351</v>
      </c>
      <c r="P59" s="538">
        <v>359</v>
      </c>
      <c r="R59" s="6" t="s">
        <v>125</v>
      </c>
      <c r="S59" s="538">
        <v>235</v>
      </c>
      <c r="T59" s="538">
        <v>343</v>
      </c>
      <c r="U59" s="356"/>
    </row>
    <row r="60" spans="2:22">
      <c r="C60" s="331"/>
      <c r="D60" s="567" t="s">
        <v>197</v>
      </c>
      <c r="E60" s="648">
        <v>370.89176200000003</v>
      </c>
      <c r="F60" s="648">
        <v>320.932299</v>
      </c>
      <c r="G60" s="648">
        <v>595.62742000000003</v>
      </c>
      <c r="H60" s="648">
        <v>535.42582900000002</v>
      </c>
      <c r="I60" s="715">
        <v>8.43340424866614E-3</v>
      </c>
      <c r="J60" s="715">
        <v>7.9450387872027576E-3</v>
      </c>
      <c r="K60" s="356"/>
      <c r="M60" s="331"/>
      <c r="N60" s="6" t="s">
        <v>197</v>
      </c>
      <c r="O60" s="538">
        <v>530</v>
      </c>
      <c r="P60" s="538">
        <v>503</v>
      </c>
      <c r="R60" s="6" t="s">
        <v>197</v>
      </c>
      <c r="S60" s="538">
        <v>593</v>
      </c>
      <c r="T60" s="538">
        <v>863</v>
      </c>
      <c r="U60" s="356"/>
    </row>
    <row r="61" spans="2:22">
      <c r="C61" s="331"/>
      <c r="D61" s="567" t="s">
        <v>198</v>
      </c>
      <c r="E61" s="648">
        <v>400.96965999999998</v>
      </c>
      <c r="F61" s="648">
        <v>153.73130499999999</v>
      </c>
      <c r="G61" s="648">
        <v>651.39212799999996</v>
      </c>
      <c r="H61" s="648">
        <v>320.86506100000003</v>
      </c>
      <c r="I61" s="715">
        <v>1.1233729911021911E-3</v>
      </c>
      <c r="J61" s="715">
        <v>1.5362774425797293E-3</v>
      </c>
      <c r="K61" s="356"/>
      <c r="M61" s="331"/>
      <c r="N61" s="6" t="s">
        <v>198</v>
      </c>
      <c r="O61" s="718">
        <v>620</v>
      </c>
      <c r="P61" s="538">
        <v>425</v>
      </c>
      <c r="R61" s="6" t="s">
        <v>198</v>
      </c>
      <c r="S61" s="718">
        <v>662</v>
      </c>
      <c r="T61" s="538">
        <v>667</v>
      </c>
      <c r="U61" s="356"/>
    </row>
    <row r="62" spans="2:22">
      <c r="C62" s="331"/>
      <c r="D62" s="567" t="s">
        <v>199</v>
      </c>
      <c r="E62" s="649">
        <v>325.12078600000001</v>
      </c>
      <c r="F62" s="649">
        <v>273.16046899999998</v>
      </c>
      <c r="G62" s="649">
        <v>427.16779600000001</v>
      </c>
      <c r="H62" s="649">
        <v>342.00768900000003</v>
      </c>
      <c r="I62" s="715">
        <v>0.39741346264089933</v>
      </c>
      <c r="J62" s="715">
        <v>0.49010292551843027</v>
      </c>
      <c r="K62" s="356"/>
      <c r="M62" s="331"/>
      <c r="N62" s="6" t="s">
        <v>199</v>
      </c>
      <c r="O62" s="538">
        <v>406</v>
      </c>
      <c r="P62" s="538">
        <v>374</v>
      </c>
      <c r="R62" s="6" t="s">
        <v>199</v>
      </c>
      <c r="S62" s="538">
        <v>341</v>
      </c>
      <c r="T62" s="538">
        <v>475</v>
      </c>
      <c r="U62" s="356"/>
    </row>
    <row r="63" spans="2:22">
      <c r="C63" s="331"/>
      <c r="K63" s="356"/>
      <c r="M63" s="331"/>
      <c r="O63" s="119"/>
      <c r="P63" s="119"/>
      <c r="T63" s="119"/>
      <c r="U63" s="356"/>
    </row>
    <row r="64" spans="2:22">
      <c r="C64" s="331"/>
      <c r="D64" s="6" t="s">
        <v>426</v>
      </c>
      <c r="E64" s="129" t="s">
        <v>192</v>
      </c>
      <c r="F64" s="129" t="s">
        <v>193</v>
      </c>
      <c r="G64" s="129" t="s">
        <v>192</v>
      </c>
      <c r="H64" s="129" t="s">
        <v>193</v>
      </c>
      <c r="I64" s="789" t="s">
        <v>196</v>
      </c>
      <c r="J64" s="790"/>
      <c r="K64" s="356"/>
      <c r="M64" s="331"/>
      <c r="N64" s="126" t="s">
        <v>267</v>
      </c>
      <c r="O64" s="126"/>
      <c r="P64" s="126"/>
      <c r="R64" s="126" t="s">
        <v>266</v>
      </c>
      <c r="S64" s="126"/>
      <c r="T64" s="126"/>
      <c r="U64" s="356"/>
    </row>
    <row r="65" spans="3:21">
      <c r="C65" s="331"/>
      <c r="E65" s="792" t="s">
        <v>149</v>
      </c>
      <c r="F65" s="793"/>
      <c r="G65" s="792" t="s">
        <v>150</v>
      </c>
      <c r="H65" s="793"/>
      <c r="I65" s="47" t="s">
        <v>149</v>
      </c>
      <c r="J65" s="47" t="s">
        <v>150</v>
      </c>
      <c r="K65" s="356"/>
      <c r="M65" s="331"/>
      <c r="N65" s="133" t="s">
        <v>191</v>
      </c>
      <c r="O65" s="133" t="s">
        <v>192</v>
      </c>
      <c r="P65" s="133" t="s">
        <v>193</v>
      </c>
      <c r="R65" s="133" t="s">
        <v>191</v>
      </c>
      <c r="S65" s="133" t="s">
        <v>192</v>
      </c>
      <c r="T65" s="133" t="s">
        <v>193</v>
      </c>
      <c r="U65" s="356"/>
    </row>
    <row r="66" spans="3:21">
      <c r="C66" s="331"/>
      <c r="D66" s="567" t="s">
        <v>125</v>
      </c>
      <c r="E66" s="648">
        <v>283.425005</v>
      </c>
      <c r="F66" s="648">
        <v>272.60744599999998</v>
      </c>
      <c r="G66" s="648">
        <v>293.30439200000001</v>
      </c>
      <c r="H66" s="648">
        <v>284.82109400000002</v>
      </c>
      <c r="I66" s="715">
        <v>0.58383763710758863</v>
      </c>
      <c r="J66" s="715">
        <v>0.44804334178157046</v>
      </c>
      <c r="K66" s="356"/>
      <c r="M66" s="331"/>
      <c r="N66" s="6" t="s">
        <v>125</v>
      </c>
      <c r="O66" s="538">
        <v>270</v>
      </c>
      <c r="P66" s="538">
        <v>276</v>
      </c>
      <c r="R66" s="6" t="s">
        <v>125</v>
      </c>
      <c r="S66" s="538">
        <v>181</v>
      </c>
      <c r="T66" s="538">
        <v>264</v>
      </c>
      <c r="U66" s="356"/>
    </row>
    <row r="67" spans="3:21">
      <c r="C67" s="331"/>
      <c r="D67" s="567" t="s">
        <v>197</v>
      </c>
      <c r="E67" s="648">
        <v>393.67990800000001</v>
      </c>
      <c r="F67" s="648">
        <v>457.21679599999999</v>
      </c>
      <c r="G67" s="648">
        <v>614.42968800000006</v>
      </c>
      <c r="H67" s="648">
        <v>691.41233199999999</v>
      </c>
      <c r="I67" s="715">
        <v>2.0596224598562734E-2</v>
      </c>
      <c r="J67" s="715">
        <v>1.4334875717906388E-2</v>
      </c>
      <c r="K67" s="356"/>
      <c r="M67" s="331"/>
      <c r="N67" s="6" t="s">
        <v>197</v>
      </c>
      <c r="O67" s="538">
        <v>408</v>
      </c>
      <c r="P67" s="538">
        <v>387</v>
      </c>
      <c r="R67" s="6" t="s">
        <v>197</v>
      </c>
      <c r="S67" s="538">
        <v>456</v>
      </c>
      <c r="T67" s="538">
        <v>664</v>
      </c>
      <c r="U67" s="356"/>
    </row>
    <row r="68" spans="3:21">
      <c r="C68" s="331"/>
      <c r="D68" s="567" t="s">
        <v>198</v>
      </c>
      <c r="E68" s="648">
        <v>347.61028700000003</v>
      </c>
      <c r="F68" s="648">
        <v>178.718932</v>
      </c>
      <c r="G68" s="648">
        <v>706.90564700000004</v>
      </c>
      <c r="H68" s="648">
        <v>394.63204200000001</v>
      </c>
      <c r="I68" s="715">
        <v>5.596052676821511E-3</v>
      </c>
      <c r="J68" s="715">
        <v>3.7086985839514496E-3</v>
      </c>
      <c r="K68" s="356"/>
      <c r="M68" s="331"/>
      <c r="N68" s="6" t="s">
        <v>198</v>
      </c>
      <c r="O68" s="718">
        <v>477</v>
      </c>
      <c r="P68" s="538">
        <v>327</v>
      </c>
      <c r="R68" s="6" t="s">
        <v>198</v>
      </c>
      <c r="S68" s="718">
        <v>509</v>
      </c>
      <c r="T68" s="538">
        <v>513</v>
      </c>
      <c r="U68" s="356"/>
    </row>
    <row r="69" spans="3:21">
      <c r="C69" s="331"/>
      <c r="D69" s="567" t="s">
        <v>199</v>
      </c>
      <c r="E69" s="649">
        <v>331.02294799999999</v>
      </c>
      <c r="F69" s="649">
        <v>327.76564100000002</v>
      </c>
      <c r="G69" s="649">
        <v>390.24194699999998</v>
      </c>
      <c r="H69" s="649">
        <v>346.22200400000003</v>
      </c>
      <c r="I69" s="715">
        <v>0.38997008561702712</v>
      </c>
      <c r="J69" s="715">
        <v>0.53391308391657177</v>
      </c>
      <c r="K69" s="356"/>
      <c r="M69" s="331"/>
      <c r="N69" s="6" t="s">
        <v>199</v>
      </c>
      <c r="O69" s="538">
        <v>312</v>
      </c>
      <c r="P69" s="538">
        <v>288</v>
      </c>
      <c r="R69" s="6" t="s">
        <v>199</v>
      </c>
      <c r="S69" s="538">
        <v>262</v>
      </c>
      <c r="T69" s="538">
        <v>365</v>
      </c>
      <c r="U69" s="356"/>
    </row>
    <row r="70" spans="3:21">
      <c r="C70" s="331"/>
      <c r="D70" s="567"/>
      <c r="E70" s="149"/>
      <c r="F70" s="149"/>
      <c r="G70" s="149"/>
      <c r="H70" s="149"/>
      <c r="I70" s="715"/>
      <c r="J70" s="715"/>
      <c r="K70" s="356"/>
      <c r="M70" s="331"/>
      <c r="O70" s="538"/>
      <c r="P70" s="538"/>
      <c r="S70" s="538"/>
      <c r="T70" s="538"/>
      <c r="U70" s="356"/>
    </row>
    <row r="71" spans="3:21">
      <c r="C71" s="331"/>
      <c r="D71" s="364"/>
      <c r="E71" s="364"/>
      <c r="F71" s="364"/>
      <c r="G71" s="364"/>
      <c r="H71" s="364"/>
      <c r="I71" s="364"/>
      <c r="J71" s="364"/>
      <c r="K71" s="356"/>
      <c r="M71" s="331"/>
      <c r="N71" s="364"/>
      <c r="O71" s="364"/>
      <c r="P71" s="538"/>
      <c r="S71" s="538"/>
      <c r="T71" s="538"/>
      <c r="U71" s="356"/>
    </row>
    <row r="72" spans="3:21">
      <c r="C72" s="331"/>
      <c r="D72" s="364"/>
      <c r="E72" s="364"/>
      <c r="F72" s="364"/>
      <c r="G72" s="364"/>
      <c r="H72" s="364"/>
      <c r="I72" s="364"/>
      <c r="J72" s="364"/>
      <c r="K72" s="356"/>
      <c r="M72" s="331"/>
      <c r="N72" s="364"/>
      <c r="O72" s="364"/>
      <c r="P72" s="538"/>
      <c r="S72" s="538"/>
      <c r="T72" s="538"/>
      <c r="U72" s="356"/>
    </row>
    <row r="73" spans="3:21">
      <c r="C73" s="331"/>
      <c r="D73" s="364"/>
      <c r="E73" s="364"/>
      <c r="F73" s="364"/>
      <c r="G73" s="364"/>
      <c r="H73" s="364"/>
      <c r="I73" s="364"/>
      <c r="J73" s="364"/>
      <c r="K73" s="356"/>
      <c r="M73" s="336"/>
      <c r="N73" s="693"/>
      <c r="O73" s="693"/>
      <c r="P73" s="719"/>
      <c r="Q73" s="719"/>
      <c r="R73" s="133"/>
      <c r="S73" s="719"/>
      <c r="T73" s="719"/>
      <c r="U73" s="537"/>
    </row>
    <row r="74" spans="3:21">
      <c r="C74" s="331"/>
      <c r="D74" s="364"/>
      <c r="E74" s="364"/>
      <c r="F74" s="364"/>
      <c r="G74" s="364"/>
      <c r="H74" s="364"/>
      <c r="I74" s="364"/>
      <c r="J74" s="364"/>
      <c r="K74" s="356"/>
      <c r="N74" s="364"/>
      <c r="O74" s="364"/>
      <c r="P74" s="538"/>
      <c r="Q74" s="538"/>
      <c r="R74" s="538"/>
      <c r="S74" s="538"/>
    </row>
    <row r="75" spans="3:21">
      <c r="C75" s="331"/>
      <c r="D75" s="364"/>
      <c r="E75" s="364"/>
      <c r="F75" s="364"/>
      <c r="G75" s="364"/>
      <c r="H75" s="364"/>
      <c r="I75" s="364"/>
      <c r="J75" s="364"/>
      <c r="K75" s="356"/>
      <c r="R75" s="538"/>
      <c r="S75" s="538"/>
    </row>
    <row r="76" spans="3:21">
      <c r="C76" s="331"/>
      <c r="D76" s="567"/>
      <c r="E76" s="149"/>
      <c r="F76" s="149"/>
      <c r="G76" s="149"/>
      <c r="H76" s="149"/>
      <c r="I76" s="715"/>
      <c r="J76" s="715"/>
      <c r="K76" s="356"/>
    </row>
    <row r="77" spans="3:21">
      <c r="C77" s="331"/>
      <c r="D77" s="354" t="s">
        <v>387</v>
      </c>
      <c r="E77" s="794" t="s">
        <v>192</v>
      </c>
      <c r="F77" s="795"/>
      <c r="G77" s="794" t="s">
        <v>193</v>
      </c>
      <c r="H77" s="795"/>
      <c r="I77" s="47" t="s">
        <v>568</v>
      </c>
      <c r="J77" s="47" t="s">
        <v>570</v>
      </c>
      <c r="K77" s="356"/>
    </row>
    <row r="78" spans="3:21">
      <c r="C78" s="331"/>
      <c r="D78" s="6" t="s">
        <v>389</v>
      </c>
      <c r="E78" s="327" t="s">
        <v>390</v>
      </c>
      <c r="F78" s="327" t="s">
        <v>391</v>
      </c>
      <c r="G78" s="327" t="s">
        <v>390</v>
      </c>
      <c r="H78" s="327" t="s">
        <v>391</v>
      </c>
      <c r="I78" s="259" t="s">
        <v>569</v>
      </c>
      <c r="J78" s="259" t="s">
        <v>571</v>
      </c>
      <c r="K78" s="356"/>
    </row>
    <row r="79" spans="3:21">
      <c r="C79" s="331"/>
      <c r="D79" s="6" t="s">
        <v>394</v>
      </c>
      <c r="E79" s="650">
        <v>155.26415030752301</v>
      </c>
      <c r="F79" s="650">
        <v>818.50720363973301</v>
      </c>
      <c r="G79" s="650">
        <v>149.84836849896999</v>
      </c>
      <c r="H79" s="650">
        <v>778.46741210596599</v>
      </c>
      <c r="I79" s="594">
        <v>0.5490840118430792</v>
      </c>
      <c r="J79" s="595">
        <v>4.2966256634931304</v>
      </c>
      <c r="K79" s="356"/>
    </row>
    <row r="80" spans="3:21">
      <c r="C80" s="331"/>
      <c r="D80" s="6" t="s">
        <v>395</v>
      </c>
      <c r="E80" s="651">
        <v>179.56444444444401</v>
      </c>
      <c r="F80" s="651">
        <v>948.39886792452796</v>
      </c>
      <c r="G80" s="651">
        <v>141.06277328541401</v>
      </c>
      <c r="H80" s="651">
        <v>810.51623240491097</v>
      </c>
      <c r="I80" s="594">
        <v>0.22066987416728348</v>
      </c>
      <c r="J80" s="595">
        <v>6.5895195667365396</v>
      </c>
      <c r="K80" s="356"/>
    </row>
    <row r="81" spans="2:22">
      <c r="C81" s="331"/>
      <c r="D81" s="6" t="s">
        <v>396</v>
      </c>
      <c r="E81" s="652">
        <v>550.87936507936502</v>
      </c>
      <c r="F81" s="652">
        <v>2425.57355836849</v>
      </c>
      <c r="G81" s="652">
        <v>441.43732598524599</v>
      </c>
      <c r="H81" s="652">
        <v>1989.22549441717</v>
      </c>
      <c r="I81" s="594">
        <v>0.23024611398963732</v>
      </c>
      <c r="J81" s="595">
        <v>9.3798992030004609</v>
      </c>
      <c r="K81" s="356"/>
    </row>
    <row r="82" spans="2:22">
      <c r="C82" s="331"/>
      <c r="D82" s="567"/>
      <c r="E82" s="364"/>
      <c r="F82" s="364"/>
      <c r="G82" s="364"/>
      <c r="H82" s="364"/>
      <c r="I82" s="364"/>
      <c r="J82" s="364"/>
      <c r="K82" s="356"/>
    </row>
    <row r="83" spans="2:22">
      <c r="C83" s="331"/>
      <c r="D83" s="364"/>
      <c r="E83" s="364"/>
      <c r="F83" s="364"/>
      <c r="G83" s="364"/>
      <c r="H83" s="364"/>
      <c r="I83" s="364"/>
      <c r="J83" s="364"/>
      <c r="K83" s="356"/>
    </row>
    <row r="84" spans="2:22">
      <c r="C84" s="336"/>
      <c r="D84" s="133"/>
      <c r="E84" s="133"/>
      <c r="F84" s="716"/>
      <c r="G84" s="716"/>
      <c r="H84" s="716"/>
      <c r="I84" s="717"/>
      <c r="J84" s="717"/>
      <c r="K84" s="537"/>
    </row>
    <row r="85" spans="2:22">
      <c r="D85" s="567"/>
      <c r="E85" s="149"/>
      <c r="F85" s="149"/>
      <c r="G85" s="149"/>
      <c r="H85" s="149"/>
      <c r="I85" s="547"/>
      <c r="J85" s="547"/>
      <c r="M85" s="538"/>
      <c r="N85" s="538"/>
      <c r="P85" s="538"/>
      <c r="Q85" s="538"/>
    </row>
    <row r="87" spans="2:22">
      <c r="B87" s="631" t="s">
        <v>560</v>
      </c>
      <c r="C87" s="631"/>
      <c r="D87" s="631"/>
      <c r="E87" s="631"/>
      <c r="F87" s="631"/>
      <c r="G87" s="631"/>
      <c r="H87" s="631"/>
      <c r="I87" s="631"/>
      <c r="J87" s="631"/>
      <c r="K87" s="631"/>
      <c r="L87" s="631"/>
      <c r="Q87" s="635"/>
      <c r="R87" s="635"/>
      <c r="S87" s="635"/>
      <c r="T87" s="635"/>
      <c r="U87" s="635"/>
      <c r="V87" s="635"/>
    </row>
    <row r="88" spans="2:22">
      <c r="Q88" s="635"/>
      <c r="R88" s="635"/>
      <c r="S88" s="635"/>
      <c r="T88" s="635"/>
      <c r="U88" s="635"/>
      <c r="V88" s="635"/>
    </row>
    <row r="89" spans="2:22" ht="15.75">
      <c r="D89" s="3"/>
      <c r="E89" s="1"/>
      <c r="F89" s="44"/>
      <c r="G89" s="44"/>
    </row>
    <row r="90" spans="2:22" ht="15.75">
      <c r="C90" s="515"/>
      <c r="D90" s="516"/>
      <c r="E90" s="699"/>
      <c r="F90" s="700"/>
      <c r="G90" s="701"/>
      <c r="H90" s="701"/>
      <c r="I90" s="516"/>
      <c r="J90" s="516"/>
      <c r="K90" s="516"/>
      <c r="L90" s="536"/>
    </row>
    <row r="91" spans="2:22" ht="15.75">
      <c r="C91" s="331"/>
      <c r="D91" s="579" t="s">
        <v>443</v>
      </c>
      <c r="E91" s="3"/>
      <c r="F91" s="1"/>
      <c r="G91" s="44"/>
      <c r="H91" s="44"/>
      <c r="L91" s="356"/>
    </row>
    <row r="92" spans="2:22" ht="15.75">
      <c r="C92" s="331"/>
      <c r="D92" s="20"/>
      <c r="E92" s="421" t="s">
        <v>147</v>
      </c>
      <c r="F92" s="702" t="s">
        <v>587</v>
      </c>
      <c r="G92" s="6" t="s">
        <v>586</v>
      </c>
      <c r="L92" s="356"/>
    </row>
    <row r="93" spans="2:22" ht="15.75">
      <c r="C93" s="331"/>
      <c r="D93" s="20" t="s">
        <v>442</v>
      </c>
      <c r="E93" s="625">
        <v>247741.44483236791</v>
      </c>
      <c r="F93" s="626">
        <v>0.84203112736209895</v>
      </c>
      <c r="G93" s="621">
        <v>2.9372641704313498E-2</v>
      </c>
      <c r="J93" s="51" t="s">
        <v>572</v>
      </c>
      <c r="K93" s="606">
        <v>1427523211.5190728</v>
      </c>
      <c r="L93" s="356"/>
    </row>
    <row r="94" spans="2:22" ht="15.75">
      <c r="C94" s="331"/>
      <c r="D94" s="703" t="s">
        <v>174</v>
      </c>
      <c r="E94" s="627">
        <v>248403.2754305687</v>
      </c>
      <c r="F94" s="628">
        <v>0.84283112281823169</v>
      </c>
      <c r="G94" s="622">
        <v>2.902721154639145E-2</v>
      </c>
      <c r="J94" s="51" t="s">
        <v>478</v>
      </c>
      <c r="K94" s="607">
        <v>7311830317.4004517</v>
      </c>
      <c r="L94" s="356"/>
    </row>
    <row r="95" spans="2:22" ht="15.75">
      <c r="C95" s="331"/>
      <c r="D95" s="703"/>
      <c r="E95" s="578"/>
      <c r="F95" s="624"/>
      <c r="G95" s="624"/>
      <c r="I95" s="318"/>
      <c r="J95" s="608" t="s">
        <v>229</v>
      </c>
      <c r="K95" s="609">
        <f>K93/K94</f>
        <v>0.19523472913777831</v>
      </c>
      <c r="L95" s="356"/>
    </row>
    <row r="96" spans="2:22" ht="15.75">
      <c r="C96" s="331"/>
      <c r="D96" s="703"/>
      <c r="E96" s="703"/>
      <c r="F96" s="703"/>
      <c r="G96" s="703"/>
      <c r="L96" s="356"/>
    </row>
    <row r="97" spans="2:21" ht="15.75">
      <c r="C97" s="331"/>
      <c r="D97" s="703"/>
      <c r="E97" s="703"/>
      <c r="F97" s="703"/>
      <c r="G97" s="703"/>
      <c r="J97" s="703"/>
      <c r="K97" s="703"/>
      <c r="L97" s="704"/>
    </row>
    <row r="98" spans="2:21" ht="15.75">
      <c r="C98" s="336"/>
      <c r="D98" s="693"/>
      <c r="E98" s="133"/>
      <c r="F98" s="133"/>
      <c r="G98" s="133"/>
      <c r="H98" s="133"/>
      <c r="I98" s="133"/>
      <c r="J98" s="705"/>
      <c r="K98" s="706"/>
      <c r="L98" s="707"/>
    </row>
    <row r="99" spans="2:21" ht="15.75">
      <c r="D99" s="364"/>
      <c r="J99" s="202"/>
      <c r="K99" s="630"/>
      <c r="L99" s="630"/>
    </row>
    <row r="100" spans="2:21" ht="15.75">
      <c r="D100" s="364"/>
      <c r="J100" s="202"/>
      <c r="K100" s="630"/>
      <c r="L100" s="630"/>
    </row>
    <row r="101" spans="2:21" ht="15.75">
      <c r="C101" s="515"/>
      <c r="D101" s="708"/>
      <c r="E101" s="516"/>
      <c r="F101" s="516"/>
      <c r="G101" s="516"/>
      <c r="H101" s="516"/>
      <c r="I101" s="516"/>
      <c r="J101" s="709"/>
      <c r="K101" s="710"/>
      <c r="L101" s="711"/>
    </row>
    <row r="102" spans="2:21" ht="15.75">
      <c r="C102" s="331"/>
      <c r="D102" s="110" t="s">
        <v>588</v>
      </c>
      <c r="I102" s="44"/>
      <c r="J102" s="1"/>
      <c r="K102" s="712" t="s">
        <v>154</v>
      </c>
      <c r="L102" s="704"/>
    </row>
    <row r="103" spans="2:21" ht="15.75">
      <c r="C103" s="331"/>
      <c r="D103" s="364"/>
      <c r="E103" s="6" t="s">
        <v>442</v>
      </c>
      <c r="F103" s="666">
        <v>0.19523472913777831</v>
      </c>
      <c r="J103" s="352" t="s">
        <v>441</v>
      </c>
      <c r="K103" s="671">
        <v>0.35</v>
      </c>
      <c r="L103" s="704"/>
    </row>
    <row r="104" spans="2:21" ht="15.75">
      <c r="C104" s="331"/>
      <c r="D104" s="364"/>
      <c r="E104" s="6" t="s">
        <v>174</v>
      </c>
      <c r="F104" s="667">
        <v>0.19523472913777831</v>
      </c>
      <c r="J104" s="352" t="s">
        <v>213</v>
      </c>
      <c r="K104" s="672">
        <v>0.32778680848344788</v>
      </c>
      <c r="L104" s="704"/>
    </row>
    <row r="105" spans="2:21" ht="15.75">
      <c r="C105" s="331"/>
      <c r="D105" s="623"/>
      <c r="J105" s="352"/>
      <c r="K105" s="629"/>
      <c r="L105" s="704"/>
    </row>
    <row r="106" spans="2:21" ht="15.75">
      <c r="C106" s="331"/>
      <c r="D106" s="623"/>
      <c r="E106" s="623"/>
      <c r="F106" s="623"/>
      <c r="G106" s="623"/>
      <c r="H106" s="623"/>
      <c r="I106" s="623"/>
      <c r="J106" s="623"/>
      <c r="K106" s="623"/>
      <c r="L106" s="704"/>
    </row>
    <row r="107" spans="2:21" ht="15.75">
      <c r="C107" s="336"/>
      <c r="D107" s="713"/>
      <c r="E107" s="693"/>
      <c r="F107" s="693"/>
      <c r="G107" s="693"/>
      <c r="H107" s="133"/>
      <c r="I107" s="133"/>
      <c r="J107" s="693"/>
      <c r="K107" s="693"/>
      <c r="L107" s="707"/>
    </row>
    <row r="108" spans="2:21" ht="15.75">
      <c r="C108" s="623"/>
      <c r="I108" s="202"/>
      <c r="J108" s="630"/>
      <c r="K108" s="630"/>
    </row>
    <row r="109" spans="2:21">
      <c r="B109" s="631" t="s">
        <v>580</v>
      </c>
      <c r="C109" s="631"/>
      <c r="D109" s="631"/>
      <c r="E109" s="631"/>
      <c r="F109" s="631"/>
      <c r="G109" s="631"/>
      <c r="H109" s="631"/>
      <c r="I109" s="631"/>
      <c r="J109" s="631"/>
      <c r="K109" s="631"/>
      <c r="L109" s="631"/>
      <c r="M109" s="631"/>
      <c r="N109" s="631"/>
      <c r="O109" s="631"/>
      <c r="P109" s="631"/>
      <c r="Q109" s="631"/>
      <c r="R109" s="631"/>
      <c r="S109" s="631"/>
      <c r="T109" s="631"/>
      <c r="U109" s="631"/>
    </row>
    <row r="110" spans="2:21">
      <c r="B110" s="623"/>
    </row>
    <row r="111" spans="2:21">
      <c r="B111" s="110"/>
    </row>
    <row r="112" spans="2:21">
      <c r="B112" s="110" t="s">
        <v>545</v>
      </c>
      <c r="C112" s="110"/>
    </row>
    <row r="113" spans="2:21" ht="8.25" customHeight="1">
      <c r="B113" s="110"/>
      <c r="C113" s="110"/>
    </row>
    <row r="114" spans="2:21">
      <c r="B114" s="110"/>
      <c r="C114" s="515"/>
      <c r="D114" s="516"/>
      <c r="E114" s="516"/>
      <c r="F114" s="516"/>
      <c r="G114" s="516"/>
      <c r="H114" s="516"/>
      <c r="I114" s="516"/>
      <c r="J114" s="516"/>
      <c r="K114" s="516"/>
      <c r="L114" s="516"/>
      <c r="M114" s="516"/>
      <c r="N114" s="516"/>
      <c r="O114" s="516"/>
      <c r="P114" s="516"/>
      <c r="Q114" s="516"/>
      <c r="R114" s="516"/>
      <c r="S114" s="516"/>
      <c r="T114" s="516"/>
      <c r="U114" s="536"/>
    </row>
    <row r="115" spans="2:21">
      <c r="C115" s="331"/>
      <c r="D115" s="52"/>
      <c r="E115" s="580" t="str">
        <f>$F$7</f>
        <v>6/1/2026</v>
      </c>
      <c r="F115" s="580" t="str">
        <f>$F$6</f>
        <v>8/1/2026</v>
      </c>
      <c r="G115" s="580" t="str">
        <f>$F$7</f>
        <v>6/1/2026</v>
      </c>
      <c r="H115" s="580" t="str">
        <f>$F$6</f>
        <v>8/1/2026</v>
      </c>
      <c r="U115" s="356"/>
    </row>
    <row r="116" spans="2:21">
      <c r="C116" s="331"/>
      <c r="D116" s="52"/>
      <c r="E116" s="791" t="s">
        <v>421</v>
      </c>
      <c r="F116" s="791"/>
      <c r="G116" s="791" t="s">
        <v>420</v>
      </c>
      <c r="H116" s="791"/>
      <c r="U116" s="356"/>
    </row>
    <row r="117" spans="2:21">
      <c r="C117" s="331"/>
      <c r="D117" s="52" t="s">
        <v>145</v>
      </c>
      <c r="E117" s="556">
        <v>42.963999999999999</v>
      </c>
      <c r="F117" s="557">
        <v>43.132000000000005</v>
      </c>
      <c r="G117" s="559">
        <v>45.481000000000002</v>
      </c>
      <c r="H117" s="557">
        <v>45.649000000000001</v>
      </c>
      <c r="U117" s="356"/>
    </row>
    <row r="118" spans="2:21">
      <c r="C118" s="331"/>
      <c r="D118" s="52" t="s">
        <v>378</v>
      </c>
      <c r="E118" s="558">
        <v>39.82</v>
      </c>
      <c r="F118" s="559">
        <v>39.977999999999994</v>
      </c>
      <c r="G118" s="559">
        <v>40.344999999999999</v>
      </c>
      <c r="H118" s="559">
        <v>40.503</v>
      </c>
      <c r="U118" s="356"/>
    </row>
    <row r="119" spans="2:21">
      <c r="C119" s="331"/>
      <c r="D119" s="52" t="s">
        <v>161</v>
      </c>
      <c r="E119" s="558">
        <v>38.957000000000001</v>
      </c>
      <c r="F119" s="557">
        <v>39.259</v>
      </c>
      <c r="G119" s="557">
        <v>39.811999999999998</v>
      </c>
      <c r="H119" s="557">
        <v>40.114000000000004</v>
      </c>
      <c r="U119" s="356"/>
    </row>
    <row r="120" spans="2:21">
      <c r="C120" s="331"/>
      <c r="E120" s="583"/>
      <c r="F120" s="584"/>
      <c r="G120" s="584"/>
      <c r="H120" s="584"/>
      <c r="U120" s="356"/>
    </row>
    <row r="121" spans="2:21">
      <c r="C121" s="331"/>
      <c r="D121" s="696"/>
      <c r="E121" s="583"/>
      <c r="F121" s="584"/>
      <c r="G121" s="584"/>
      <c r="H121" s="584"/>
      <c r="U121" s="356"/>
    </row>
    <row r="122" spans="2:21">
      <c r="C122" s="331"/>
      <c r="E122" s="583"/>
      <c r="F122" s="584"/>
      <c r="G122" s="584"/>
      <c r="H122" s="584"/>
      <c r="U122" s="356"/>
    </row>
    <row r="123" spans="2:21" ht="30">
      <c r="C123" s="331"/>
      <c r="D123" s="110" t="s">
        <v>3</v>
      </c>
      <c r="E123" s="111" t="s">
        <v>59</v>
      </c>
      <c r="F123" s="111" t="s">
        <v>5</v>
      </c>
      <c r="G123" s="111" t="s">
        <v>541</v>
      </c>
      <c r="H123" s="111" t="s">
        <v>14</v>
      </c>
      <c r="I123" s="111" t="s">
        <v>80</v>
      </c>
      <c r="J123" s="111" t="s">
        <v>542</v>
      </c>
      <c r="K123" s="111" t="s">
        <v>97</v>
      </c>
      <c r="L123" s="111" t="s">
        <v>78</v>
      </c>
      <c r="M123" s="111" t="s">
        <v>10</v>
      </c>
      <c r="N123" s="111" t="s">
        <v>552</v>
      </c>
      <c r="O123" s="111" t="s">
        <v>87</v>
      </c>
      <c r="U123" s="356"/>
    </row>
    <row r="124" spans="2:21" ht="15.75">
      <c r="C124" s="331" t="s">
        <v>547</v>
      </c>
      <c r="D124" s="673">
        <v>18.085000000000001</v>
      </c>
      <c r="E124" s="674">
        <v>1.2350000000000001</v>
      </c>
      <c r="F124" s="674">
        <v>15.692</v>
      </c>
      <c r="G124" s="674">
        <v>-2.5169999999999999</v>
      </c>
      <c r="H124" s="674">
        <v>-7.0000000000000001E-3</v>
      </c>
      <c r="I124" s="674">
        <v>0</v>
      </c>
      <c r="J124" s="674">
        <v>1.6759999999999999</v>
      </c>
      <c r="K124" s="674">
        <v>0</v>
      </c>
      <c r="L124" s="674">
        <v>0</v>
      </c>
      <c r="M124" s="674">
        <v>8.5150000000000006</v>
      </c>
      <c r="N124" s="674">
        <v>0.44800000000000001</v>
      </c>
      <c r="O124" s="675">
        <v>5.0000000000000001E-3</v>
      </c>
      <c r="U124" s="356"/>
    </row>
    <row r="125" spans="2:21" ht="15.75">
      <c r="C125" s="331" t="s">
        <v>548</v>
      </c>
      <c r="D125" s="676">
        <v>16.135999999999999</v>
      </c>
      <c r="E125" s="677">
        <v>0.86399999999999999</v>
      </c>
      <c r="F125" s="677">
        <v>16.559000000000001</v>
      </c>
      <c r="G125" s="677">
        <v>-0.52500000000000002</v>
      </c>
      <c r="H125" s="677">
        <v>-7.0000000000000001E-3</v>
      </c>
      <c r="I125" s="677">
        <v>0</v>
      </c>
      <c r="J125" s="677">
        <v>2</v>
      </c>
      <c r="K125" s="677">
        <v>0</v>
      </c>
      <c r="L125" s="677">
        <v>0</v>
      </c>
      <c r="M125" s="677">
        <v>4.3659999999999997</v>
      </c>
      <c r="N125" s="677">
        <v>0.57999999999999996</v>
      </c>
      <c r="O125" s="678">
        <v>5.0000000000000001E-3</v>
      </c>
      <c r="U125" s="356"/>
    </row>
    <row r="126" spans="2:21" ht="15.75">
      <c r="C126" s="331" t="s">
        <v>147</v>
      </c>
      <c r="D126" s="679">
        <v>18.193000000000001</v>
      </c>
      <c r="E126" s="680">
        <v>0.98299999999999998</v>
      </c>
      <c r="F126" s="680">
        <v>12.811999999999999</v>
      </c>
      <c r="G126" s="680">
        <v>-0.85499999999999998</v>
      </c>
      <c r="H126" s="680">
        <v>-7.0000000000000001E-3</v>
      </c>
      <c r="I126" s="680">
        <v>0</v>
      </c>
      <c r="J126" s="680">
        <v>1.7809999999999999</v>
      </c>
      <c r="K126" s="680">
        <v>0</v>
      </c>
      <c r="L126" s="680">
        <v>0</v>
      </c>
      <c r="M126" s="680">
        <v>5.8920000000000003</v>
      </c>
      <c r="N126" s="680">
        <v>0.45500000000000002</v>
      </c>
      <c r="O126" s="681">
        <v>5.0000000000000001E-3</v>
      </c>
      <c r="U126" s="356"/>
    </row>
    <row r="127" spans="2:21">
      <c r="C127" s="331"/>
      <c r="E127" s="583"/>
      <c r="F127" s="584"/>
      <c r="G127" s="584"/>
      <c r="H127" s="584"/>
      <c r="U127" s="356"/>
    </row>
    <row r="128" spans="2:21">
      <c r="C128" s="336"/>
      <c r="D128" s="133"/>
      <c r="E128" s="697"/>
      <c r="F128" s="698"/>
      <c r="G128" s="698"/>
      <c r="H128" s="698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537"/>
    </row>
    <row r="129" spans="2:21">
      <c r="C129" s="110"/>
      <c r="E129" s="583"/>
      <c r="F129" s="584"/>
      <c r="G129" s="584"/>
      <c r="H129" s="584"/>
    </row>
    <row r="130" spans="2:21">
      <c r="B130" s="110" t="s">
        <v>576</v>
      </c>
      <c r="E130" s="583"/>
      <c r="F130" s="584"/>
      <c r="G130" s="584"/>
      <c r="H130" s="584"/>
    </row>
    <row r="131" spans="2:21" ht="8.25" customHeight="1">
      <c r="B131" s="110"/>
      <c r="E131" s="583"/>
      <c r="F131" s="584"/>
      <c r="G131" s="584"/>
      <c r="H131" s="584"/>
    </row>
    <row r="132" spans="2:21">
      <c r="C132" s="515"/>
      <c r="D132" s="516"/>
      <c r="E132" s="516"/>
      <c r="F132" s="516"/>
      <c r="G132" s="516"/>
      <c r="H132" s="516"/>
      <c r="I132" s="516"/>
      <c r="J132" s="516"/>
      <c r="K132" s="516"/>
      <c r="L132" s="516"/>
      <c r="M132" s="516"/>
      <c r="N132" s="516"/>
      <c r="O132" s="516"/>
      <c r="P132" s="516"/>
      <c r="Q132" s="516"/>
      <c r="R132" s="516"/>
      <c r="S132" s="516"/>
      <c r="T132" s="516"/>
      <c r="U132" s="536"/>
    </row>
    <row r="133" spans="2:21">
      <c r="C133" s="331"/>
      <c r="U133" s="356"/>
    </row>
    <row r="134" spans="2:21">
      <c r="C134" s="331"/>
      <c r="D134" s="110" t="s">
        <v>208</v>
      </c>
      <c r="F134" s="682">
        <f>YEAR(G134)</f>
        <v>2026</v>
      </c>
      <c r="G134" s="683" t="str">
        <f>$F$6</f>
        <v>8/1/2026</v>
      </c>
      <c r="H134" s="684" t="str">
        <f>$F$7</f>
        <v>6/1/2026</v>
      </c>
      <c r="J134" s="110" t="s">
        <v>600</v>
      </c>
      <c r="L134" s="682">
        <f>YEAR(M134)</f>
        <v>2026</v>
      </c>
      <c r="M134" s="683" t="str">
        <f>$F$6</f>
        <v>8/1/2026</v>
      </c>
      <c r="N134" s="684" t="str">
        <f>$F$7</f>
        <v>6/1/2026</v>
      </c>
      <c r="U134" s="356"/>
    </row>
    <row r="135" spans="2:21">
      <c r="C135" s="331"/>
      <c r="F135" s="47" t="s">
        <v>563</v>
      </c>
      <c r="G135" s="47" t="s">
        <v>175</v>
      </c>
      <c r="H135" s="47" t="s">
        <v>175</v>
      </c>
      <c r="L135" s="47" t="s">
        <v>563</v>
      </c>
      <c r="M135" s="47" t="s">
        <v>175</v>
      </c>
      <c r="N135" s="47" t="s">
        <v>175</v>
      </c>
      <c r="Q135" s="6" t="s">
        <v>112</v>
      </c>
      <c r="R135" s="6" t="s">
        <v>324</v>
      </c>
      <c r="S135" s="6" t="s">
        <v>3</v>
      </c>
      <c r="U135" s="356"/>
    </row>
    <row r="136" spans="2:21" ht="15.75">
      <c r="C136" s="331"/>
      <c r="E136" s="502" t="s">
        <v>181</v>
      </c>
      <c r="F136" s="587">
        <v>116485106.94088674</v>
      </c>
      <c r="G136" s="636">
        <v>0.4129875432352299</v>
      </c>
      <c r="H136" s="539">
        <v>0.41150228008932016</v>
      </c>
      <c r="K136" s="502" t="s">
        <v>181</v>
      </c>
      <c r="L136" s="540">
        <v>58116210.602119073</v>
      </c>
      <c r="M136" s="541">
        <v>0.25899</v>
      </c>
      <c r="N136" s="539">
        <v>0.25802000000000003</v>
      </c>
      <c r="P136" s="51" t="s">
        <v>564</v>
      </c>
      <c r="Q136" s="615">
        <v>1660098559</v>
      </c>
      <c r="R136" s="616">
        <v>1422569805</v>
      </c>
      <c r="S136" s="617">
        <v>237528754</v>
      </c>
      <c r="U136" s="356"/>
    </row>
    <row r="137" spans="2:21" ht="15.75">
      <c r="C137" s="331"/>
      <c r="E137" s="118" t="s">
        <v>183</v>
      </c>
      <c r="F137" s="588">
        <v>154152455.51785704</v>
      </c>
      <c r="G137" s="685">
        <v>0.4129875432352299</v>
      </c>
      <c r="H137" s="542">
        <v>0.41150228008932016</v>
      </c>
      <c r="K137" s="118" t="s">
        <v>183</v>
      </c>
      <c r="L137" s="543">
        <v>78094743.784878477</v>
      </c>
      <c r="M137" s="686">
        <v>0.25899</v>
      </c>
      <c r="N137" s="542">
        <v>0.25802000000000003</v>
      </c>
      <c r="P137" s="51" t="s">
        <v>565</v>
      </c>
      <c r="Q137" s="618">
        <f>+R137+S137</f>
        <v>45.649000000000001</v>
      </c>
      <c r="R137" s="619">
        <v>27.564</v>
      </c>
      <c r="S137" s="620">
        <v>18.085000000000001</v>
      </c>
      <c r="U137" s="356"/>
    </row>
    <row r="138" spans="2:21" ht="15.75">
      <c r="C138" s="331"/>
      <c r="E138" s="502" t="s">
        <v>210</v>
      </c>
      <c r="F138" s="588">
        <v>89068921.568368956</v>
      </c>
      <c r="G138" s="685">
        <v>0.52000265480562546</v>
      </c>
      <c r="H138" s="542">
        <v>0.51813252387405373</v>
      </c>
      <c r="K138" s="502" t="s">
        <v>210</v>
      </c>
      <c r="L138" s="543">
        <v>30578684.714064509</v>
      </c>
      <c r="M138" s="686">
        <v>0.32854</v>
      </c>
      <c r="N138" s="542">
        <v>0.32733000000000001</v>
      </c>
      <c r="U138" s="356"/>
    </row>
    <row r="139" spans="2:21" ht="15.75">
      <c r="C139" s="331"/>
      <c r="E139" s="118" t="s">
        <v>183</v>
      </c>
      <c r="F139" s="588">
        <v>84528618.696129948</v>
      </c>
      <c r="G139" s="685">
        <v>0.52000265480562546</v>
      </c>
      <c r="H139" s="542">
        <v>0.51813252387405373</v>
      </c>
      <c r="K139" s="118" t="s">
        <v>183</v>
      </c>
      <c r="L139" s="543">
        <v>31395953.493242923</v>
      </c>
      <c r="M139" s="686">
        <v>0.32854</v>
      </c>
      <c r="N139" s="542">
        <v>0.32733000000000001</v>
      </c>
      <c r="U139" s="356"/>
    </row>
    <row r="140" spans="2:21" ht="15.75">
      <c r="C140" s="331"/>
      <c r="E140" s="502" t="s">
        <v>188</v>
      </c>
      <c r="F140" s="588">
        <v>0</v>
      </c>
      <c r="G140" s="685">
        <v>0</v>
      </c>
      <c r="H140" s="638"/>
      <c r="K140" s="502" t="s">
        <v>188</v>
      </c>
      <c r="L140" s="543">
        <v>0</v>
      </c>
      <c r="M140" s="686">
        <v>0</v>
      </c>
      <c r="N140" s="638"/>
      <c r="U140" s="356"/>
    </row>
    <row r="141" spans="2:21" ht="15.75">
      <c r="C141" s="331"/>
      <c r="E141" s="118" t="s">
        <v>183</v>
      </c>
      <c r="F141" s="588">
        <v>0</v>
      </c>
      <c r="G141" s="685">
        <v>0</v>
      </c>
      <c r="H141" s="638"/>
      <c r="K141" s="118" t="s">
        <v>183</v>
      </c>
      <c r="L141" s="545">
        <v>0</v>
      </c>
      <c r="M141" s="546">
        <v>0</v>
      </c>
      <c r="N141" s="639"/>
      <c r="U141" s="356"/>
    </row>
    <row r="142" spans="2:21" ht="15.75">
      <c r="C142" s="331"/>
      <c r="E142" s="6" t="s">
        <v>459</v>
      </c>
      <c r="F142" s="585"/>
      <c r="G142" s="637">
        <v>0.79342999999999997</v>
      </c>
      <c r="H142" s="586"/>
      <c r="K142" s="118" t="s">
        <v>459</v>
      </c>
      <c r="L142" s="589"/>
      <c r="M142" s="640">
        <v>0.19713</v>
      </c>
      <c r="N142" s="586"/>
      <c r="U142" s="356"/>
    </row>
    <row r="143" spans="2:21" ht="15.75">
      <c r="C143" s="331"/>
      <c r="L143" s="687"/>
      <c r="U143" s="356"/>
    </row>
    <row r="144" spans="2:21">
      <c r="C144" s="331"/>
      <c r="U144" s="356"/>
    </row>
    <row r="145" spans="3:21">
      <c r="C145" s="331"/>
      <c r="U145" s="356"/>
    </row>
    <row r="146" spans="3:21">
      <c r="C146" s="331"/>
      <c r="U146" s="356"/>
    </row>
    <row r="147" spans="3:21">
      <c r="C147" s="331"/>
      <c r="D147" s="110" t="s">
        <v>566</v>
      </c>
      <c r="F147" s="682">
        <f>YEAR(G147)</f>
        <v>2026</v>
      </c>
      <c r="G147" s="683" t="str">
        <f>$F$6</f>
        <v>8/1/2026</v>
      </c>
      <c r="H147" s="683" t="str">
        <f>$F$7</f>
        <v>6/1/2026</v>
      </c>
      <c r="J147" s="110" t="s">
        <v>567</v>
      </c>
      <c r="L147" s="682">
        <f>YEAR(M147)</f>
        <v>2026</v>
      </c>
      <c r="M147" s="683" t="str">
        <f>$F$6</f>
        <v>8/1/2026</v>
      </c>
      <c r="N147" s="684" t="str">
        <f>$F$7</f>
        <v>6/1/2026</v>
      </c>
      <c r="U147" s="356"/>
    </row>
    <row r="148" spans="3:21">
      <c r="C148" s="331"/>
      <c r="F148" s="47" t="s">
        <v>563</v>
      </c>
      <c r="G148" s="47" t="s">
        <v>175</v>
      </c>
      <c r="H148" s="47" t="s">
        <v>175</v>
      </c>
      <c r="L148" s="47" t="s">
        <v>563</v>
      </c>
      <c r="M148" s="47" t="s">
        <v>175</v>
      </c>
      <c r="N148" s="47" t="s">
        <v>175</v>
      </c>
      <c r="U148" s="356"/>
    </row>
    <row r="149" spans="3:21" ht="15.75">
      <c r="C149" s="331"/>
      <c r="D149" s="503" t="s">
        <v>192</v>
      </c>
      <c r="E149" s="502" t="s">
        <v>390</v>
      </c>
      <c r="F149" s="592">
        <v>379043295.13798183</v>
      </c>
      <c r="G149" s="644">
        <v>0.69135000000000002</v>
      </c>
      <c r="H149" s="539">
        <v>0.68459000000000003</v>
      </c>
      <c r="J149" s="503" t="s">
        <v>192</v>
      </c>
      <c r="K149" s="502" t="s">
        <v>390</v>
      </c>
      <c r="L149" s="540">
        <v>108249773.83043668</v>
      </c>
      <c r="M149" s="541">
        <v>0.43991999999999998</v>
      </c>
      <c r="N149" s="539">
        <v>0.43552999999999997</v>
      </c>
      <c r="U149" s="356"/>
    </row>
    <row r="150" spans="3:21" ht="15.75">
      <c r="C150" s="331"/>
      <c r="E150" s="118" t="s">
        <v>391</v>
      </c>
      <c r="F150" s="593">
        <v>404043826.57948077</v>
      </c>
      <c r="G150" s="688">
        <v>0.46421000000000001</v>
      </c>
      <c r="H150" s="542">
        <v>0.46392</v>
      </c>
      <c r="K150" s="118" t="s">
        <v>391</v>
      </c>
      <c r="L150" s="543">
        <v>125446804.73852286</v>
      </c>
      <c r="M150" s="686">
        <v>0.29227999999999998</v>
      </c>
      <c r="N150" s="542">
        <v>0.29209000000000002</v>
      </c>
      <c r="U150" s="356"/>
    </row>
    <row r="151" spans="3:21" ht="15.75">
      <c r="C151" s="331"/>
      <c r="E151" s="118" t="s">
        <v>520</v>
      </c>
      <c r="F151" s="593">
        <v>427204947.6000455</v>
      </c>
      <c r="G151" s="688">
        <v>0.37433</v>
      </c>
      <c r="H151" s="542">
        <v>0.37659999999999993</v>
      </c>
      <c r="K151" s="118" t="s">
        <v>520</v>
      </c>
      <c r="L151" s="543">
        <v>142224544.76875436</v>
      </c>
      <c r="M151" s="686">
        <v>0.23386000000000001</v>
      </c>
      <c r="N151" s="542">
        <v>0.23533000000000001</v>
      </c>
      <c r="U151" s="356"/>
    </row>
    <row r="152" spans="3:21" ht="15.75">
      <c r="C152" s="331"/>
      <c r="E152" s="118" t="s">
        <v>521</v>
      </c>
      <c r="F152" s="593">
        <v>649456518.82908928</v>
      </c>
      <c r="G152" s="688">
        <v>-0.10702</v>
      </c>
      <c r="H152" s="542">
        <v>-0.10663</v>
      </c>
      <c r="K152" s="118" t="s">
        <v>521</v>
      </c>
      <c r="L152" s="543">
        <v>231919441.18433508</v>
      </c>
      <c r="M152" s="686">
        <v>-6.9559999999999997E-2</v>
      </c>
      <c r="N152" s="542">
        <v>-6.9309999999999997E-2</v>
      </c>
      <c r="U152" s="356"/>
    </row>
    <row r="153" spans="3:21" ht="15.75">
      <c r="C153" s="331"/>
      <c r="E153" s="502"/>
      <c r="F153" s="593"/>
      <c r="G153" s="688"/>
      <c r="H153" s="602"/>
      <c r="K153" s="502"/>
      <c r="L153" s="543"/>
      <c r="M153" s="686"/>
      <c r="N153" s="602"/>
      <c r="U153" s="356"/>
    </row>
    <row r="154" spans="3:21" ht="15.75">
      <c r="C154" s="331"/>
      <c r="D154" s="503" t="s">
        <v>193</v>
      </c>
      <c r="E154" s="502" t="s">
        <v>390</v>
      </c>
      <c r="F154" s="593">
        <v>438275700.07140857</v>
      </c>
      <c r="G154" s="688">
        <v>0.61470999999999998</v>
      </c>
      <c r="H154" s="602">
        <v>0.6101399999999999</v>
      </c>
      <c r="J154" s="503" t="s">
        <v>193</v>
      </c>
      <c r="K154" s="502" t="s">
        <v>390</v>
      </c>
      <c r="L154" s="543">
        <v>122190139.22050184</v>
      </c>
      <c r="M154" s="686">
        <v>0.3901</v>
      </c>
      <c r="N154" s="602">
        <v>0.38712999999999997</v>
      </c>
      <c r="U154" s="356"/>
    </row>
    <row r="155" spans="3:21" ht="15.75">
      <c r="C155" s="331"/>
      <c r="E155" s="118" t="s">
        <v>391</v>
      </c>
      <c r="F155" s="593">
        <v>480644180.56269532</v>
      </c>
      <c r="G155" s="688">
        <v>0.53059999999999996</v>
      </c>
      <c r="H155" s="602">
        <v>0.52842999999999996</v>
      </c>
      <c r="K155" s="118" t="s">
        <v>391</v>
      </c>
      <c r="L155" s="543">
        <v>148207747.67935795</v>
      </c>
      <c r="M155" s="686">
        <v>0.33543000000000001</v>
      </c>
      <c r="N155" s="602">
        <v>0.33401999999999998</v>
      </c>
      <c r="U155" s="356"/>
    </row>
    <row r="156" spans="3:21" ht="15.75">
      <c r="C156" s="331"/>
      <c r="E156" s="118" t="s">
        <v>520</v>
      </c>
      <c r="F156" s="593">
        <v>525340192.49439591</v>
      </c>
      <c r="G156" s="688">
        <v>0.43718999999999997</v>
      </c>
      <c r="H156" s="602">
        <v>0.43766999999999995</v>
      </c>
      <c r="K156" s="118" t="s">
        <v>520</v>
      </c>
      <c r="L156" s="543">
        <v>172069640.66619059</v>
      </c>
      <c r="M156" s="686">
        <v>0.27472000000000002</v>
      </c>
      <c r="N156" s="602">
        <v>0.27503</v>
      </c>
      <c r="U156" s="356"/>
    </row>
    <row r="157" spans="3:21" ht="15.75">
      <c r="C157" s="331"/>
      <c r="E157" s="118" t="s">
        <v>521</v>
      </c>
      <c r="F157" s="593">
        <v>893595074.5783267</v>
      </c>
      <c r="G157" s="641">
        <v>-0.10702</v>
      </c>
      <c r="H157" s="604">
        <v>-0.10663</v>
      </c>
      <c r="K157" s="118" t="s">
        <v>521</v>
      </c>
      <c r="L157" s="545">
        <v>311451292.19018537</v>
      </c>
      <c r="M157" s="546">
        <v>-6.9559999999999997E-2</v>
      </c>
      <c r="N157" s="604">
        <v>-6.9309999999999997E-2</v>
      </c>
      <c r="U157" s="356"/>
    </row>
    <row r="158" spans="3:21" ht="15.75">
      <c r="C158" s="331"/>
      <c r="E158" s="6" t="s">
        <v>459</v>
      </c>
      <c r="F158" s="585"/>
      <c r="G158" s="642">
        <v>0.79342999999999997</v>
      </c>
      <c r="H158" s="456"/>
      <c r="K158" s="118" t="s">
        <v>459</v>
      </c>
      <c r="L158" s="590"/>
      <c r="M158" s="643">
        <v>0.19713</v>
      </c>
      <c r="N158" s="456"/>
      <c r="U158" s="356"/>
    </row>
    <row r="159" spans="3:21">
      <c r="C159" s="331"/>
      <c r="U159" s="356"/>
    </row>
    <row r="160" spans="3:21">
      <c r="C160" s="331"/>
      <c r="U160" s="356"/>
    </row>
    <row r="161" spans="2:21">
      <c r="C161" s="331"/>
      <c r="E161" s="364"/>
      <c r="U161" s="356"/>
    </row>
    <row r="162" spans="2:21">
      <c r="C162" s="331"/>
      <c r="J162" s="503"/>
      <c r="K162" s="502"/>
      <c r="U162" s="356"/>
    </row>
    <row r="163" spans="2:21">
      <c r="C163" s="331"/>
      <c r="D163" s="110" t="s">
        <v>574</v>
      </c>
      <c r="K163" s="118"/>
      <c r="U163" s="356"/>
    </row>
    <row r="164" spans="2:21">
      <c r="C164" s="331"/>
      <c r="D164" s="723" t="s">
        <v>149</v>
      </c>
      <c r="J164" s="723" t="s">
        <v>150</v>
      </c>
      <c r="U164" s="356"/>
    </row>
    <row r="165" spans="2:21">
      <c r="C165" s="331"/>
      <c r="E165" s="689" t="str">
        <f>$F$7</f>
        <v>6/1/2026</v>
      </c>
      <c r="F165" s="690"/>
      <c r="G165" s="689" t="str">
        <f>$F$6</f>
        <v>8/1/2026</v>
      </c>
      <c r="H165" s="691"/>
      <c r="I165" s="690"/>
      <c r="J165" s="690"/>
      <c r="K165" s="689" t="str">
        <f>$F$7</f>
        <v>6/1/2026</v>
      </c>
      <c r="L165" s="690"/>
      <c r="M165" s="689" t="str">
        <f>$F$6</f>
        <v>8/1/2026</v>
      </c>
      <c r="N165" s="689"/>
      <c r="U165" s="356"/>
    </row>
    <row r="166" spans="2:21">
      <c r="C166" s="331"/>
      <c r="E166" s="259" t="s">
        <v>192</v>
      </c>
      <c r="F166" s="259" t="s">
        <v>193</v>
      </c>
      <c r="G166" s="259" t="s">
        <v>192</v>
      </c>
      <c r="H166" s="259" t="s">
        <v>193</v>
      </c>
      <c r="K166" s="259" t="s">
        <v>192</v>
      </c>
      <c r="L166" s="259" t="s">
        <v>193</v>
      </c>
      <c r="M166" s="259" t="s">
        <v>192</v>
      </c>
      <c r="N166" s="259" t="s">
        <v>193</v>
      </c>
      <c r="U166" s="356"/>
    </row>
    <row r="167" spans="2:21">
      <c r="C167" s="331"/>
      <c r="D167" s="134" t="s">
        <v>390</v>
      </c>
      <c r="E167" s="653">
        <v>0.31318332553540318</v>
      </c>
      <c r="F167" s="654">
        <v>0.30346037270284215</v>
      </c>
      <c r="G167" s="653">
        <v>0.31318332553540318</v>
      </c>
      <c r="H167" s="655">
        <v>0.30346037270284215</v>
      </c>
      <c r="J167" s="134" t="s">
        <v>390</v>
      </c>
      <c r="K167" s="653">
        <v>0.28795874216727374</v>
      </c>
      <c r="L167" s="655">
        <v>0.2761561732962689</v>
      </c>
      <c r="M167" s="653">
        <v>0.28795874216727374</v>
      </c>
      <c r="N167" s="655">
        <v>0.2761561732962689</v>
      </c>
      <c r="U167" s="356"/>
    </row>
    <row r="168" spans="2:21">
      <c r="C168" s="331"/>
      <c r="D168" s="134" t="s">
        <v>391</v>
      </c>
      <c r="E168" s="656">
        <v>0.33383993568372622</v>
      </c>
      <c r="F168" s="657">
        <v>0.33279614212524944</v>
      </c>
      <c r="G168" s="656">
        <v>0.33383993568372622</v>
      </c>
      <c r="H168" s="658">
        <v>0.33279614212524944</v>
      </c>
      <c r="J168" s="134" t="s">
        <v>391</v>
      </c>
      <c r="K168" s="656">
        <v>0.3337051230979271</v>
      </c>
      <c r="L168" s="658">
        <v>0.33495734363745799</v>
      </c>
      <c r="M168" s="656">
        <v>0.3337051230979271</v>
      </c>
      <c r="N168" s="658">
        <v>0.33495734363745799</v>
      </c>
      <c r="U168" s="356"/>
    </row>
    <row r="169" spans="2:21">
      <c r="C169" s="331"/>
      <c r="D169" s="134" t="s">
        <v>520</v>
      </c>
      <c r="E169" s="659">
        <v>0.35297673878087071</v>
      </c>
      <c r="F169" s="660">
        <v>0.36374348517190846</v>
      </c>
      <c r="G169" s="659">
        <v>0.35297673878087071</v>
      </c>
      <c r="H169" s="661">
        <v>0.36374348517190846</v>
      </c>
      <c r="J169" s="134" t="s">
        <v>520</v>
      </c>
      <c r="K169" s="659">
        <v>0.3783361347347991</v>
      </c>
      <c r="L169" s="661">
        <v>0.38888648306627316</v>
      </c>
      <c r="M169" s="659">
        <v>0.3783361347347991</v>
      </c>
      <c r="N169" s="661">
        <v>0.38888648306627316</v>
      </c>
      <c r="U169" s="356"/>
    </row>
    <row r="170" spans="2:21">
      <c r="C170" s="331"/>
      <c r="E170" s="692">
        <f>SUM(E167:E169)</f>
        <v>1</v>
      </c>
      <c r="F170" s="692">
        <f>SUM(F167:F169)</f>
        <v>1</v>
      </c>
      <c r="G170" s="692">
        <f t="shared" ref="G170" si="0">SUM(G167:G169)</f>
        <v>1</v>
      </c>
      <c r="H170" s="692">
        <f>SUM(H167:H169)</f>
        <v>1</v>
      </c>
      <c r="K170" s="692">
        <f>SUM(K167:K169)</f>
        <v>1</v>
      </c>
      <c r="L170" s="692">
        <f>SUM(L167:L169)</f>
        <v>1</v>
      </c>
      <c r="M170" s="692">
        <f t="shared" ref="M170" si="1">SUM(M167:M169)</f>
        <v>1</v>
      </c>
      <c r="N170" s="692">
        <f t="shared" ref="N170" si="2">SUM(N167:N169)</f>
        <v>1</v>
      </c>
      <c r="U170" s="356"/>
    </row>
    <row r="171" spans="2:21">
      <c r="C171" s="331"/>
      <c r="U171" s="356"/>
    </row>
    <row r="172" spans="2:21">
      <c r="C172" s="331"/>
      <c r="U172" s="356"/>
    </row>
    <row r="173" spans="2:21">
      <c r="C173" s="336"/>
      <c r="D173" s="693"/>
      <c r="E173" s="694"/>
      <c r="F173" s="694"/>
      <c r="G173" s="694"/>
      <c r="H173" s="694"/>
      <c r="I173" s="133"/>
      <c r="J173" s="133"/>
      <c r="K173" s="694"/>
      <c r="L173" s="694"/>
      <c r="M173" s="694"/>
      <c r="N173" s="694"/>
      <c r="O173" s="133"/>
      <c r="P173" s="133"/>
      <c r="Q173" s="133"/>
      <c r="R173" s="133"/>
      <c r="S173" s="133"/>
      <c r="T173" s="133"/>
      <c r="U173" s="537"/>
    </row>
    <row r="174" spans="2:21">
      <c r="D174" s="364"/>
      <c r="E174" s="613"/>
      <c r="F174" s="613"/>
      <c r="G174" s="613"/>
      <c r="H174" s="613"/>
      <c r="K174" s="613"/>
      <c r="L174" s="613"/>
      <c r="M174" s="613"/>
      <c r="N174" s="613"/>
    </row>
    <row r="175" spans="2:21">
      <c r="E175" s="613"/>
      <c r="F175" s="613"/>
      <c r="G175" s="613"/>
      <c r="H175" s="613"/>
      <c r="K175" s="613"/>
      <c r="L175" s="613"/>
      <c r="M175" s="613"/>
      <c r="N175" s="613"/>
    </row>
    <row r="176" spans="2:21">
      <c r="B176" s="110" t="s">
        <v>577</v>
      </c>
      <c r="C176" s="110"/>
      <c r="E176" s="613"/>
      <c r="F176" s="613"/>
      <c r="G176" s="613"/>
      <c r="H176" s="613"/>
      <c r="K176" s="613"/>
      <c r="L176" s="613"/>
      <c r="M176" s="613"/>
      <c r="N176" s="613"/>
    </row>
    <row r="177" spans="2:21" ht="8.25" customHeight="1">
      <c r="B177" s="110"/>
      <c r="C177" s="110"/>
      <c r="E177" s="613"/>
      <c r="F177" s="613"/>
      <c r="G177" s="613"/>
      <c r="H177" s="613"/>
      <c r="K177" s="613"/>
      <c r="L177" s="613"/>
      <c r="M177" s="613"/>
      <c r="N177" s="613"/>
    </row>
    <row r="178" spans="2:21">
      <c r="C178" s="515"/>
      <c r="D178" s="516"/>
      <c r="E178" s="516"/>
      <c r="F178" s="516"/>
      <c r="G178" s="516"/>
      <c r="H178" s="516"/>
      <c r="I178" s="516"/>
      <c r="J178" s="516"/>
      <c r="K178" s="516"/>
      <c r="L178" s="516"/>
      <c r="M178" s="516"/>
      <c r="N178" s="516"/>
      <c r="O178" s="516"/>
      <c r="P178" s="516"/>
      <c r="Q178" s="516"/>
      <c r="R178" s="516"/>
      <c r="S178" s="516"/>
      <c r="T178" s="516"/>
      <c r="U178" s="536"/>
    </row>
    <row r="179" spans="2:21">
      <c r="C179" s="331"/>
      <c r="D179" s="110" t="s">
        <v>379</v>
      </c>
      <c r="F179" s="682">
        <f>YEAR(G179)</f>
        <v>2026</v>
      </c>
      <c r="G179" s="683" t="str">
        <f>$F$6</f>
        <v>8/1/2026</v>
      </c>
      <c r="H179" s="683" t="str">
        <f>$F$7</f>
        <v>6/1/2026</v>
      </c>
      <c r="J179" s="110"/>
      <c r="Q179" s="259" t="s">
        <v>112</v>
      </c>
      <c r="R179" s="259" t="s">
        <v>324</v>
      </c>
      <c r="S179" s="259" t="s">
        <v>3</v>
      </c>
      <c r="U179" s="356"/>
    </row>
    <row r="180" spans="2:21">
      <c r="C180" s="331"/>
      <c r="F180" s="47" t="s">
        <v>563</v>
      </c>
      <c r="G180" s="47" t="s">
        <v>175</v>
      </c>
      <c r="H180" s="47" t="s">
        <v>175</v>
      </c>
      <c r="P180" s="51" t="s">
        <v>578</v>
      </c>
      <c r="Q180" s="615">
        <v>491332957</v>
      </c>
      <c r="R180" s="616">
        <v>435740640</v>
      </c>
      <c r="S180" s="647">
        <v>55592317</v>
      </c>
      <c r="T180" s="782"/>
      <c r="U180" s="356"/>
    </row>
    <row r="181" spans="2:21">
      <c r="C181" s="331"/>
      <c r="E181" s="502" t="s">
        <v>380</v>
      </c>
      <c r="F181" s="600">
        <v>144918773.06242311</v>
      </c>
      <c r="G181" s="646">
        <v>0.58221999999999996</v>
      </c>
      <c r="H181" s="539">
        <v>0.57574000000000003</v>
      </c>
      <c r="P181" s="51" t="s">
        <v>579</v>
      </c>
      <c r="Q181" s="618">
        <f>+R181+S181</f>
        <v>40.503</v>
      </c>
      <c r="R181" s="619">
        <v>24.366999999999997</v>
      </c>
      <c r="S181" s="620">
        <v>16.135999999999999</v>
      </c>
      <c r="T181" s="783"/>
      <c r="U181" s="356"/>
    </row>
    <row r="182" spans="2:21">
      <c r="C182" s="331"/>
      <c r="E182" s="502" t="s">
        <v>382</v>
      </c>
      <c r="F182" s="601">
        <v>480370175.56755698</v>
      </c>
      <c r="G182" s="695">
        <v>0.42529</v>
      </c>
      <c r="H182" s="542">
        <v>0.42312000000000005</v>
      </c>
      <c r="U182" s="356"/>
    </row>
    <row r="183" spans="2:21">
      <c r="C183" s="331"/>
      <c r="E183" s="502" t="s">
        <v>383</v>
      </c>
      <c r="F183" s="601">
        <v>174817040.8013483</v>
      </c>
      <c r="G183" s="695">
        <v>0.43767999999999996</v>
      </c>
      <c r="H183" s="542">
        <v>0.43513000000000002</v>
      </c>
      <c r="U183" s="356"/>
    </row>
    <row r="184" spans="2:21">
      <c r="C184" s="331"/>
      <c r="E184" s="502" t="s">
        <v>384</v>
      </c>
      <c r="F184" s="603">
        <v>605751798.04639816</v>
      </c>
      <c r="G184" s="645">
        <v>0.33551999999999998</v>
      </c>
      <c r="H184" s="544">
        <v>0.33589000000000002</v>
      </c>
      <c r="U184" s="356"/>
    </row>
    <row r="185" spans="2:21">
      <c r="C185" s="331"/>
      <c r="U185" s="356"/>
    </row>
    <row r="186" spans="2:21">
      <c r="C186" s="331"/>
      <c r="U186" s="356"/>
    </row>
    <row r="187" spans="2:21">
      <c r="C187" s="331"/>
      <c r="E187" s="364"/>
      <c r="F187" s="364"/>
      <c r="G187" s="364"/>
      <c r="H187" s="364"/>
      <c r="U187" s="356"/>
    </row>
    <row r="188" spans="2:21">
      <c r="C188" s="331"/>
      <c r="E188" s="364"/>
      <c r="F188" s="364"/>
      <c r="G188" s="364"/>
      <c r="H188" s="364"/>
      <c r="U188" s="356"/>
    </row>
    <row r="189" spans="2:21">
      <c r="C189" s="331"/>
      <c r="E189" s="110" t="s">
        <v>590</v>
      </c>
      <c r="G189" s="538"/>
      <c r="H189" s="364"/>
      <c r="U189" s="356"/>
    </row>
    <row r="190" spans="2:21">
      <c r="C190" s="331"/>
      <c r="H190" s="364"/>
      <c r="U190" s="356"/>
    </row>
    <row r="191" spans="2:21">
      <c r="C191" s="331"/>
      <c r="E191" s="134"/>
      <c r="F191" s="596" t="str">
        <f>$F$7</f>
        <v>6/1/2026</v>
      </c>
      <c r="G191" s="596" t="str">
        <f>$F$6</f>
        <v>8/1/2026</v>
      </c>
      <c r="H191" s="364"/>
      <c r="U191" s="356"/>
    </row>
    <row r="192" spans="2:21">
      <c r="C192" s="331"/>
      <c r="E192" s="134" t="s">
        <v>400</v>
      </c>
      <c r="F192" s="597">
        <v>12.02</v>
      </c>
      <c r="G192" s="597">
        <v>12.02</v>
      </c>
      <c r="H192" s="364"/>
      <c r="U192" s="356"/>
    </row>
    <row r="193" spans="3:21">
      <c r="C193" s="331"/>
      <c r="E193" s="134" t="s">
        <v>401</v>
      </c>
      <c r="F193" s="598">
        <v>19.23</v>
      </c>
      <c r="G193" s="598">
        <v>19.23</v>
      </c>
      <c r="H193" s="364"/>
      <c r="U193" s="356"/>
    </row>
    <row r="194" spans="3:21">
      <c r="C194" s="331"/>
      <c r="E194" s="134" t="s">
        <v>402</v>
      </c>
      <c r="F194" s="598">
        <v>36.06</v>
      </c>
      <c r="G194" s="598">
        <v>36.06</v>
      </c>
      <c r="H194" s="364"/>
      <c r="U194" s="356"/>
    </row>
    <row r="195" spans="3:21">
      <c r="C195" s="331"/>
      <c r="E195" s="134" t="s">
        <v>403</v>
      </c>
      <c r="F195" s="599">
        <v>90.16</v>
      </c>
      <c r="G195" s="599">
        <v>90.16</v>
      </c>
      <c r="H195" s="364"/>
      <c r="U195" s="356"/>
    </row>
    <row r="196" spans="3:21">
      <c r="C196" s="331"/>
      <c r="F196" s="538"/>
      <c r="G196" s="538"/>
      <c r="H196" s="364"/>
      <c r="U196" s="356"/>
    </row>
    <row r="197" spans="3:21">
      <c r="C197" s="331"/>
      <c r="F197" s="364"/>
      <c r="G197" s="364"/>
      <c r="H197" s="364"/>
      <c r="U197" s="356"/>
    </row>
    <row r="198" spans="3:21">
      <c r="C198" s="336"/>
      <c r="D198" s="133"/>
      <c r="E198" s="133"/>
      <c r="F198" s="133"/>
      <c r="G198" s="133"/>
      <c r="H198" s="133"/>
      <c r="I198" s="133"/>
      <c r="J198" s="133"/>
      <c r="K198" s="133"/>
      <c r="L198" s="133"/>
      <c r="M198" s="133"/>
      <c r="N198" s="133"/>
      <c r="O198" s="133"/>
      <c r="P198" s="133"/>
      <c r="Q198" s="133"/>
      <c r="R198" s="133"/>
      <c r="S198" s="133"/>
      <c r="T198" s="133"/>
      <c r="U198" s="537"/>
    </row>
    <row r="202" spans="3:21">
      <c r="E202" s="134"/>
    </row>
    <row r="203" spans="3:21">
      <c r="E203" s="134"/>
    </row>
    <row r="204" spans="3:21">
      <c r="E204" s="134"/>
    </row>
    <row r="205" spans="3:21">
      <c r="E205" s="134"/>
    </row>
    <row r="206" spans="3:21">
      <c r="E206" s="134"/>
    </row>
  </sheetData>
  <mergeCells count="10">
    <mergeCell ref="I57:J57"/>
    <mergeCell ref="E116:F116"/>
    <mergeCell ref="G116:H116"/>
    <mergeCell ref="I64:J64"/>
    <mergeCell ref="G65:H65"/>
    <mergeCell ref="E65:F65"/>
    <mergeCell ref="E58:F58"/>
    <mergeCell ref="G58:H58"/>
    <mergeCell ref="E77:F77"/>
    <mergeCell ref="G77:H77"/>
  </mergeCells>
  <conditionalFormatting sqref="B48:B52">
    <cfRule type="cellIs" dxfId="10" priority="2" operator="equal">
      <formula>"CHECK"</formula>
    </cfRule>
  </conditionalFormatting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11D80-63B9-4E40-9FE6-558C04A1579E}">
  <dimension ref="D8:E11"/>
  <sheetViews>
    <sheetView tabSelected="1" workbookViewId="0"/>
  </sheetViews>
  <sheetFormatPr defaultRowHeight="15"/>
  <cols>
    <col min="4" max="4" width="3.5703125" style="396" customWidth="1"/>
    <col min="5" max="5" width="150.5703125" customWidth="1"/>
  </cols>
  <sheetData>
    <row r="8" spans="4:5" ht="18.75">
      <c r="E8" s="395" t="s">
        <v>419</v>
      </c>
    </row>
    <row r="9" spans="4:5">
      <c r="D9" s="397"/>
      <c r="E9" s="394"/>
    </row>
    <row r="10" spans="4:5">
      <c r="D10" s="397"/>
      <c r="E10" s="394"/>
    </row>
    <row r="11" spans="4:5">
      <c r="D11" s="397"/>
      <c r="E11" s="394"/>
    </row>
  </sheetData>
  <pageMargins left="0.7" right="0.7" top="0.75" bottom="0.75" header="0.3" footer="0.3"/>
  <headerFooter>
    <oddFooter xml:space="preserve">&amp;C_x000D_&amp;1#&amp;"Calibri"&amp;12&amp;K000000 Public 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84E4C-BF02-4908-B8DF-216621CCE212}">
  <sheetPr codeName="Sheet5"/>
  <dimension ref="B1:X108"/>
  <sheetViews>
    <sheetView zoomScale="64" workbookViewId="0"/>
  </sheetViews>
  <sheetFormatPr defaultColWidth="8.85546875" defaultRowHeight="15"/>
  <cols>
    <col min="1" max="1" width="5.5703125" style="6" customWidth="1"/>
    <col min="2" max="2" width="25" style="6" customWidth="1"/>
    <col min="3" max="3" width="21.42578125" style="6" customWidth="1"/>
    <col min="4" max="6" width="16.85546875" style="6" customWidth="1"/>
    <col min="7" max="7" width="18.42578125" style="6" customWidth="1"/>
    <col min="8" max="8" width="18.5703125" style="6" customWidth="1"/>
    <col min="9" max="10" width="16.85546875" style="6" customWidth="1"/>
    <col min="11" max="11" width="11.140625" style="6" customWidth="1"/>
    <col min="12" max="12" width="17" style="6" customWidth="1"/>
    <col min="13" max="13" width="15.5703125" style="6" customWidth="1"/>
    <col min="14" max="17" width="13.42578125" style="6" customWidth="1"/>
    <col min="18" max="19" width="15.85546875" style="6" customWidth="1"/>
    <col min="20" max="24" width="15.5703125" style="6" customWidth="1"/>
    <col min="25" max="16384" width="8.85546875" style="6"/>
  </cols>
  <sheetData>
    <row r="1" spans="2:20">
      <c r="B1" s="405" t="s">
        <v>121</v>
      </c>
      <c r="G1" s="40" t="s">
        <v>122</v>
      </c>
      <c r="H1" s="41"/>
      <c r="I1" s="41"/>
      <c r="L1" s="40" t="s">
        <v>427</v>
      </c>
      <c r="N1" s="40"/>
      <c r="O1" s="41"/>
      <c r="P1" s="41"/>
    </row>
    <row r="2" spans="2:20">
      <c r="B2" s="41"/>
      <c r="C2" s="42" t="s">
        <v>479</v>
      </c>
      <c r="D2" s="272">
        <v>2030</v>
      </c>
      <c r="E2" s="41"/>
      <c r="G2" s="41" t="s">
        <v>123</v>
      </c>
      <c r="H2" s="43"/>
      <c r="I2" s="560" t="str">
        <f>'SDG&amp;E INPUTS'!F6</f>
        <v>8/1/2026</v>
      </c>
      <c r="L2" s="6" t="s">
        <v>510</v>
      </c>
    </row>
    <row r="3" spans="2:20">
      <c r="B3" s="44"/>
      <c r="C3" s="45" t="s">
        <v>124</v>
      </c>
      <c r="D3" s="272" t="s">
        <v>223</v>
      </c>
      <c r="G3" s="41" t="s">
        <v>126</v>
      </c>
      <c r="H3" s="43"/>
      <c r="I3" s="729">
        <f>IF($D$2=2026,2026,2027)</f>
        <v>2027</v>
      </c>
      <c r="L3" s="6" t="s">
        <v>429</v>
      </c>
    </row>
    <row r="4" spans="2:20">
      <c r="G4" s="44" t="s">
        <v>130</v>
      </c>
      <c r="I4" s="52">
        <v>5</v>
      </c>
      <c r="J4" s="44" t="s">
        <v>131</v>
      </c>
      <c r="L4" s="6" t="s">
        <v>424</v>
      </c>
    </row>
    <row r="5" spans="2:20">
      <c r="F5" s="47"/>
      <c r="G5" s="44" t="s">
        <v>132</v>
      </c>
      <c r="I5" s="52">
        <v>7</v>
      </c>
      <c r="J5" s="44" t="s">
        <v>131</v>
      </c>
      <c r="L5" s="402"/>
      <c r="M5" s="822" t="s">
        <v>425</v>
      </c>
      <c r="N5" s="823"/>
      <c r="O5" s="822" t="s">
        <v>426</v>
      </c>
      <c r="P5" s="823"/>
    </row>
    <row r="6" spans="2:20" ht="30">
      <c r="B6" s="48" t="s">
        <v>128</v>
      </c>
      <c r="C6" s="48"/>
      <c r="D6" s="404" t="s">
        <v>430</v>
      </c>
      <c r="E6" s="404" t="s">
        <v>129</v>
      </c>
      <c r="G6" s="44" t="s">
        <v>428</v>
      </c>
      <c r="I6" s="377">
        <f>IF($I$8="N",0,'SDG&amp;E INPUTS'!R14)</f>
        <v>-49.36479961202253</v>
      </c>
      <c r="J6" s="44" t="s">
        <v>184</v>
      </c>
      <c r="L6" s="403" t="s">
        <v>127</v>
      </c>
      <c r="M6" s="403" t="s">
        <v>192</v>
      </c>
      <c r="N6" s="403" t="s">
        <v>193</v>
      </c>
      <c r="O6" s="403" t="s">
        <v>192</v>
      </c>
      <c r="P6" s="403" t="s">
        <v>193</v>
      </c>
    </row>
    <row r="7" spans="2:20">
      <c r="B7" t="s">
        <v>491</v>
      </c>
      <c r="C7" s="49"/>
      <c r="D7" s="406" t="s">
        <v>26</v>
      </c>
      <c r="E7" s="47" t="s">
        <v>506</v>
      </c>
      <c r="F7" s="50"/>
      <c r="G7" s="44"/>
      <c r="I7" s="377">
        <f>IF($I$8="N",0,IF($D$2=2026,'SDG&amp;E INPUTS'!R14,'SDG&amp;E INPUTS'!R19))</f>
        <v>-45.431098379094358</v>
      </c>
      <c r="J7" s="44" t="s">
        <v>174</v>
      </c>
      <c r="L7" s="52" t="s">
        <v>149</v>
      </c>
      <c r="M7" s="164">
        <f>IF($D$3="ALL",SUMPRODUCT('Res Bill Impact'!Q22:Q25,'Res Bill Impact'!U22:U25),VLOOKUP($D$3,'Res Bill Impact'!$P$22:$V$25,2,FALSE))</f>
        <v>334.36541599999998</v>
      </c>
      <c r="N7" s="165">
        <f>IF($D$3="ALL",SUMPRODUCT('Res Bill Impact'!R22:R25,'Res Bill Impact'!U22:U25),VLOOKUP(D$3,'Res Bill Impact'!$P$22:$V$25,3,FALSE))</f>
        <v>309.27334100000002</v>
      </c>
      <c r="O7" s="164">
        <f>IF($D$3="ALL",SUMPRODUCT('Res Bill Impact'!Q31:Q34,'Res Bill Impact'!U31:U34),VLOOKUP($D$3,'Res Bill Impact'!$P$31:$V$34,2,FALSE))</f>
        <v>283.425005</v>
      </c>
      <c r="P7" s="165">
        <f>IF($D$3="ALL",SUMPRODUCT('Res Bill Impact'!R31:R34,'Res Bill Impact'!U31:U34),VLOOKUP(D$3,'Res Bill Impact'!$P$31:$V$34,3,FALSE))</f>
        <v>272.60744599999998</v>
      </c>
    </row>
    <row r="8" spans="2:20">
      <c r="B8" t="s">
        <v>452</v>
      </c>
      <c r="D8" s="406" t="s">
        <v>26</v>
      </c>
      <c r="E8" s="47" t="s">
        <v>455</v>
      </c>
      <c r="F8" s="50"/>
      <c r="H8" s="51" t="s">
        <v>431</v>
      </c>
      <c r="I8" s="327" t="s">
        <v>26</v>
      </c>
      <c r="J8" s="44"/>
      <c r="L8" s="52" t="s">
        <v>150</v>
      </c>
      <c r="M8" s="165">
        <f>IF($D$3="ALL",SUMPRODUCT('Res Bill Impact'!S22:S25,'Res Bill Impact'!V22:V25),VLOOKUP($D$3,'Res Bill Impact'!$P$22:$V$25,4,FALSE))</f>
        <v>329.33632999999998</v>
      </c>
      <c r="N8" s="165">
        <f>IF($D$3="ALL",SUMPRODUCT('Res Bill Impact'!T22:T25,'Res Bill Impact'!V22:V25),VLOOKUP($D$3,'Res Bill Impact'!$P$22:$V$25,5,FALSE))</f>
        <v>300.562815</v>
      </c>
      <c r="O8" s="165">
        <f>IF($D$3="ALL",SUMPRODUCT('Res Bill Impact'!S31:S34,'Res Bill Impact'!V31:V34),VLOOKUP($D$3,'Res Bill Impact'!$P$31:$V$34,4,FALSE))</f>
        <v>293.30439200000001</v>
      </c>
      <c r="P8" s="165">
        <f>IF($D$3="ALL",SUMPRODUCT('Res Bill Impact'!T31:T34,'Res Bill Impact'!V31:V34),VLOOKUP($D$3,'Res Bill Impact'!$P$31:$V$34,5,FALSE))</f>
        <v>284.82109400000002</v>
      </c>
    </row>
    <row r="9" spans="2:20">
      <c r="B9" t="s">
        <v>531</v>
      </c>
      <c r="D9" s="406" t="s">
        <v>26</v>
      </c>
      <c r="E9" s="47" t="s">
        <v>462</v>
      </c>
      <c r="F9" s="50"/>
      <c r="H9" s="51" t="s">
        <v>422</v>
      </c>
      <c r="I9" s="52">
        <v>400</v>
      </c>
      <c r="J9" s="44"/>
    </row>
    <row r="10" spans="2:20">
      <c r="B10" t="s">
        <v>483</v>
      </c>
      <c r="D10" s="406" t="s">
        <v>26</v>
      </c>
      <c r="E10" s="47" t="s">
        <v>492</v>
      </c>
      <c r="F10" s="50"/>
      <c r="G10" s="821" t="s">
        <v>423</v>
      </c>
      <c r="H10" s="821"/>
      <c r="T10" s="44"/>
    </row>
    <row r="11" spans="2:20">
      <c r="B11" t="s">
        <v>493</v>
      </c>
      <c r="D11" s="406" t="s">
        <v>26</v>
      </c>
      <c r="E11" s="47" t="s">
        <v>508</v>
      </c>
      <c r="F11" s="50"/>
      <c r="G11" s="821"/>
      <c r="H11" s="821"/>
    </row>
    <row r="12" spans="2:20">
      <c r="B12" t="s">
        <v>484</v>
      </c>
      <c r="C12" s="49"/>
      <c r="D12" s="406" t="s">
        <v>26</v>
      </c>
      <c r="E12" s="47" t="s">
        <v>492</v>
      </c>
      <c r="F12" s="50"/>
      <c r="G12" s="821"/>
      <c r="H12" s="821"/>
    </row>
    <row r="13" spans="2:20">
      <c r="B13" t="s">
        <v>486</v>
      </c>
      <c r="C13" s="49"/>
      <c r="D13" s="406" t="s">
        <v>26</v>
      </c>
      <c r="E13" s="47">
        <v>2027</v>
      </c>
      <c r="F13" s="50"/>
    </row>
    <row r="14" spans="2:20">
      <c r="B14" t="s">
        <v>485</v>
      </c>
      <c r="C14" s="49"/>
      <c r="D14" s="406" t="s">
        <v>26</v>
      </c>
      <c r="E14" s="47" t="s">
        <v>509</v>
      </c>
      <c r="F14" s="50"/>
    </row>
    <row r="15" spans="2:20">
      <c r="B15" t="s">
        <v>515</v>
      </c>
      <c r="C15" s="49"/>
      <c r="D15" s="406" t="s">
        <v>26</v>
      </c>
      <c r="E15" s="47">
        <v>2027</v>
      </c>
      <c r="F15" s="50"/>
    </row>
    <row r="16" spans="2:20">
      <c r="B16" t="s">
        <v>516</v>
      </c>
      <c r="C16" s="49"/>
      <c r="D16" s="406" t="s">
        <v>26</v>
      </c>
      <c r="E16" s="47" t="s">
        <v>517</v>
      </c>
      <c r="F16" s="50"/>
    </row>
    <row r="17" spans="2:24">
      <c r="B17" t="s">
        <v>530</v>
      </c>
      <c r="C17" s="49"/>
      <c r="D17" s="406" t="s">
        <v>26</v>
      </c>
      <c r="E17" s="47" t="s">
        <v>537</v>
      </c>
      <c r="F17" s="50"/>
    </row>
    <row r="18" spans="2:24">
      <c r="B18" t="s">
        <v>536</v>
      </c>
      <c r="C18" s="49"/>
      <c r="D18" s="406" t="s">
        <v>26</v>
      </c>
      <c r="E18" s="47" t="s">
        <v>537</v>
      </c>
      <c r="F18" s="50"/>
    </row>
    <row r="19" spans="2:24">
      <c r="B19" s="6" t="s">
        <v>601</v>
      </c>
      <c r="C19" s="49"/>
      <c r="D19" s="406" t="s">
        <v>26</v>
      </c>
      <c r="E19" s="47" t="s">
        <v>506</v>
      </c>
      <c r="F19" s="50"/>
    </row>
    <row r="20" spans="2:24">
      <c r="B20" s="6" t="s">
        <v>83</v>
      </c>
      <c r="C20" s="49"/>
      <c r="D20" s="406" t="s">
        <v>26</v>
      </c>
      <c r="E20" s="47">
        <v>2027</v>
      </c>
      <c r="F20" s="50"/>
    </row>
    <row r="21" spans="2:24">
      <c r="B21" s="6" t="s">
        <v>102</v>
      </c>
      <c r="C21" s="49"/>
      <c r="D21" s="406" t="s">
        <v>26</v>
      </c>
      <c r="E21" s="47" t="s">
        <v>602</v>
      </c>
      <c r="F21" s="50"/>
    </row>
    <row r="22" spans="2:24">
      <c r="C22" s="49"/>
      <c r="D22" s="406"/>
      <c r="E22" s="47"/>
      <c r="F22" s="50"/>
    </row>
    <row r="23" spans="2:24">
      <c r="C23" s="49"/>
      <c r="D23" s="406"/>
      <c r="E23" s="47"/>
      <c r="F23" s="50"/>
      <c r="M23" s="44"/>
    </row>
    <row r="24" spans="2:24">
      <c r="F24" s="50"/>
      <c r="M24" s="44"/>
    </row>
    <row r="25" spans="2:24">
      <c r="F25" s="50"/>
      <c r="J25" s="44"/>
      <c r="M25" s="44"/>
    </row>
    <row r="26" spans="2:24">
      <c r="F26" s="50"/>
      <c r="J26" s="44"/>
      <c r="M26" s="44"/>
    </row>
    <row r="27" spans="2:24">
      <c r="C27" s="49"/>
      <c r="D27" s="47"/>
      <c r="E27" s="47"/>
      <c r="F27" s="50"/>
      <c r="J27" s="44"/>
      <c r="M27" s="44"/>
    </row>
    <row r="28" spans="2:24">
      <c r="B28" s="40" t="s">
        <v>133</v>
      </c>
    </row>
    <row r="29" spans="2:24" ht="15.75" thickBot="1">
      <c r="D29" s="53" t="s">
        <v>134</v>
      </c>
      <c r="E29" s="53" t="s">
        <v>135</v>
      </c>
      <c r="F29" s="53" t="s">
        <v>136</v>
      </c>
      <c r="G29" s="53" t="s">
        <v>137</v>
      </c>
      <c r="H29" s="53" t="s">
        <v>138</v>
      </c>
      <c r="I29" s="53" t="s">
        <v>139</v>
      </c>
      <c r="J29" s="53" t="s">
        <v>140</v>
      </c>
      <c r="N29" s="53" t="s">
        <v>134</v>
      </c>
      <c r="O29" s="53" t="s">
        <v>135</v>
      </c>
      <c r="P29" s="53" t="s">
        <v>136</v>
      </c>
      <c r="Q29" s="53" t="s">
        <v>137</v>
      </c>
      <c r="R29" s="53" t="s">
        <v>138</v>
      </c>
      <c r="S29" s="53" t="s">
        <v>139</v>
      </c>
      <c r="T29" s="53" t="s">
        <v>140</v>
      </c>
    </row>
    <row r="30" spans="2:24">
      <c r="B30" s="818" t="s">
        <v>141</v>
      </c>
      <c r="C30" s="819"/>
      <c r="D30" s="819"/>
      <c r="E30" s="819"/>
      <c r="F30" s="819"/>
      <c r="G30" s="819"/>
      <c r="H30" s="819"/>
      <c r="I30" s="819"/>
      <c r="J30" s="820"/>
      <c r="L30" s="808" t="s">
        <v>142</v>
      </c>
      <c r="M30" s="809"/>
      <c r="N30" s="809"/>
      <c r="O30" s="809"/>
      <c r="P30" s="809"/>
      <c r="Q30" s="809"/>
      <c r="R30" s="809"/>
      <c r="S30" s="809"/>
      <c r="T30" s="810"/>
    </row>
    <row r="31" spans="2:24" ht="30">
      <c r="B31" s="811" t="s">
        <v>143</v>
      </c>
      <c r="C31" s="812"/>
      <c r="D31" s="452" t="str">
        <f>'SDG&amp;E INPUTS'!F7</f>
        <v>6/1/2026</v>
      </c>
      <c r="E31" s="176" t="str">
        <f>I2</f>
        <v>8/1/2026</v>
      </c>
      <c r="F31" s="55" t="str">
        <f>$D$2&amp;" Authorized"</f>
        <v>2030 Authorized</v>
      </c>
      <c r="G31" s="55" t="str">
        <f>$D$2&amp;" w/Pending"</f>
        <v>2030 w/Pending</v>
      </c>
      <c r="H31" s="280" t="str">
        <f>_xlfn.TEXTJOIN(" ",TRUE,"% Change over",D31)</f>
        <v>% Change over 6/1/2026</v>
      </c>
      <c r="I31" s="280" t="str">
        <f>_xlfn.TEXTJOIN(" ",TRUE,"% Change over",E31)</f>
        <v>% Change over 8/1/2026</v>
      </c>
      <c r="J31" s="56" t="s">
        <v>144</v>
      </c>
      <c r="L31" s="813" t="s">
        <v>143</v>
      </c>
      <c r="M31" s="814"/>
      <c r="N31" s="205" t="str">
        <f>$D$31</f>
        <v>6/1/2026</v>
      </c>
      <c r="O31" s="176" t="str">
        <f>$E$31</f>
        <v>8/1/2026</v>
      </c>
      <c r="P31" s="55" t="str">
        <f>$D$2&amp;" Authorized"</f>
        <v>2030 Authorized</v>
      </c>
      <c r="Q31" s="55" t="str">
        <f>$D$2&amp;" w/Pending"</f>
        <v>2030 w/Pending</v>
      </c>
      <c r="R31" s="55" t="str">
        <f>$H$31</f>
        <v>% Change over 6/1/2026</v>
      </c>
      <c r="S31" s="55" t="str">
        <f>$I$31</f>
        <v>% Change over 8/1/2026</v>
      </c>
      <c r="T31" s="56" t="s">
        <v>144</v>
      </c>
    </row>
    <row r="32" spans="2:24">
      <c r="B32" s="815" t="s">
        <v>145</v>
      </c>
      <c r="C32" s="816"/>
      <c r="D32" s="443">
        <f>IF($I$8="Y",'SAR and RAR'!AC26,'SAR and RAR'!AE26)</f>
        <v>42.963999999999999</v>
      </c>
      <c r="E32" s="57">
        <f>'SAR and RAR'!H24</f>
        <v>43.132000000000005</v>
      </c>
      <c r="F32" s="57">
        <f>'SAR and RAR'!I24</f>
        <v>42.590307463403128</v>
      </c>
      <c r="G32" s="57">
        <f>'SAR and RAR'!J24</f>
        <v>49.343444669109282</v>
      </c>
      <c r="H32" s="58">
        <f t="shared" ref="H32:I34" si="0">$G32/D32-1</f>
        <v>0.14848349011054096</v>
      </c>
      <c r="I32" s="58">
        <f t="shared" si="0"/>
        <v>0.14401012401718627</v>
      </c>
      <c r="J32" s="59">
        <f>$G32/F32-1</f>
        <v>0.15856042390651837</v>
      </c>
      <c r="K32" s="427"/>
      <c r="L32" s="815" t="s">
        <v>146</v>
      </c>
      <c r="M32" s="817"/>
      <c r="N32" s="57">
        <f>D32+((('SDG&amp;E INPUTS'!M43)*1000*'SDG&amp;E INPUTS'!D24)+'SDG&amp;E INPUTS'!M42*1000*'SDG&amp;E INPUTS'!E14)/(('SDG&amp;E INPUTS'!E41-'SDG&amp;E INPUTS'!G41)*1000)*100</f>
        <v>46.386135913307882</v>
      </c>
      <c r="O32" s="203">
        <f>'SAR and RAR'!S24</f>
        <v>46.626331046727124</v>
      </c>
      <c r="P32" s="57">
        <f>'SAR and RAR'!T24</f>
        <v>45.97897786005759</v>
      </c>
      <c r="Q32" s="57">
        <f>'SAR and RAR'!U24</f>
        <v>52.506657190556474</v>
      </c>
      <c r="R32" s="58">
        <f>$Q32/N32-1</f>
        <v>0.13194721131088349</v>
      </c>
      <c r="S32" s="58">
        <f>$Q32/O32-1</f>
        <v>0.12611599522888284</v>
      </c>
      <c r="T32" s="59">
        <f>$Q32/P32-1</f>
        <v>0.14197095355983436</v>
      </c>
      <c r="U32" s="153"/>
      <c r="V32" s="153"/>
      <c r="W32" s="153"/>
      <c r="X32" s="153"/>
    </row>
    <row r="33" spans="2:24">
      <c r="B33" s="247"/>
      <c r="C33" s="248" t="s">
        <v>407</v>
      </c>
      <c r="D33" s="443">
        <f>IF($I$8="Y",'SAR and RAR (TOU-A)'!AC26,'SAR and RAR (TOU-A)'!AE26)</f>
        <v>39.82</v>
      </c>
      <c r="E33" s="366">
        <f>'SAR and RAR (TOU-A)'!H24</f>
        <v>39.977999999999994</v>
      </c>
      <c r="F33" s="366">
        <f>'SAR and RAR (TOU-A)'!I24</f>
        <v>40.19953172929818</v>
      </c>
      <c r="G33" s="366">
        <f>'SAR and RAR (TOU-A)'!J24</f>
        <v>45.496478122695414</v>
      </c>
      <c r="H33" s="58">
        <f t="shared" si="0"/>
        <v>0.14255344356342081</v>
      </c>
      <c r="I33" s="58">
        <f t="shared" si="0"/>
        <v>0.13803787389802946</v>
      </c>
      <c r="J33" s="59">
        <f>$G33/F33-1</f>
        <v>0.13176637054049856</v>
      </c>
      <c r="K33" s="427"/>
      <c r="L33" s="247"/>
      <c r="M33" s="42" t="s">
        <v>407</v>
      </c>
      <c r="N33" s="366">
        <f>D33+((('SDG&amp;E INPUTS'!M43)*1000*'SDG&amp;E INPUTS'!D25)+'SDG&amp;E INPUTS'!M42*1000*'SDG&amp;E INPUTS'!E15)/(('SDG&amp;E INPUTS'!E42-'SDG&amp;E INPUTS'!G42)*1000)*100</f>
        <v>42.130363432895322</v>
      </c>
      <c r="O33" s="367">
        <f>'SAR and RAR (TOU-A)'!S24</f>
        <v>42.231384788503121</v>
      </c>
      <c r="P33" s="366">
        <f>'SAR and RAR (TOU-A)'!T24</f>
        <v>42.550820880722085</v>
      </c>
      <c r="Q33" s="366">
        <f>'SAR and RAR (TOU-A)'!U24</f>
        <v>47.691869661453289</v>
      </c>
      <c r="R33" s="58">
        <f t="shared" ref="R33:T34" si="1">$Q33/N33-1</f>
        <v>0.13200707934590361</v>
      </c>
      <c r="S33" s="58">
        <f t="shared" si="1"/>
        <v>0.12929921432357827</v>
      </c>
      <c r="T33" s="59">
        <f>$Q33/P33-1</f>
        <v>0.12082137722189956</v>
      </c>
      <c r="U33" s="153"/>
      <c r="V33" s="153"/>
      <c r="W33" s="153"/>
      <c r="X33" s="153"/>
    </row>
    <row r="34" spans="2:24" ht="15.75" thickBot="1">
      <c r="B34" s="798" t="s">
        <v>147</v>
      </c>
      <c r="C34" s="806"/>
      <c r="D34" s="444">
        <f>IF($I$8="Y",'SAR and RAR'!AC27,'SAR and RAR'!AE27)</f>
        <v>38.957000000000001</v>
      </c>
      <c r="E34" s="60">
        <f>'SAR and RAR'!H25</f>
        <v>39.259</v>
      </c>
      <c r="F34" s="60">
        <f>'SAR and RAR'!I25</f>
        <v>39.129307483831283</v>
      </c>
      <c r="G34" s="60">
        <f>'SAR and RAR'!J25</f>
        <v>43.37326262322987</v>
      </c>
      <c r="H34" s="61">
        <f t="shared" si="0"/>
        <v>0.11336249257463016</v>
      </c>
      <c r="I34" s="61">
        <f t="shared" si="0"/>
        <v>0.1047979475592824</v>
      </c>
      <c r="J34" s="62">
        <f>$G34/F34-1</f>
        <v>0.10845975592980373</v>
      </c>
      <c r="K34" s="427"/>
      <c r="L34" s="798" t="s">
        <v>148</v>
      </c>
      <c r="M34" s="799"/>
      <c r="N34" s="60">
        <f>D34+('SDG&amp;E INPUTS'!M41*1000)/(('SDG&amp;E INPUTS'!E43-'SDG&amp;E INPUTS'!G43)*1000)*100</f>
        <v>41.44839405500101</v>
      </c>
      <c r="O34" s="204">
        <f>'SAR and RAR'!S25</f>
        <v>41.591672408872029</v>
      </c>
      <c r="P34" s="60">
        <f>'SAR and RAR'!T25</f>
        <v>41.421545096492608</v>
      </c>
      <c r="Q34" s="60">
        <f>'SAR and RAR'!U25</f>
        <v>45.513295007204142</v>
      </c>
      <c r="R34" s="61">
        <f t="shared" si="1"/>
        <v>9.8071373930896044E-2</v>
      </c>
      <c r="S34" s="61">
        <f t="shared" si="1"/>
        <v>9.42886489338568E-2</v>
      </c>
      <c r="T34" s="62">
        <f t="shared" si="1"/>
        <v>9.8783130884656511E-2</v>
      </c>
      <c r="U34" s="153"/>
      <c r="V34" s="153"/>
      <c r="W34" s="153"/>
      <c r="X34" s="153"/>
    </row>
    <row r="35" spans="2:24">
      <c r="E35" s="63"/>
      <c r="F35" s="63"/>
      <c r="G35" s="63"/>
      <c r="O35" s="63"/>
      <c r="P35" s="63"/>
      <c r="Q35" s="63"/>
    </row>
    <row r="36" spans="2:24" ht="15.75" thickBot="1">
      <c r="E36" s="63"/>
      <c r="F36" s="63"/>
      <c r="G36" s="63"/>
      <c r="O36" s="63"/>
      <c r="P36" s="63"/>
      <c r="Q36" s="63"/>
    </row>
    <row r="37" spans="2:24">
      <c r="B37" s="803" t="s">
        <v>279</v>
      </c>
      <c r="C37" s="804"/>
      <c r="D37" s="804"/>
      <c r="E37" s="804"/>
      <c r="F37" s="804"/>
      <c r="G37" s="804"/>
      <c r="H37" s="804"/>
      <c r="I37" s="804"/>
      <c r="J37" s="805"/>
      <c r="L37" s="803" t="s">
        <v>282</v>
      </c>
      <c r="M37" s="804"/>
      <c r="N37" s="804"/>
      <c r="O37" s="804"/>
      <c r="P37" s="804"/>
      <c r="Q37" s="804"/>
      <c r="R37" s="804"/>
      <c r="S37" s="804"/>
      <c r="T37" s="805"/>
    </row>
    <row r="38" spans="2:24" ht="30">
      <c r="B38" s="64"/>
      <c r="C38" s="65"/>
      <c r="D38" s="54" t="str">
        <f>$D$31</f>
        <v>6/1/2026</v>
      </c>
      <c r="E38" s="176" t="str">
        <f>$E$31</f>
        <v>8/1/2026</v>
      </c>
      <c r="F38" s="55" t="str">
        <f>$D$2&amp;" Authorized"</f>
        <v>2030 Authorized</v>
      </c>
      <c r="G38" s="55" t="str">
        <f>$D$2&amp;" w/Pending"</f>
        <v>2030 w/Pending</v>
      </c>
      <c r="H38" s="55" t="str">
        <f>$H$31</f>
        <v>% Change over 6/1/2026</v>
      </c>
      <c r="I38" s="55" t="str">
        <f>$I$31</f>
        <v>% Change over 8/1/2026</v>
      </c>
      <c r="J38" s="56" t="s">
        <v>144</v>
      </c>
      <c r="L38" s="64"/>
      <c r="M38" s="65"/>
      <c r="N38" s="54" t="str">
        <f>$D$31</f>
        <v>6/1/2026</v>
      </c>
      <c r="O38" s="176" t="str">
        <f>$E$31</f>
        <v>8/1/2026</v>
      </c>
      <c r="P38" s="55" t="str">
        <f>$D$2&amp;" Authorized"</f>
        <v>2030 Authorized</v>
      </c>
      <c r="Q38" s="55" t="str">
        <f>$D$2&amp;" w/Pending"</f>
        <v>2030 w/Pending</v>
      </c>
      <c r="R38" s="55" t="str">
        <f>$H$31</f>
        <v>% Change over 6/1/2026</v>
      </c>
      <c r="S38" s="55" t="str">
        <f>$I$31</f>
        <v>% Change over 8/1/2026</v>
      </c>
      <c r="T38" s="56" t="s">
        <v>144</v>
      </c>
    </row>
    <row r="39" spans="2:24">
      <c r="B39" s="796" t="s">
        <v>149</v>
      </c>
      <c r="C39" s="807"/>
      <c r="D39" s="160">
        <f>((D45*5)+(D51*7)+(I6*2))/12</f>
        <v>147.46411596036816</v>
      </c>
      <c r="E39" s="160">
        <f>((E45*5)+(E51*7)+(I6*2))/12</f>
        <v>147.93899672837279</v>
      </c>
      <c r="F39" s="161">
        <f>((F45*5)+(F51*7)+(I7*2))/12</f>
        <v>146.80875140228559</v>
      </c>
      <c r="G39" s="161">
        <f>((G45*5)+(G51*7)+(I7*2))/12</f>
        <v>165.80712055448322</v>
      </c>
      <c r="H39" s="66">
        <f t="shared" ref="H39:J41" si="2">$G39/D39-1</f>
        <v>0.12438961488803724</v>
      </c>
      <c r="I39" s="67">
        <f t="shared" si="2"/>
        <v>0.12078035015282462</v>
      </c>
      <c r="J39" s="68">
        <f t="shared" si="2"/>
        <v>0.12940896895266318</v>
      </c>
      <c r="K39" s="427"/>
      <c r="L39" s="796" t="s">
        <v>149</v>
      </c>
      <c r="M39" s="807"/>
      <c r="N39" s="160">
        <f>((N45*5)+(N51*7)+(I6*2))/12</f>
        <v>132.03739220937564</v>
      </c>
      <c r="O39" s="160">
        <f>((O45*5)+(O51*7)+(I6*2))/12</f>
        <v>132.45674606311854</v>
      </c>
      <c r="P39" s="161">
        <f>((P45*5)+(P51*7)+(I7*2))/12</f>
        <v>131.53531824206897</v>
      </c>
      <c r="Q39" s="161">
        <f>((Q45*5)+(Q51*7)+(I7*2))/12</f>
        <v>148.31224385284952</v>
      </c>
      <c r="R39" s="66">
        <f t="shared" ref="R39:T41" si="3">$Q39/N39-1</f>
        <v>0.12325941440638544</v>
      </c>
      <c r="S39" s="66">
        <f t="shared" si="3"/>
        <v>0.11970321075361068</v>
      </c>
      <c r="T39" s="252">
        <f t="shared" si="3"/>
        <v>0.1275469268254279</v>
      </c>
    </row>
    <row r="40" spans="2:24">
      <c r="B40" s="796" t="s">
        <v>150</v>
      </c>
      <c r="C40" s="807"/>
      <c r="D40" s="160">
        <f>((D46*5)+(D52*7)+(I6*2))/12</f>
        <v>78.643595345671244</v>
      </c>
      <c r="E40" s="160">
        <f>((E46*5)+(E52*7)+(I6*2))/12</f>
        <v>78.946770571867077</v>
      </c>
      <c r="F40" s="161">
        <f>((F46*5)+(F52*7)+(I7*2))/12</f>
        <v>78.507587448149977</v>
      </c>
      <c r="G40" s="161">
        <f>((G46*5)+(G52*7)+(I7*2))/12</f>
        <v>90.154294842412114</v>
      </c>
      <c r="H40" s="66">
        <f t="shared" si="2"/>
        <v>0.14636537719500953</v>
      </c>
      <c r="I40" s="66">
        <f t="shared" si="2"/>
        <v>0.14196304914515245</v>
      </c>
      <c r="J40" s="68">
        <f t="shared" si="2"/>
        <v>0.14835136033130758</v>
      </c>
      <c r="K40" s="427"/>
      <c r="L40" s="796" t="s">
        <v>150</v>
      </c>
      <c r="M40" s="807"/>
      <c r="N40" s="160">
        <f>((N46*5)+(N52*7)+(I6*2))/12</f>
        <v>74.060135356492921</v>
      </c>
      <c r="O40" s="160">
        <f>((O46*5)+(O52*7)+(I6*2))/12</f>
        <v>74.345670923147907</v>
      </c>
      <c r="P40" s="161">
        <f>((P46*5)+(P52*7)+(I7*2))/12</f>
        <v>73.968389358507565</v>
      </c>
      <c r="Q40" s="161">
        <f>((Q46*5)+(Q52*7)+(I7*2))/12</f>
        <v>84.956575243330335</v>
      </c>
      <c r="R40" s="66">
        <f t="shared" si="3"/>
        <v>0.14712962424908826</v>
      </c>
      <c r="S40" s="66">
        <f t="shared" si="3"/>
        <v>0.14272390293109405</v>
      </c>
      <c r="T40" s="68">
        <f t="shared" si="3"/>
        <v>0.14855245571950459</v>
      </c>
    </row>
    <row r="41" spans="2:24" ht="15.75" thickBot="1">
      <c r="B41" s="798" t="s">
        <v>112</v>
      </c>
      <c r="C41" s="806"/>
      <c r="D41" s="162">
        <f>((D47*5)+(D53*7)+(I6*2))/12</f>
        <v>134.02796025903692</v>
      </c>
      <c r="E41" s="162">
        <f>((E47*5)+(E53*7)+(I6*2))/12</f>
        <v>134.46931814209506</v>
      </c>
      <c r="F41" s="163">
        <f>((F47*5)+(F53*7)+(I7*2))/12</f>
        <v>133.47399215790497</v>
      </c>
      <c r="G41" s="163">
        <f>((G47*5)+(G53*7)+(I7*2))/12</f>
        <v>151.03706161807946</v>
      </c>
      <c r="H41" s="69">
        <f t="shared" si="2"/>
        <v>0.12690711196506244</v>
      </c>
      <c r="I41" s="69">
        <f t="shared" si="2"/>
        <v>0.12320835492359006</v>
      </c>
      <c r="J41" s="70">
        <f t="shared" si="2"/>
        <v>0.13158420735177145</v>
      </c>
      <c r="K41" s="427"/>
      <c r="L41" s="798" t="s">
        <v>112</v>
      </c>
      <c r="M41" s="806"/>
      <c r="N41" s="162">
        <f>((N47*5)+(N53*7)+(I6*2))/12</f>
        <v>120.71821817155167</v>
      </c>
      <c r="O41" s="162">
        <f>((O47*5)+(O53*7)+(I6*2))/12</f>
        <v>121.1114460482613</v>
      </c>
      <c r="P41" s="163">
        <f>((P47*5)+(P53*7)+(I7*2))/12</f>
        <v>120.29625447419312</v>
      </c>
      <c r="Q41" s="163">
        <f>((Q47*5)+(Q53*7)+(I7*2))/12</f>
        <v>135.94301705252721</v>
      </c>
      <c r="R41" s="69">
        <f t="shared" si="3"/>
        <v>0.12611848577270846</v>
      </c>
      <c r="S41" s="69">
        <f t="shared" si="3"/>
        <v>0.12246217420569594</v>
      </c>
      <c r="T41" s="70">
        <f t="shared" si="3"/>
        <v>0.13006857650493808</v>
      </c>
    </row>
    <row r="42" spans="2:24" ht="15.75" thickBot="1">
      <c r="D42" s="437"/>
      <c r="E42" s="437"/>
      <c r="F42" s="437"/>
      <c r="G42" s="437"/>
      <c r="N42" s="437"/>
      <c r="O42" s="437"/>
      <c r="P42" s="437"/>
      <c r="Q42" s="437"/>
    </row>
    <row r="43" spans="2:24">
      <c r="B43" s="803" t="s">
        <v>280</v>
      </c>
      <c r="C43" s="804"/>
      <c r="D43" s="804"/>
      <c r="E43" s="804"/>
      <c r="F43" s="804"/>
      <c r="G43" s="804"/>
      <c r="H43" s="804"/>
      <c r="I43" s="804"/>
      <c r="J43" s="805"/>
      <c r="L43" s="803" t="s">
        <v>283</v>
      </c>
      <c r="M43" s="804"/>
      <c r="N43" s="804"/>
      <c r="O43" s="804"/>
      <c r="P43" s="804"/>
      <c r="Q43" s="804"/>
      <c r="R43" s="804"/>
      <c r="S43" s="804"/>
      <c r="T43" s="805"/>
    </row>
    <row r="44" spans="2:24" ht="30">
      <c r="B44" s="64"/>
      <c r="C44" s="65"/>
      <c r="D44" s="54" t="str">
        <f>$D$31</f>
        <v>6/1/2026</v>
      </c>
      <c r="E44" s="176" t="str">
        <f>$E$31</f>
        <v>8/1/2026</v>
      </c>
      <c r="F44" s="55" t="str">
        <f>$D$2&amp;" Authorized"</f>
        <v>2030 Authorized</v>
      </c>
      <c r="G44" s="55" t="str">
        <f>$D$2&amp;" w/Pending"</f>
        <v>2030 w/Pending</v>
      </c>
      <c r="H44" s="55" t="str">
        <f>$H$31</f>
        <v>% Change over 6/1/2026</v>
      </c>
      <c r="I44" s="55" t="str">
        <f>$I$31</f>
        <v>% Change over 8/1/2026</v>
      </c>
      <c r="J44" s="56" t="s">
        <v>144</v>
      </c>
      <c r="L44" s="64"/>
      <c r="M44" s="65"/>
      <c r="N44" s="54" t="str">
        <f>$D$31</f>
        <v>6/1/2026</v>
      </c>
      <c r="O44" s="176" t="str">
        <f>$E$31</f>
        <v>8/1/2026</v>
      </c>
      <c r="P44" s="55" t="str">
        <f>$D$2&amp;" Authorized"</f>
        <v>2030 Authorized</v>
      </c>
      <c r="Q44" s="55" t="str">
        <f>$D$2&amp;" w/Pending"</f>
        <v>2030 w/Pending</v>
      </c>
      <c r="R44" s="55" t="str">
        <f>$H$31</f>
        <v>% Change over 6/1/2026</v>
      </c>
      <c r="S44" s="55" t="str">
        <f>$I$31</f>
        <v>% Change over 8/1/2026</v>
      </c>
      <c r="T44" s="56" t="s">
        <v>144</v>
      </c>
    </row>
    <row r="45" spans="2:24">
      <c r="B45" s="796" t="s">
        <v>149</v>
      </c>
      <c r="C45" s="807"/>
      <c r="D45" s="160">
        <f>IF($D$3="All",'Res Bill Impact'!$C$47,(VLOOKUP($D$3,'Res Bill Impact'!$B$43:$J$46,2,FALSE)))</f>
        <v>161.72939648301403</v>
      </c>
      <c r="E45" s="160">
        <f>IF($D$3="All",'Res Bill Impact'!$E$47,(VLOOKUP($D$3,'Res Bill Impact'!$B$43:$J$46,4,FALSE)))</f>
        <v>162.22601711266563</v>
      </c>
      <c r="F45" s="161">
        <f>IF($D$3="All",'Res Bill Impact'!$G$47,(VLOOKUP($D$3,'Res Bill Impact'!$B$43:$J$46,6,FALSE)))</f>
        <v>160.35839881957614</v>
      </c>
      <c r="G45" s="161">
        <f>IF($D$3="All",'Res Bill Impact'!$I$47,(VLOOKUP($D$3,'Res Bill Impact'!$B$43:$J$46,8,FALSE)))</f>
        <v>180.22650611387999</v>
      </c>
      <c r="H45" s="66">
        <f t="shared" ref="H45:J47" si="4">$G45/D45-1</f>
        <v>0.1143707330461019</v>
      </c>
      <c r="I45" s="66">
        <f t="shared" si="4"/>
        <v>0.11095932281141474</v>
      </c>
      <c r="J45" s="68">
        <f t="shared" si="4"/>
        <v>0.12389813967061403</v>
      </c>
      <c r="K45" s="427"/>
      <c r="L45" s="796" t="s">
        <v>149</v>
      </c>
      <c r="M45" s="807"/>
      <c r="N45" s="160">
        <f>IF($D$3="All",'Res Bill Impact'!$N$47,(VLOOKUP($D$3,'Res Bill Impact'!$M$43:$U$46,2,FALSE)))</f>
        <v>145.87993088525391</v>
      </c>
      <c r="O45" s="160">
        <f>IF($D$3="All",'Res Bill Impact'!$P$47,(VLOOKUP($D$3,'Res Bill Impact'!$M$43:$U$46,4,FALSE)))</f>
        <v>146.31952882425472</v>
      </c>
      <c r="P45" s="161">
        <f>IF($D$3="All",'Res Bill Impact'!$R$47,(VLOOKUP($D$3,'Res Bill Impact'!$M$43:$U$46,6,FALSE)))</f>
        <v>144.6663531334697</v>
      </c>
      <c r="Q45" s="161">
        <f>IF($D$3="All",'Res Bill Impact'!$T$47,(VLOOKUP($D$3,'Res Bill Impact'!$M$43:$U$46,8,FALSE)))</f>
        <v>162.25317594538237</v>
      </c>
      <c r="R45" s="66">
        <f t="shared" ref="R45:T47" si="5">$Q45/N45-1</f>
        <v>0.11223781750354211</v>
      </c>
      <c r="S45" s="66">
        <f t="shared" si="5"/>
        <v>0.1088962440568384</v>
      </c>
      <c r="T45" s="252">
        <f t="shared" si="5"/>
        <v>0.1215681630937846</v>
      </c>
    </row>
    <row r="46" spans="2:24">
      <c r="B46" s="796" t="s">
        <v>150</v>
      </c>
      <c r="C46" s="807"/>
      <c r="D46" s="160">
        <f>IF($D$3="All",'Res Bill Impact'!$C$57,(VLOOKUP($D$3,'Res Bill Impact'!$B$53:$J$56,2,FALSE)))</f>
        <v>91.218596196600004</v>
      </c>
      <c r="E46" s="160">
        <f>IF($D$3="All",'Res Bill Impact'!$E$57,(VLOOKUP($D$3,'Res Bill Impact'!$B$53:$J$56,4,FALSE)))</f>
        <v>91.538052436699999</v>
      </c>
      <c r="F46" s="161">
        <f>IF($D$3="All",'Res Bill Impact'!$G$57,(VLOOKUP($D$3,'Res Bill Impact'!$B$53:$J$56,6,FALSE)))</f>
        <v>90.384459860119236</v>
      </c>
      <c r="G46" s="161">
        <f>IF($D$3="All",'Res Bill Impact'!$I$57,(VLOOKUP($D$3,'Res Bill Impact'!$B$53:$J$56,8,FALSE)))</f>
        <v>102.65661481288757</v>
      </c>
      <c r="H46" s="66">
        <f t="shared" si="4"/>
        <v>0.12539130279571098</v>
      </c>
      <c r="I46" s="66">
        <f t="shared" si="4"/>
        <v>0.12146382930613719</v>
      </c>
      <c r="J46" s="68">
        <f t="shared" si="4"/>
        <v>0.13577726715146565</v>
      </c>
      <c r="K46" s="427"/>
      <c r="L46" s="796" t="s">
        <v>150</v>
      </c>
      <c r="M46" s="807"/>
      <c r="N46" s="160">
        <f>IF($D$3="All",'Res Bill Impact'!$N$57,(VLOOKUP($D$3,'Res Bill Impact'!$M$53:$U$56,2,FALSE)))</f>
        <v>85.926681025360011</v>
      </c>
      <c r="O46" s="160">
        <f>IF($D$3="All",'Res Bill Impact'!$P$57,(VLOOKUP($D$3,'Res Bill Impact'!$M$53:$U$56,4,FALSE)))</f>
        <v>86.225179339679997</v>
      </c>
      <c r="P46" s="161">
        <f>IF($D$3="All",'Res Bill Impact'!$R$57,(VLOOKUP($D$3,'Res Bill Impact'!$M$53:$U$56,6,FALSE)))</f>
        <v>85.142954814133276</v>
      </c>
      <c r="Q46" s="161">
        <f>IF($D$3="All",'Res Bill Impact'!$T$57,(VLOOKUP($D$3,'Res Bill Impact'!$M$53:$U$56,8,FALSE)))</f>
        <v>96.655881770165792</v>
      </c>
      <c r="R46" s="66">
        <f t="shared" si="5"/>
        <v>0.12486460103863672</v>
      </c>
      <c r="S46" s="66">
        <f t="shared" si="5"/>
        <v>0.12097049273037208</v>
      </c>
      <c r="T46" s="68">
        <f t="shared" si="5"/>
        <v>0.13521878564310086</v>
      </c>
    </row>
    <row r="47" spans="2:24" ht="15.75" thickBot="1">
      <c r="B47" s="798" t="s">
        <v>112</v>
      </c>
      <c r="C47" s="806"/>
      <c r="D47" s="162">
        <f>D45*(1-'SAR and RAR'!$AD$16)+D46*'SAR and RAR'!$AD$16</f>
        <v>147.96323948780801</v>
      </c>
      <c r="E47" s="162">
        <f>E45*(1-'SAR and RAR'!$AD$16)+E46*'SAR and RAR'!$AD$16</f>
        <v>148.42527147585264</v>
      </c>
      <c r="F47" s="162">
        <f>F45*(1-'SAR and RAR'!$AD$16)+F46*'SAR and RAR'!$AD$16</f>
        <v>146.69705580012314</v>
      </c>
      <c r="G47" s="162">
        <f>G45*(1-'SAR and RAR'!$AD$16)+G46*'SAR and RAR'!$AD$16</f>
        <v>165.08216939648383</v>
      </c>
      <c r="H47" s="69">
        <f t="shared" si="4"/>
        <v>0.11569718240783988</v>
      </c>
      <c r="I47" s="69">
        <f t="shared" si="4"/>
        <v>0.11222413646277962</v>
      </c>
      <c r="J47" s="70">
        <f t="shared" si="4"/>
        <v>0.12532707964780609</v>
      </c>
      <c r="K47" s="427"/>
      <c r="L47" s="798" t="s">
        <v>112</v>
      </c>
      <c r="M47" s="806"/>
      <c r="N47" s="162">
        <f>N45*(1-'SAR and RAR'!$AD$16)+N46*'SAR and RAR'!$AD$16</f>
        <v>134.17497438792799</v>
      </c>
      <c r="O47" s="162">
        <f>O45*(1-'SAR and RAR'!$AD$16)+O46*'SAR and RAR'!$AD$16</f>
        <v>134.58702477992279</v>
      </c>
      <c r="P47" s="162">
        <f>P45*(1-'SAR and RAR'!$AD$16)+P46*'SAR and RAR'!$AD$16</f>
        <v>133.04531858523399</v>
      </c>
      <c r="Q47" s="162">
        <f>Q45*(1-'SAR and RAR'!$AD$16)+Q46*'SAR and RAR'!$AD$16</f>
        <v>149.44630598491281</v>
      </c>
      <c r="R47" s="69">
        <f t="shared" si="5"/>
        <v>0.11381654191959978</v>
      </c>
      <c r="S47" s="69">
        <f t="shared" si="5"/>
        <v>0.11040649148228066</v>
      </c>
      <c r="T47" s="70">
        <f t="shared" si="5"/>
        <v>0.12327369030404256</v>
      </c>
    </row>
    <row r="48" spans="2:24" ht="15.75" thickBot="1">
      <c r="D48" s="437"/>
      <c r="E48" s="437"/>
      <c r="F48" s="437"/>
      <c r="G48" s="437"/>
      <c r="N48" s="437"/>
      <c r="O48" s="437"/>
      <c r="P48" s="437"/>
      <c r="Q48" s="437"/>
    </row>
    <row r="49" spans="2:20">
      <c r="B49" s="803" t="s">
        <v>281</v>
      </c>
      <c r="C49" s="804"/>
      <c r="D49" s="804"/>
      <c r="E49" s="804"/>
      <c r="F49" s="804"/>
      <c r="G49" s="804"/>
      <c r="H49" s="804"/>
      <c r="I49" s="804"/>
      <c r="J49" s="805"/>
      <c r="L49" s="803" t="s">
        <v>288</v>
      </c>
      <c r="M49" s="804"/>
      <c r="N49" s="804"/>
      <c r="O49" s="804"/>
      <c r="P49" s="804"/>
      <c r="Q49" s="804"/>
      <c r="R49" s="804"/>
      <c r="S49" s="804"/>
      <c r="T49" s="805"/>
    </row>
    <row r="50" spans="2:20" ht="30">
      <c r="B50" s="64"/>
      <c r="C50" s="65"/>
      <c r="D50" s="54" t="str">
        <f>$D$31</f>
        <v>6/1/2026</v>
      </c>
      <c r="E50" s="176" t="str">
        <f>$E$31</f>
        <v>8/1/2026</v>
      </c>
      <c r="F50" s="55" t="str">
        <f>$D$2&amp;" Authorized"</f>
        <v>2030 Authorized</v>
      </c>
      <c r="G50" s="55" t="str">
        <f>$D$2&amp;" w/Pending"</f>
        <v>2030 w/Pending</v>
      </c>
      <c r="H50" s="55" t="str">
        <f>$H$31</f>
        <v>% Change over 6/1/2026</v>
      </c>
      <c r="I50" s="55" t="str">
        <f>$I$31</f>
        <v>% Change over 8/1/2026</v>
      </c>
      <c r="J50" s="56" t="s">
        <v>144</v>
      </c>
      <c r="L50" s="64"/>
      <c r="M50" s="65"/>
      <c r="N50" s="54" t="str">
        <f>$D$31</f>
        <v>6/1/2026</v>
      </c>
      <c r="O50" s="176" t="str">
        <f>$E$31</f>
        <v>8/1/2026</v>
      </c>
      <c r="P50" s="55" t="str">
        <f>$D$2&amp;" Authorized"</f>
        <v>2030 Authorized</v>
      </c>
      <c r="Q50" s="55" t="str">
        <f>$D$2&amp;" w/Pending"</f>
        <v>2030 w/Pending</v>
      </c>
      <c r="R50" s="55" t="str">
        <f>$H$31</f>
        <v>% Change over 6/1/2026</v>
      </c>
      <c r="S50" s="55" t="str">
        <f>$I$31</f>
        <v>% Change over 8/1/2026</v>
      </c>
      <c r="T50" s="56" t="s">
        <v>144</v>
      </c>
    </row>
    <row r="51" spans="2:20">
      <c r="B51" s="796" t="s">
        <v>149</v>
      </c>
      <c r="C51" s="807"/>
      <c r="D51" s="160">
        <f>IF($D$3="All",'Res Bill Impact'!$D$47,(VLOOKUP($D$3,'Res Bill Impact'!$B$43:$J$46,3,FALSE)))</f>
        <v>151.37885833334184</v>
      </c>
      <c r="E51" s="160">
        <f>IF($D$3="All",'Res Bill Impact'!$F$47,(VLOOKUP($D$3,'Res Bill Impact'!$B$43:$J$46,5,FALSE)))</f>
        <v>151.83821062874151</v>
      </c>
      <c r="F51" s="161">
        <f>IF($D$3="All",'Res Bill Impact'!$H$47,(VLOOKUP($D$3,'Res Bill Impact'!$B$43:$J$46,7,FALSE)))</f>
        <v>150.11074564110504</v>
      </c>
      <c r="G51" s="161">
        <f>IF($D$3="All",'Res Bill Impact'!$J$47,(VLOOKUP($D$3,'Res Bill Impact'!$B$43:$J$46,9,FALSE)))</f>
        <v>168.48787326322676</v>
      </c>
      <c r="H51" s="66">
        <f t="shared" ref="H51:J53" si="6">$G51/D51-1</f>
        <v>0.1130211650309203</v>
      </c>
      <c r="I51" s="66">
        <f t="shared" si="6"/>
        <v>0.10965397027231316</v>
      </c>
      <c r="J51" s="68">
        <f t="shared" si="6"/>
        <v>0.12242379813407234</v>
      </c>
      <c r="K51" s="427"/>
      <c r="L51" s="796" t="s">
        <v>149</v>
      </c>
      <c r="M51" s="807"/>
      <c r="N51" s="160">
        <f>IF($D$3="All",'Res Bill Impact'!$O$47,(VLOOKUP($D$3,'Res Bill Impact'!$M$43:$U$46,3,FALSE)))</f>
        <v>136.2540930443262</v>
      </c>
      <c r="O51" s="160">
        <f>IF($D$3="All",'Res Bill Impact'!$Q$47,(VLOOKUP($D$3,'Res Bill Impact'!$M$43:$U$46,5,FALSE)))</f>
        <v>136.6589868371706</v>
      </c>
      <c r="P51" s="161">
        <f>IF($D$3="All",'Res Bill Impact'!$S$47,(VLOOKUP($D$3,'Res Bill Impact'!$M$43:$U$46,7,FALSE)))</f>
        <v>135.13632142795254</v>
      </c>
      <c r="Q51" s="161">
        <f>IF($D$3="All",'Res Bill Impact'!$U$47,(VLOOKUP($D$3,'Res Bill Impact'!$M$43:$U$46,9,FALSE)))</f>
        <v>151.33474903792444</v>
      </c>
      <c r="R51" s="66">
        <f t="shared" ref="R51:T53" si="7">$Q51/N51-1</f>
        <v>0.11068038879897868</v>
      </c>
      <c r="S51" s="66">
        <f t="shared" si="7"/>
        <v>0.10738966050026422</v>
      </c>
      <c r="T51" s="252">
        <f t="shared" si="7"/>
        <v>0.11986731205058021</v>
      </c>
    </row>
    <row r="52" spans="2:20">
      <c r="B52" s="796" t="s">
        <v>150</v>
      </c>
      <c r="C52" s="807"/>
      <c r="D52" s="160">
        <f>IF($D$3="All",'Res Bill Impact'!$D$57,(VLOOKUP($D$3,'Res Bill Impact'!$B$53:$J$56,3,FALSE)))</f>
        <v>83.765680341300012</v>
      </c>
      <c r="E52" s="160">
        <f>IF($D$3="All",'Res Bill Impact'!$F$57,(VLOOKUP($D$3,'Res Bill Impact'!$B$53:$J$56,5,FALSE)))</f>
        <v>84.057226271849999</v>
      </c>
      <c r="F52" s="161">
        <f>IF($D$3="All",'Res Bill Impact'!$H$57,(VLOOKUP($D$3,'Res Bill Impact'!$B$53:$J$56,7,FALSE)))</f>
        <v>83.004420976484582</v>
      </c>
      <c r="G52" s="161">
        <f>IF($D$3="All",'Res Bill Impact'!$J$57,(VLOOKUP($D$3,'Res Bill Impact'!$B$53:$J$56,9,FALSE)))</f>
        <v>94.204380114670883</v>
      </c>
      <c r="H52" s="66">
        <f t="shared" si="6"/>
        <v>0.12461785937676129</v>
      </c>
      <c r="I52" s="66">
        <f t="shared" si="6"/>
        <v>0.12071721008261571</v>
      </c>
      <c r="J52" s="68">
        <f t="shared" si="6"/>
        <v>0.13493207959801667</v>
      </c>
      <c r="K52" s="427"/>
      <c r="L52" s="796" t="s">
        <v>150</v>
      </c>
      <c r="M52" s="807"/>
      <c r="N52" s="160">
        <f>IF($D$3="All",'Res Bill Impact'!$O$57,(VLOOKUP($D$3,'Res Bill Impact'!$M$53:$U$56,3,FALSE)))</f>
        <v>79.688259767879998</v>
      </c>
      <c r="O52" s="160">
        <f>IF($D$3="All",'Res Bill Impact'!$Q$57,(VLOOKUP($D$3,'Res Bill Impact'!$M$53:$U$56,5,FALSE)))</f>
        <v>79.964536229060002</v>
      </c>
      <c r="P52" s="161">
        <f>IF($D$3="All",'Res Bill Impact'!$S$57,(VLOOKUP($D$3,'Res Bill Impact'!$M$53:$U$56,7,FALSE)))</f>
        <v>78.966870712801864</v>
      </c>
      <c r="Q52" s="161">
        <f>IF($D$3="All",'Res Bill Impact'!$U$57,(VLOOKUP($D$3,'Res Bill Impact'!$M$53:$U$56,9,FALSE)))</f>
        <v>89.580241546760547</v>
      </c>
      <c r="R52" s="66">
        <f t="shared" si="7"/>
        <v>0.12413348977245109</v>
      </c>
      <c r="S52" s="66">
        <f t="shared" si="7"/>
        <v>0.1202496227847325</v>
      </c>
      <c r="T52" s="68">
        <f t="shared" si="7"/>
        <v>0.13440282916311741</v>
      </c>
    </row>
    <row r="53" spans="2:20" ht="15.75" thickBot="1">
      <c r="B53" s="798" t="s">
        <v>112</v>
      </c>
      <c r="C53" s="806"/>
      <c r="D53" s="162">
        <f>D51*(1-'SAR and RAR'!$AD$16)+D52*'SAR and RAR'!$AD$16</f>
        <v>138.17841784192117</v>
      </c>
      <c r="E53" s="162">
        <f>E51*(1-'SAR and RAR'!$AD$16)+E52*'SAR and RAR'!$AD$16</f>
        <v>138.6050085071318</v>
      </c>
      <c r="F53" s="162">
        <f>F51*(1-'SAR and RAR'!$AD$16)+F52*'SAR and RAR'!$AD$16</f>
        <v>137.00926052177607</v>
      </c>
      <c r="G53" s="162">
        <f>G51*(1-'SAR and RAR'!$AD$16)+G52*'SAR and RAR'!$AD$16</f>
        <v>153.98515559896046</v>
      </c>
      <c r="H53" s="69">
        <f t="shared" si="6"/>
        <v>0.11439368031498609</v>
      </c>
      <c r="I53" s="69">
        <f t="shared" si="6"/>
        <v>0.11096386239922418</v>
      </c>
      <c r="J53" s="70">
        <f t="shared" si="6"/>
        <v>0.12390326765165094</v>
      </c>
      <c r="K53" s="427"/>
      <c r="L53" s="798" t="s">
        <v>112</v>
      </c>
      <c r="M53" s="806"/>
      <c r="N53" s="162">
        <f>N51*(1-'SAR and RAR'!$AD$16)+N52*'SAR and RAR'!$AD$16</f>
        <v>125.21047790614649</v>
      </c>
      <c r="O53" s="162">
        <f>O51*(1-'SAR and RAR'!$AD$16)+O52*'SAR and RAR'!$AD$16</f>
        <v>125.59026112908097</v>
      </c>
      <c r="P53" s="162">
        <f>P51*(1-'SAR and RAR'!$AD$16)+P52*'SAR and RAR'!$AD$16</f>
        <v>124.17009393176231</v>
      </c>
      <c r="Q53" s="162">
        <f>Q51*(1-'SAR and RAR'!$AD$16)+Q52*'SAR and RAR'!$AD$16</f>
        <v>139.27812449485015</v>
      </c>
      <c r="R53" s="69">
        <f t="shared" si="7"/>
        <v>0.11235199181372257</v>
      </c>
      <c r="S53" s="69">
        <f t="shared" si="7"/>
        <v>0.10898825468402262</v>
      </c>
      <c r="T53" s="70">
        <f t="shared" si="7"/>
        <v>0.12167205552240667</v>
      </c>
    </row>
    <row r="54" spans="2:20" ht="15.75" thickBot="1">
      <c r="D54" s="437"/>
      <c r="E54" s="437"/>
      <c r="F54" s="437"/>
      <c r="G54" s="437"/>
      <c r="N54" s="437"/>
      <c r="O54" s="437"/>
      <c r="P54" s="437"/>
      <c r="Q54" s="437"/>
    </row>
    <row r="55" spans="2:20">
      <c r="B55" s="803" t="s">
        <v>299</v>
      </c>
      <c r="C55" s="804"/>
      <c r="D55" s="804"/>
      <c r="E55" s="804"/>
      <c r="F55" s="804"/>
      <c r="G55" s="804"/>
      <c r="H55" s="804"/>
      <c r="I55" s="804"/>
      <c r="J55" s="805"/>
      <c r="L55" s="800" t="s">
        <v>298</v>
      </c>
      <c r="M55" s="801"/>
      <c r="N55" s="801"/>
      <c r="O55" s="801"/>
      <c r="P55" s="801"/>
      <c r="Q55" s="801"/>
      <c r="R55" s="801"/>
      <c r="S55" s="801"/>
      <c r="T55" s="802"/>
    </row>
    <row r="56" spans="2:20" ht="30">
      <c r="B56" s="64"/>
      <c r="C56" s="231"/>
      <c r="D56" s="54" t="str">
        <f>D50</f>
        <v>6/1/2026</v>
      </c>
      <c r="E56" s="176" t="str">
        <f>E50</f>
        <v>8/1/2026</v>
      </c>
      <c r="F56" s="55" t="str">
        <f>$D$2&amp;" Authorized"</f>
        <v>2030 Authorized</v>
      </c>
      <c r="G56" s="55" t="str">
        <f>$D$2&amp;" w/Pending"</f>
        <v>2030 w/Pending</v>
      </c>
      <c r="H56" s="55" t="str">
        <f>$H$31</f>
        <v>% Change over 6/1/2026</v>
      </c>
      <c r="I56" s="55" t="str">
        <f>$I$31</f>
        <v>% Change over 8/1/2026</v>
      </c>
      <c r="J56" s="56" t="s">
        <v>144</v>
      </c>
      <c r="L56" s="64"/>
      <c r="M56" s="231"/>
      <c r="N56" s="54" t="str">
        <f>N50</f>
        <v>6/1/2026</v>
      </c>
      <c r="O56" s="176" t="str">
        <f>O50</f>
        <v>8/1/2026</v>
      </c>
      <c r="P56" s="55" t="str">
        <f>$D$2&amp;" Authorized"</f>
        <v>2030 Authorized</v>
      </c>
      <c r="Q56" s="55" t="str">
        <f>$D$2&amp;" w/Pending"</f>
        <v>2030 w/Pending</v>
      </c>
      <c r="R56" s="55" t="str">
        <f>$H$31</f>
        <v>% Change over 6/1/2026</v>
      </c>
      <c r="S56" s="55" t="str">
        <f>$I$31</f>
        <v>% Change over 8/1/2026</v>
      </c>
      <c r="T56" s="56" t="s">
        <v>144</v>
      </c>
    </row>
    <row r="57" spans="2:20">
      <c r="B57" s="796" t="s">
        <v>286</v>
      </c>
      <c r="C57" s="797"/>
      <c r="D57" s="160">
        <f>((D63*5)+(D69*7)+(I6*2))/12</f>
        <v>128.39480700242532</v>
      </c>
      <c r="E57" s="160">
        <f>((E63*5)+(E69*7)+(I6*2))/12</f>
        <v>128.80102647283164</v>
      </c>
      <c r="F57" s="160">
        <f>((F63*5)+(F69*7)+(I7*2))/12</f>
        <v>127.92899252131393</v>
      </c>
      <c r="G57" s="160">
        <f>((G63*5)+(G69*7)+(I7*2))/12</f>
        <v>144.18045599501269</v>
      </c>
      <c r="H57" s="66">
        <f t="shared" ref="H57:J59" si="8">$G57/D57-1</f>
        <v>0.12294616395419466</v>
      </c>
      <c r="I57" s="67">
        <f t="shared" si="8"/>
        <v>0.11940455711682607</v>
      </c>
      <c r="J57" s="68">
        <f t="shared" si="8"/>
        <v>0.12703503055408771</v>
      </c>
      <c r="K57" s="428"/>
      <c r="L57" s="796" t="s">
        <v>286</v>
      </c>
      <c r="M57" s="797"/>
      <c r="N57" s="160">
        <f>((N63*5)+(N69*7)+(I6*2))/12</f>
        <v>110.21033148848778</v>
      </c>
      <c r="O57" s="160">
        <f>((O63*5)+(O69*7)+(I6*2))/12</f>
        <v>110.55107560854525</v>
      </c>
      <c r="P57" s="160">
        <f>((P63*5)+(P69*7)+(I7*2))/12</f>
        <v>109.92527178674196</v>
      </c>
      <c r="Q57" s="160">
        <f>((Q63*5)+(Q69*7)+(I7*2))/12</f>
        <v>123.55728852747706</v>
      </c>
      <c r="R57" s="66">
        <f t="shared" ref="R57:T59" si="9">$Q57/N57-1</f>
        <v>0.12110440880384665</v>
      </c>
      <c r="S57" s="66">
        <f t="shared" si="9"/>
        <v>0.11764890433980058</v>
      </c>
      <c r="T57" s="252">
        <f t="shared" si="9"/>
        <v>0.12401167192182694</v>
      </c>
    </row>
    <row r="58" spans="2:20">
      <c r="B58" s="796" t="s">
        <v>287</v>
      </c>
      <c r="C58" s="797"/>
      <c r="D58" s="160">
        <f>((D64*5)+(D70*7)+(I6*2))/12</f>
        <v>68.528403397996243</v>
      </c>
      <c r="E58" s="160">
        <f>((E64*5)+(E70*7)+(I6*2))/12</f>
        <v>68.793698397996238</v>
      </c>
      <c r="F58" s="160">
        <f>((F64*5)+(F70*7)+(I7*2))/12</f>
        <v>68.491305050947858</v>
      </c>
      <c r="G58" s="160">
        <f>((G64*5)+(G70*7)+(I7*2))/12</f>
        <v>78.682814683614666</v>
      </c>
      <c r="H58" s="66">
        <f t="shared" si="8"/>
        <v>0.14817813902133503</v>
      </c>
      <c r="I58" s="66">
        <f t="shared" si="8"/>
        <v>0.14375032184497982</v>
      </c>
      <c r="J58" s="68">
        <f t="shared" si="8"/>
        <v>0.14880005024120591</v>
      </c>
      <c r="K58" s="428"/>
      <c r="L58" s="796" t="s">
        <v>287</v>
      </c>
      <c r="M58" s="797"/>
      <c r="N58" s="160">
        <f>((N64*5)+(N70*7)+(I6*2))/12</f>
        <v>57.109938397996252</v>
      </c>
      <c r="O58" s="160">
        <f>((O64*5)+(O70*7)+(I6*2))/12</f>
        <v>57.332472564662915</v>
      </c>
      <c r="P58" s="160">
        <f>((P64*5)+(P70*7)+(I7*2))/12</f>
        <v>57.184493418089367</v>
      </c>
      <c r="Q58" s="160">
        <f>((Q64*5)+(Q70*7)+(I7*2))/12</f>
        <v>65.733313045978377</v>
      </c>
      <c r="R58" s="66">
        <f t="shared" si="9"/>
        <v>0.15099604184277471</v>
      </c>
      <c r="S58" s="66">
        <f t="shared" si="9"/>
        <v>0.1465284873566286</v>
      </c>
      <c r="T58" s="68">
        <f t="shared" si="9"/>
        <v>0.14949541592309945</v>
      </c>
    </row>
    <row r="59" spans="2:20" ht="15.75" thickBot="1">
      <c r="B59" s="798" t="s">
        <v>112</v>
      </c>
      <c r="C59" s="799"/>
      <c r="D59" s="162">
        <f>D57*(1-'SAR and RAR'!$AD$16)+D58*'SAR and RAR'!$AD$16</f>
        <v>116.70680591026169</v>
      </c>
      <c r="E59" s="162">
        <f>E57*(1-'SAR and RAR'!$AD$16)+E58*'SAR and RAR'!$AD$16</f>
        <v>117.08551202985936</v>
      </c>
      <c r="F59" s="162">
        <f>F57*(1-'SAR and RAR'!$AD$16)+F58*'SAR and RAR'!$AD$16</f>
        <v>116.32469170746108</v>
      </c>
      <c r="G59" s="162">
        <f>G57*(1-'SAR and RAR'!$AD$16)+G58*'SAR and RAR'!$AD$16</f>
        <v>131.39304173441855</v>
      </c>
      <c r="H59" s="69">
        <f t="shared" si="8"/>
        <v>0.12583872645310334</v>
      </c>
      <c r="I59" s="69">
        <f t="shared" si="8"/>
        <v>0.12219726810359299</v>
      </c>
      <c r="J59" s="70">
        <f t="shared" si="8"/>
        <v>0.12953698656560442</v>
      </c>
      <c r="K59" s="428"/>
      <c r="L59" s="798" t="s">
        <v>112</v>
      </c>
      <c r="M59" s="799"/>
      <c r="N59" s="162">
        <f>((N65*5)+(N71*7)+(I6*2))/12</f>
        <v>99.843290626356108</v>
      </c>
      <c r="O59" s="162">
        <f>((O65*5)+(O71*7)+(I6*2))/12</f>
        <v>100.16095605818195</v>
      </c>
      <c r="P59" s="162">
        <f>((P65*5)+(P71*7)+(I7*2))/12</f>
        <v>99.628440207422486</v>
      </c>
      <c r="Q59" s="162">
        <f>((Q65*5)+(Q71*7)+(I7*2))/12</f>
        <v>112.26804033667713</v>
      </c>
      <c r="R59" s="69">
        <f t="shared" si="9"/>
        <v>0.12444251018146235</v>
      </c>
      <c r="S59" s="69">
        <f t="shared" si="9"/>
        <v>0.1208762850812084</v>
      </c>
      <c r="T59" s="70">
        <f t="shared" si="9"/>
        <v>0.12686738950182797</v>
      </c>
    </row>
    <row r="60" spans="2:20" ht="15.75" thickBot="1">
      <c r="B60"/>
      <c r="C60"/>
      <c r="D60" s="437"/>
      <c r="E60" s="437"/>
      <c r="F60" s="437"/>
      <c r="G60" s="437"/>
      <c r="H60"/>
      <c r="I60"/>
      <c r="J60"/>
      <c r="L60"/>
      <c r="M60"/>
      <c r="N60" s="437"/>
      <c r="O60" s="437"/>
      <c r="P60" s="437"/>
      <c r="Q60" s="437"/>
      <c r="R60"/>
      <c r="S60"/>
      <c r="T60"/>
    </row>
    <row r="61" spans="2:20">
      <c r="B61" s="803" t="s">
        <v>290</v>
      </c>
      <c r="C61" s="804"/>
      <c r="D61" s="804"/>
      <c r="E61" s="804"/>
      <c r="F61" s="804"/>
      <c r="G61" s="804"/>
      <c r="H61" s="804"/>
      <c r="I61" s="804"/>
      <c r="J61" s="805"/>
      <c r="L61" s="800" t="s">
        <v>296</v>
      </c>
      <c r="M61" s="801"/>
      <c r="N61" s="801"/>
      <c r="O61" s="801"/>
      <c r="P61" s="801"/>
      <c r="Q61" s="801"/>
      <c r="R61" s="801"/>
      <c r="S61" s="801"/>
      <c r="T61" s="802"/>
    </row>
    <row r="62" spans="2:20" ht="30">
      <c r="B62" s="64"/>
      <c r="C62" s="231"/>
      <c r="D62" s="54" t="str">
        <f>D56</f>
        <v>6/1/2026</v>
      </c>
      <c r="E62" s="176" t="str">
        <f>E56</f>
        <v>8/1/2026</v>
      </c>
      <c r="F62" s="55" t="str">
        <f>$D$2&amp;" Authorized"</f>
        <v>2030 Authorized</v>
      </c>
      <c r="G62" s="55" t="str">
        <f>$D$2&amp;" w/Pending"</f>
        <v>2030 w/Pending</v>
      </c>
      <c r="H62" s="55" t="str">
        <f>$H$31</f>
        <v>% Change over 6/1/2026</v>
      </c>
      <c r="I62" s="55" t="str">
        <f>$I$31</f>
        <v>% Change over 8/1/2026</v>
      </c>
      <c r="J62" s="56" t="s">
        <v>144</v>
      </c>
      <c r="L62" s="64"/>
      <c r="M62" s="231"/>
      <c r="N62" s="54" t="str">
        <f>N56</f>
        <v>6/1/2026</v>
      </c>
      <c r="O62" s="176" t="str">
        <f>O56</f>
        <v>8/1/2026</v>
      </c>
      <c r="P62" s="55" t="str">
        <f>$D$2&amp;" Authorized"</f>
        <v>2030 Authorized</v>
      </c>
      <c r="Q62" s="55" t="str">
        <f>$D$2&amp;" w/Pending"</f>
        <v>2030 w/Pending</v>
      </c>
      <c r="R62" s="55" t="str">
        <f>$H$31</f>
        <v>% Change over 6/1/2026</v>
      </c>
      <c r="S62" s="55" t="str">
        <f>$I$31</f>
        <v>% Change over 8/1/2026</v>
      </c>
      <c r="T62" s="56" t="s">
        <v>144</v>
      </c>
    </row>
    <row r="63" spans="2:20">
      <c r="B63" s="796" t="s">
        <v>286</v>
      </c>
      <c r="C63" s="797"/>
      <c r="D63" s="160">
        <f>IF($D$3="All",'Res Bill Impact'!C67,(VLOOKUP($D$3,'Res Bill Impact'!$B$63:$J$66,2,FALSE)))</f>
        <v>135.17851562411644</v>
      </c>
      <c r="E63" s="160">
        <f>IF($D$3="All",'Res Bill Impact'!E67,(VLOOKUP($D$3,'Res Bill Impact'!$B$63:$J$66,4,FALSE)))</f>
        <v>135.57953667351208</v>
      </c>
      <c r="F63" s="160">
        <f>IF($D$3="All",'Res Bill Impact'!G67,(VLOOKUP($D$3,'Res Bill Impact'!$B$63:$J$66,6,FALSE)))</f>
        <v>134.07143531193421</v>
      </c>
      <c r="G63" s="160">
        <f>IF($D$3="All",'Res Bill Impact'!I67,(VLOOKUP($D$3,'Res Bill Impact'!$B$63:$J$66,8,FALSE)))</f>
        <v>150.11492758944306</v>
      </c>
      <c r="H63" s="66">
        <f t="shared" ref="H63:I65" si="10">$G63/D63-1</f>
        <v>0.11049397825065244</v>
      </c>
      <c r="I63" s="67">
        <f t="shared" si="10"/>
        <v>0.10720932725219101</v>
      </c>
      <c r="J63" s="68">
        <f>$G63/F63-1</f>
        <v>0.11966376163708259</v>
      </c>
      <c r="K63" s="429"/>
      <c r="L63" s="796" t="s">
        <v>286</v>
      </c>
      <c r="M63" s="797"/>
      <c r="N63" s="160">
        <f>IF($D$3="All",'Res Bill Impact'!N67,(VLOOKUP($D$3,'Res Bill Impact'!$M$63:$U$66,2,FALSE)))</f>
        <v>98.465812696166935</v>
      </c>
      <c r="O63" s="160">
        <f>IF($D$3="All",'Res Bill Impact'!P67,(VLOOKUP($D$3,'Res Bill Impact'!$M$63:$U$66,4,FALSE)))</f>
        <v>98.734645325576608</v>
      </c>
      <c r="P63" s="160">
        <f>IF($D$3="All",'Res Bill Impact'!R67,(VLOOKUP($D$3,'Res Bill Impact'!$M$63:$U$66,6,FALSE)))</f>
        <v>97.723658857259579</v>
      </c>
      <c r="Q63" s="160">
        <f>IF($D$3="All",'Res Bill Impact'!T67,(VLOOKUP($D$3,'Res Bill Impact'!$M$63:$U$66,8,FALSE)))</f>
        <v>108.47874071736736</v>
      </c>
      <c r="R63" s="66">
        <f t="shared" ref="R63:T65" si="11">$Q63/N63-1</f>
        <v>0.10168938585920184</v>
      </c>
      <c r="S63" s="66">
        <f t="shared" si="11"/>
        <v>9.868972901720241E-2</v>
      </c>
      <c r="T63" s="252">
        <f t="shared" si="11"/>
        <v>0.11005607020728969</v>
      </c>
    </row>
    <row r="64" spans="2:20">
      <c r="B64" s="796" t="s">
        <v>287</v>
      </c>
      <c r="C64" s="797"/>
      <c r="D64" s="160">
        <f>IF($D$3="All",'Res Bill Impact'!C77,(VLOOKUP($D$3,'Res Bill Impact'!$B$73:$J$76,2,FALSE)))</f>
        <v>75.849299999999999</v>
      </c>
      <c r="E64" s="160">
        <f>IF($D$3="All",'Res Bill Impact'!E77,(VLOOKUP($D$3,'Res Bill Impact'!$B$73:$J$76,4,FALSE)))</f>
        <v>76.111199999999997</v>
      </c>
      <c r="F64" s="160">
        <f>IF($D$3="All",'Res Bill Impact'!G77,(VLOOKUP($D$3,'Res Bill Impact'!$B$73:$J$76,6,FALSE)))</f>
        <v>75.165449509379044</v>
      </c>
      <c r="G64" s="160">
        <f>IF($D$3="All",'Res Bill Impact'!I77,(VLOOKUP($D$3,'Res Bill Impact'!$B$73:$J$76,8,FALSE)))</f>
        <v>85.226537629379195</v>
      </c>
      <c r="H64" s="66">
        <f t="shared" si="10"/>
        <v>0.12362985062985676</v>
      </c>
      <c r="I64" s="66">
        <f t="shared" si="10"/>
        <v>0.11976342022434538</v>
      </c>
      <c r="J64" s="68">
        <f>$G64/F64-1</f>
        <v>0.13385256372004717</v>
      </c>
      <c r="K64" s="429"/>
      <c r="L64" s="796" t="s">
        <v>287</v>
      </c>
      <c r="M64" s="797"/>
      <c r="N64" s="160">
        <f>IF($D$3="All",'Res Bill Impact'!N77,(VLOOKUP($D$3,'Res Bill Impact'!$M$73:$U$76,2,FALSE)))</f>
        <v>52.796520000000001</v>
      </c>
      <c r="O64" s="160">
        <f>IF($D$3="All",'Res Bill Impact'!P77,(VLOOKUP($D$3,'Res Bill Impact'!$M$73:$U$76,4,FALSE)))</f>
        <v>52.972089999999994</v>
      </c>
      <c r="P64" s="160">
        <f>IF($D$3="All",'Res Bill Impact'!R77,(VLOOKUP($D$3,'Res Bill Impact'!$M$73:$U$76,6,FALSE)))</f>
        <v>52.338086893324466</v>
      </c>
      <c r="Q64" s="160">
        <f>IF($D$3="All",'Res Bill Impact'!T77,(VLOOKUP($D$3,'Res Bill Impact'!$M$73:$U$76,8,FALSE)))</f>
        <v>59.082742262657902</v>
      </c>
      <c r="R64" s="66">
        <f t="shared" si="11"/>
        <v>0.11906508729472898</v>
      </c>
      <c r="S64" s="66">
        <f t="shared" si="11"/>
        <v>0.11535607265369197</v>
      </c>
      <c r="T64" s="68">
        <f t="shared" si="11"/>
        <v>0.12886705972039825</v>
      </c>
    </row>
    <row r="65" spans="2:20" ht="15.75" thickBot="1">
      <c r="B65" s="798" t="s">
        <v>112</v>
      </c>
      <c r="C65" s="799"/>
      <c r="D65" s="162">
        <f>D63*(1-'SAR and RAR'!$AD$16)+D64*'SAR and RAR'!$AD$16</f>
        <v>123.59539228178522</v>
      </c>
      <c r="E65" s="162">
        <f>E63*(1-'SAR and RAR'!$AD$16)+E64*'SAR and RAR'!$AD$16</f>
        <v>123.96925207078473</v>
      </c>
      <c r="F65" s="162">
        <f>F63*(1-'SAR and RAR'!$AD$16)+F64*'SAR and RAR'!$AD$16</f>
        <v>122.57094112917855</v>
      </c>
      <c r="G65" s="162">
        <f>G63*(1-'SAR and RAR'!$AD$16)+G64*'SAR and RAR'!$AD$16</f>
        <v>137.44646035140346</v>
      </c>
      <c r="H65" s="69">
        <f t="shared" si="10"/>
        <v>0.11206783532867615</v>
      </c>
      <c r="I65" s="69">
        <f t="shared" si="10"/>
        <v>0.10871412108644019</v>
      </c>
      <c r="J65" s="70">
        <f>$G65/F65-1</f>
        <v>0.12136252757125754</v>
      </c>
      <c r="K65" s="429"/>
      <c r="L65" s="798" t="s">
        <v>112</v>
      </c>
      <c r="M65" s="799"/>
      <c r="N65" s="162">
        <f>N63*(1-'SAR and RAR'!$AD$16)+N64*'SAR and RAR'!$AD$16</f>
        <v>89.549580706716867</v>
      </c>
      <c r="O65" s="162">
        <f>O63*(1-'SAR and RAR'!$AD$16)+O64*'SAR and RAR'!$AD$16</f>
        <v>89.800205231935067</v>
      </c>
      <c r="P65" s="162">
        <f>P63*(1-'SAR and RAR'!$AD$16)+P64*'SAR and RAR'!$AD$16</f>
        <v>88.862819008117569</v>
      </c>
      <c r="Q65" s="162">
        <f>Q63*(1-'SAR and RAR'!$AD$16)+Q64*'SAR and RAR'!$AD$16</f>
        <v>98.834926338572032</v>
      </c>
      <c r="R65" s="69">
        <f t="shared" si="11"/>
        <v>0.10368943727682578</v>
      </c>
      <c r="S65" s="69">
        <f t="shared" si="11"/>
        <v>0.10060913650812031</v>
      </c>
      <c r="T65" s="70">
        <f t="shared" si="11"/>
        <v>0.1122191197821838</v>
      </c>
    </row>
    <row r="66" spans="2:20" ht="15.75" thickBot="1">
      <c r="D66" s="437"/>
      <c r="E66" s="437"/>
      <c r="F66" s="437"/>
      <c r="G66" s="437"/>
      <c r="K66" s="430"/>
      <c r="N66" s="437"/>
      <c r="O66" s="437"/>
      <c r="P66" s="437"/>
      <c r="Q66" s="437"/>
    </row>
    <row r="67" spans="2:20">
      <c r="B67" s="803" t="s">
        <v>289</v>
      </c>
      <c r="C67" s="804"/>
      <c r="D67" s="804"/>
      <c r="E67" s="804"/>
      <c r="F67" s="804"/>
      <c r="G67" s="804"/>
      <c r="H67" s="804"/>
      <c r="I67" s="804"/>
      <c r="J67" s="805"/>
      <c r="K67" s="430"/>
      <c r="L67" s="800" t="s">
        <v>297</v>
      </c>
      <c r="M67" s="801"/>
      <c r="N67" s="801"/>
      <c r="O67" s="801"/>
      <c r="P67" s="801"/>
      <c r="Q67" s="801"/>
      <c r="R67" s="801"/>
      <c r="S67" s="801"/>
      <c r="T67" s="802"/>
    </row>
    <row r="68" spans="2:20" ht="30">
      <c r="B68" s="64"/>
      <c r="C68" s="231"/>
      <c r="D68" s="54" t="str">
        <f>D62</f>
        <v>6/1/2026</v>
      </c>
      <c r="E68" s="176" t="str">
        <f>E62</f>
        <v>8/1/2026</v>
      </c>
      <c r="F68" s="55" t="str">
        <f>$D$2&amp;" Authorized"</f>
        <v>2030 Authorized</v>
      </c>
      <c r="G68" s="55" t="str">
        <f>$D$2&amp;" w/Pending"</f>
        <v>2030 w/Pending</v>
      </c>
      <c r="H68" s="55" t="str">
        <f>$H$31</f>
        <v>% Change over 6/1/2026</v>
      </c>
      <c r="I68" s="55" t="str">
        <f>$I$31</f>
        <v>% Change over 8/1/2026</v>
      </c>
      <c r="J68" s="56" t="s">
        <v>144</v>
      </c>
      <c r="K68" s="430"/>
      <c r="L68" s="64"/>
      <c r="M68" s="231"/>
      <c r="N68" s="54" t="str">
        <f>N62</f>
        <v>6/1/2026</v>
      </c>
      <c r="O68" s="176" t="str">
        <f>O62</f>
        <v>8/1/2026</v>
      </c>
      <c r="P68" s="55" t="str">
        <f>$D$2&amp;" Authorized"</f>
        <v>2030 Authorized</v>
      </c>
      <c r="Q68" s="55" t="str">
        <f>$D$2&amp;" w/Pending"</f>
        <v>2030 w/Pending</v>
      </c>
      <c r="R68" s="55" t="str">
        <f>$H$31</f>
        <v>% Change over 6/1/2026</v>
      </c>
      <c r="S68" s="55" t="str">
        <f>$I$31</f>
        <v>% Change over 8/1/2026</v>
      </c>
      <c r="T68" s="56" t="s">
        <v>144</v>
      </c>
    </row>
    <row r="69" spans="2:20">
      <c r="B69" s="796" t="s">
        <v>286</v>
      </c>
      <c r="C69" s="797"/>
      <c r="D69" s="160">
        <f>IF($D$3="All",'Res Bill Impact'!D67,(VLOOKUP($D$3,'Res Bill Impact'!$B$63:$J$66,3,FALSE)))</f>
        <v>137.65352930465238</v>
      </c>
      <c r="E69" s="160">
        <f>IF($D$3="All",'Res Bill Impact'!F67,(VLOOKUP($D$3,'Res Bill Impact'!$B$63:$J$66,5,FALSE)))</f>
        <v>138.06346193292347</v>
      </c>
      <c r="F69" s="160">
        <f>IF($D$3="All",'Res Bill Impact'!H67,(VLOOKUP($D$3,'Res Bill Impact'!$B$63:$J$66,7,FALSE)))</f>
        <v>136.52184720775494</v>
      </c>
      <c r="G69" s="160">
        <f>IF($D$3="All",'Res Bill Impact'!J67,(VLOOKUP($D$3,'Res Bill Impact'!$B$63:$J$66,9,FALSE)))</f>
        <v>152.92186153587511</v>
      </c>
      <c r="H69" s="66">
        <f t="shared" ref="H69:I71" si="12">$G69/D69-1</f>
        <v>0.1109185671326387</v>
      </c>
      <c r="I69" s="67">
        <f t="shared" si="12"/>
        <v>0.10762007119718908</v>
      </c>
      <c r="J69" s="68">
        <f>$G69/F69-1</f>
        <v>0.12012739838747644</v>
      </c>
      <c r="K69" s="429"/>
      <c r="L69" s="796" t="s">
        <v>286</v>
      </c>
      <c r="M69" s="797"/>
      <c r="N69" s="160">
        <f>IF($D$3="All",'Res Bill Impact'!O67,(VLOOKUP($D$3,'Res Bill Impact'!$M$63:$U$66,3,FALSE)))</f>
        <v>132.70350194358053</v>
      </c>
      <c r="O69" s="160">
        <f>IF($D$3="All",'Res Bill Impact'!Q67,(VLOOKUP($D$3,'Res Bill Impact'!$M$63:$U$66,5,FALSE)))</f>
        <v>133.09561141410072</v>
      </c>
      <c r="P69" s="160">
        <f>IF($D$3="All",'Res Bill Impact'!S67,(VLOOKUP($D$3,'Res Bill Impact'!$M$63:$U$66,7,FALSE)))</f>
        <v>131.62102341611345</v>
      </c>
      <c r="Q69" s="160">
        <f>IF($D$3="All",'Res Bill Impact'!U67,(VLOOKUP($D$3,'Res Bill Impact'!$M$63:$U$66,9,FALSE)))</f>
        <v>147.30799364301097</v>
      </c>
      <c r="R69" s="66">
        <f t="shared" ref="R69:T71" si="13">$Q69/N69-1</f>
        <v>0.11005355160589203</v>
      </c>
      <c r="S69" s="66">
        <f t="shared" si="13"/>
        <v>0.10678325211408546</v>
      </c>
      <c r="T69" s="252">
        <f t="shared" si="13"/>
        <v>0.1191828616717554</v>
      </c>
    </row>
    <row r="70" spans="2:20">
      <c r="B70" s="796" t="s">
        <v>287</v>
      </c>
      <c r="C70" s="797"/>
      <c r="D70" s="160">
        <f>IF($D$3="All",'Res Bill Impact'!D77,(VLOOKUP($D$3,'Res Bill Impact'!$B$73:$J$76,3,FALSE)))</f>
        <v>77.403419999999997</v>
      </c>
      <c r="E70" s="160">
        <f>IF($D$3="All",'Res Bill Impact'!F77,(VLOOKUP($D$3,'Res Bill Impact'!$B$73:$J$76,5,FALSE)))</f>
        <v>77.671139999999994</v>
      </c>
      <c r="F70" s="160">
        <f>IF($D$3="All",'Res Bill Impact'!H77,(VLOOKUP($D$3,'Res Bill Impact'!$B$73:$J$76,7,FALSE)))</f>
        <v>76.704372831809678</v>
      </c>
      <c r="G70" s="160">
        <f>IF($D$3="All",'Res Bill Impact'!J77,(VLOOKUP($D$3,'Res Bill Impact'!$B$73:$J$76,9,FALSE)))</f>
        <v>86.989040687809833</v>
      </c>
      <c r="H70" s="66">
        <f t="shared" si="12"/>
        <v>0.12383975653543255</v>
      </c>
      <c r="I70" s="66">
        <f t="shared" si="12"/>
        <v>0.11996606059612147</v>
      </c>
      <c r="J70" s="68">
        <f>$G70/F70-1</f>
        <v>0.13408189750213362</v>
      </c>
      <c r="K70" s="429"/>
      <c r="L70" s="796" t="s">
        <v>287</v>
      </c>
      <c r="M70" s="797"/>
      <c r="N70" s="160">
        <f>IF($D$3="All",'Res Bill Impact'!O77,(VLOOKUP($D$3,'Res Bill Impact'!$M$73:$U$76,3,FALSE)))</f>
        <v>74.295180000000002</v>
      </c>
      <c r="O70" s="160">
        <f>IF($D$3="All",'Res Bill Impact'!Q77,(VLOOKUP($D$3,'Res Bill Impact'!$M$73:$U$76,5,FALSE)))</f>
        <v>74.551259999999999</v>
      </c>
      <c r="P70" s="160">
        <f>IF($D$3="All",'Res Bill Impact'!S77,(VLOOKUP($D$3,'Res Bill Impact'!$M$73:$U$76,7,FALSE)))</f>
        <v>73.626526186948396</v>
      </c>
      <c r="Q70" s="160">
        <f>IF($D$3="All",'Res Bill Impact'!U77,(VLOOKUP($D$3,'Res Bill Impact'!$M$73:$U$76,9,FALSE)))</f>
        <v>83.464034570948542</v>
      </c>
      <c r="R70" s="66">
        <f t="shared" si="13"/>
        <v>0.12341116302495725</v>
      </c>
      <c r="S70" s="66">
        <f t="shared" si="13"/>
        <v>0.1195522995982703</v>
      </c>
      <c r="T70" s="68">
        <f t="shared" si="13"/>
        <v>0.13361364298271106</v>
      </c>
    </row>
    <row r="71" spans="2:20" ht="15.75" thickBot="1">
      <c r="B71" s="798" t="s">
        <v>112</v>
      </c>
      <c r="C71" s="798"/>
      <c r="D71" s="162">
        <f>D69*(1-'SAR and RAR'!$AD$16)+D70*'SAR and RAR'!$AD$16</f>
        <v>125.89061553403704</v>
      </c>
      <c r="E71" s="162">
        <f>E69*(1-'SAR and RAR'!$AD$16)+E70*'SAR and RAR'!$AD$16</f>
        <v>126.27278331834765</v>
      </c>
      <c r="F71" s="162">
        <f>F69*(1-'SAR and RAR'!$AD$16)+F70*'SAR and RAR'!$AD$16</f>
        <v>124.84339880026128</v>
      </c>
      <c r="G71" s="162">
        <f>G69*(1-'SAR and RAR'!$AD$16)+G70*'SAR and RAR'!$AD$16</f>
        <v>140.04948511631341</v>
      </c>
      <c r="H71" s="69">
        <f t="shared" si="12"/>
        <v>0.11246961913891207</v>
      </c>
      <c r="I71" s="69">
        <f t="shared" si="12"/>
        <v>0.10910270159511071</v>
      </c>
      <c r="J71" s="70">
        <f>$G71/F71-1</f>
        <v>0.12180128434648396</v>
      </c>
      <c r="K71" s="429"/>
      <c r="L71" s="798" t="s">
        <v>112</v>
      </c>
      <c r="M71" s="798"/>
      <c r="N71" s="162">
        <f>N69*(1-'SAR and RAR'!$AD$16)+N70*'SAR and RAR'!$AD$16</f>
        <v>121.30016902953344</v>
      </c>
      <c r="O71" s="162">
        <f>O69*(1-'SAR and RAR'!$AD$16)+O70*'SAR and RAR'!$AD$16</f>
        <v>121.66572082322186</v>
      </c>
      <c r="P71" s="162">
        <f>P69*(1-'SAR and RAR'!$AD$16)+P70*'SAR and RAR'!$AD$16</f>
        <v>120.29848345809579</v>
      </c>
      <c r="Q71" s="162">
        <f>Q69*(1-'SAR and RAR'!$AD$16)+Q70*'SAR and RAR'!$AD$16</f>
        <v>134.84343558649346</v>
      </c>
      <c r="R71" s="69">
        <f t="shared" si="13"/>
        <v>0.11165084653478585</v>
      </c>
      <c r="S71" s="69">
        <f t="shared" si="13"/>
        <v>0.10831082637005518</v>
      </c>
      <c r="T71" s="70">
        <f t="shared" si="13"/>
        <v>0.12090719442414399</v>
      </c>
    </row>
    <row r="72" spans="2:20" ht="15.75" thickBot="1">
      <c r="D72" s="437"/>
      <c r="E72" s="437"/>
      <c r="F72" s="437"/>
      <c r="G72" s="437"/>
      <c r="N72" s="437"/>
      <c r="O72" s="437"/>
      <c r="P72" s="437"/>
      <c r="Q72" s="437"/>
    </row>
    <row r="73" spans="2:20">
      <c r="B73" s="803" t="s">
        <v>300</v>
      </c>
      <c r="C73" s="804"/>
      <c r="D73" s="804"/>
      <c r="E73" s="804"/>
      <c r="F73" s="804"/>
      <c r="G73" s="804"/>
      <c r="H73" s="804"/>
      <c r="I73" s="804"/>
      <c r="J73" s="805"/>
      <c r="L73" s="800" t="s">
        <v>295</v>
      </c>
      <c r="M73" s="801"/>
      <c r="N73" s="801"/>
      <c r="O73" s="801"/>
      <c r="P73" s="801"/>
      <c r="Q73" s="801"/>
      <c r="R73" s="801"/>
      <c r="S73" s="801"/>
      <c r="T73" s="802"/>
    </row>
    <row r="74" spans="2:20" ht="30">
      <c r="B74" s="64"/>
      <c r="C74" s="231"/>
      <c r="D74" s="54" t="str">
        <f>D68</f>
        <v>6/1/2026</v>
      </c>
      <c r="E74" s="176" t="str">
        <f>E68</f>
        <v>8/1/2026</v>
      </c>
      <c r="F74" s="55" t="str">
        <f>$D$2&amp;" Authorized"</f>
        <v>2030 Authorized</v>
      </c>
      <c r="G74" s="55" t="str">
        <f>$D$2&amp;" w/Pending"</f>
        <v>2030 w/Pending</v>
      </c>
      <c r="H74" s="55" t="str">
        <f>$H$31</f>
        <v>% Change over 6/1/2026</v>
      </c>
      <c r="I74" s="55" t="str">
        <f>$I$31</f>
        <v>% Change over 8/1/2026</v>
      </c>
      <c r="J74" s="56" t="s">
        <v>144</v>
      </c>
      <c r="L74" s="64"/>
      <c r="M74" s="231"/>
      <c r="N74" s="54" t="str">
        <f>N68</f>
        <v>6/1/2026</v>
      </c>
      <c r="O74" s="176" t="str">
        <f>O68</f>
        <v>8/1/2026</v>
      </c>
      <c r="P74" s="55" t="str">
        <f>$D$2&amp;" Authorized"</f>
        <v>2030 Authorized</v>
      </c>
      <c r="Q74" s="55" t="str">
        <f>$D$2&amp;" w/Pending"</f>
        <v>2030 w/Pending</v>
      </c>
      <c r="R74" s="55" t="str">
        <f>$H$31</f>
        <v>% Change over 6/1/2026</v>
      </c>
      <c r="S74" s="55" t="str">
        <f>$I$31</f>
        <v>% Change over 8/1/2026</v>
      </c>
      <c r="T74" s="56" t="s">
        <v>144</v>
      </c>
    </row>
    <row r="75" spans="2:20">
      <c r="B75" s="796" t="str">
        <f>$I$9&amp;" kWh Monthly Usage - Non-CARE"</f>
        <v>400 kWh Monthly Usage - Non-CARE</v>
      </c>
      <c r="C75" s="797"/>
      <c r="D75" s="160">
        <f>((D81*5)+(D87*7)+(I6*2))/12</f>
        <v>185.30361957484749</v>
      </c>
      <c r="E75" s="160">
        <f>((E81*5)+(E87*7)+(I6*2))/12</f>
        <v>185.91478730504241</v>
      </c>
      <c r="F75" s="160">
        <f>((F81*5)+(F87*7)+(I7*2))/12</f>
        <v>184.27201388709014</v>
      </c>
      <c r="G75" s="160">
        <f>((G81*5)+(G87*7)+(I7*2))/12</f>
        <v>208.72276223165201</v>
      </c>
      <c r="H75" s="67">
        <f t="shared" ref="H75:J77" si="14">$G75/D75-1</f>
        <v>0.12638254293432793</v>
      </c>
      <c r="I75" s="67">
        <f t="shared" si="14"/>
        <v>0.12267972471273669</v>
      </c>
      <c r="J75" s="68">
        <f t="shared" si="14"/>
        <v>0.13268834387159667</v>
      </c>
      <c r="K75" s="429"/>
      <c r="L75" s="796" t="str">
        <f>B75</f>
        <v>400 kWh Monthly Usage - Non-CARE</v>
      </c>
      <c r="M75" s="797"/>
      <c r="N75" s="160">
        <f>((N81*5)+(N87*7)+(I6*2))/12</f>
        <v>191.45263029976709</v>
      </c>
      <c r="O75" s="160">
        <f>((O81*5)+(O87*7)+(I6*2))/12</f>
        <v>192.08599207226857</v>
      </c>
      <c r="P75" s="160">
        <f>((P81*5)+(P87*7)+(I7*2))/12</f>
        <v>190.3597545432134</v>
      </c>
      <c r="Q75" s="160">
        <f>((Q81*5)+(Q87*7)+(I7*2))/12</f>
        <v>215.69841125789151</v>
      </c>
      <c r="R75" s="66">
        <f t="shared" ref="R75:T77" si="15">$Q75/N75-1</f>
        <v>0.12664114836219054</v>
      </c>
      <c r="S75" s="66">
        <f t="shared" si="15"/>
        <v>0.12292629426480639</v>
      </c>
      <c r="T75" s="252">
        <f t="shared" si="15"/>
        <v>0.13310931596587028</v>
      </c>
    </row>
    <row r="76" spans="2:20">
      <c r="B76" s="247"/>
      <c r="C76" s="42" t="str">
        <f>$I$9&amp;" kWh Monthly Usage - CARE"</f>
        <v>400 kWh Monthly Usage - CARE</v>
      </c>
      <c r="D76" s="160">
        <f>((D82*5)+(D88*7)+(I6*2))/12</f>
        <v>104.36717673132959</v>
      </c>
      <c r="E76" s="160">
        <f>((E82*5)+(E88*7)+(I6*2))/12</f>
        <v>104.76581673132959</v>
      </c>
      <c r="F76" s="160">
        <f>((F82*5)+(F88*7)+(I7*2))/12</f>
        <v>103.97861972211548</v>
      </c>
      <c r="G76" s="160">
        <f>((G82*5)+(G88*7)+(I7*2))/12</f>
        <v>119.32757036519682</v>
      </c>
      <c r="H76" s="66">
        <f t="shared" si="14"/>
        <v>0.14334385677960304</v>
      </c>
      <c r="I76" s="66">
        <f t="shared" si="14"/>
        <v>0.13899336718970678</v>
      </c>
      <c r="J76" s="68">
        <f t="shared" si="14"/>
        <v>0.14761641079773558</v>
      </c>
      <c r="K76" s="429"/>
      <c r="L76" s="247"/>
      <c r="M76" s="42" t="str">
        <f>C76</f>
        <v>400 kWh Monthly Usage - CARE</v>
      </c>
      <c r="N76" s="160">
        <f>((N82*5)+(N88*7)+(I6*2))/12</f>
        <v>108.36405339799624</v>
      </c>
      <c r="O76" s="160">
        <f>((O82*5)+(O88*7)+(I6*2))/12</f>
        <v>108.77653339799623</v>
      </c>
      <c r="P76" s="160">
        <f>((P82*5)+(P88*7)+(I7*2))/12</f>
        <v>107.9350923774269</v>
      </c>
      <c r="Q76" s="160">
        <f>((Q82*5)+(Q88*7)+(I7*2))/12</f>
        <v>123.8611019632629</v>
      </c>
      <c r="R76" s="66">
        <f t="shared" si="15"/>
        <v>0.1430091259907893</v>
      </c>
      <c r="S76" s="66">
        <f t="shared" si="15"/>
        <v>0.13867484184364098</v>
      </c>
      <c r="T76" s="68">
        <f t="shared" si="15"/>
        <v>0.14755172979466225</v>
      </c>
    </row>
    <row r="77" spans="2:20" ht="15.75" thickBot="1">
      <c r="B77" s="798" t="s">
        <v>112</v>
      </c>
      <c r="C77" s="799"/>
      <c r="D77" s="162">
        <f>((D83*5)+(D89*7)+(I6*2))/12</f>
        <v>169.50201507891799</v>
      </c>
      <c r="E77" s="162">
        <f>((E83*5)+(E89*7)+(I6*2))/12</f>
        <v>170.07169001527404</v>
      </c>
      <c r="F77" s="162">
        <f>((F83*5)+(F89*7)+(I7*2))/12</f>
        <v>168.59595482573846</v>
      </c>
      <c r="G77" s="162">
        <f>((G83*5)+(G89*7)+(I7*2))/12</f>
        <v>191.26971616138493</v>
      </c>
      <c r="H77" s="69">
        <f t="shared" si="14"/>
        <v>0.12842148851346802</v>
      </c>
      <c r="I77" s="69">
        <f t="shared" si="14"/>
        <v>0.12464170929451646</v>
      </c>
      <c r="J77" s="70">
        <f t="shared" si="14"/>
        <v>0.13448579688096407</v>
      </c>
      <c r="K77" s="429"/>
      <c r="L77" s="798" t="s">
        <v>112</v>
      </c>
      <c r="M77" s="799"/>
      <c r="N77" s="162">
        <f>((N83*5)+(N89*7)+(I6*2))/12</f>
        <v>175.23085449390643</v>
      </c>
      <c r="O77" s="162">
        <f>((O83*5)+(O89*7)+(I6*2))/12</f>
        <v>175.82109247338204</v>
      </c>
      <c r="P77" s="162">
        <f>((P83*5)+(P89*7)+(I7*2))/12</f>
        <v>174.26759795100318</v>
      </c>
      <c r="Q77" s="162">
        <f>((Q83*5)+(Q89*7)+(I7*2))/12</f>
        <v>197.76857905301233</v>
      </c>
      <c r="R77" s="69">
        <f t="shared" si="15"/>
        <v>0.12861732954620519</v>
      </c>
      <c r="S77" s="69">
        <f t="shared" si="15"/>
        <v>0.12482851898416558</v>
      </c>
      <c r="T77" s="70">
        <f t="shared" si="15"/>
        <v>0.1348557125841412</v>
      </c>
    </row>
    <row r="78" spans="2:20" ht="15.75" thickBot="1">
      <c r="D78" s="437"/>
      <c r="E78" s="437"/>
      <c r="F78" s="437"/>
      <c r="G78" s="437"/>
      <c r="N78" s="437"/>
      <c r="O78" s="437"/>
      <c r="P78" s="437"/>
      <c r="Q78" s="437"/>
    </row>
    <row r="79" spans="2:20">
      <c r="B79" s="803" t="s">
        <v>291</v>
      </c>
      <c r="C79" s="804"/>
      <c r="D79" s="804"/>
      <c r="E79" s="804"/>
      <c r="F79" s="804"/>
      <c r="G79" s="804"/>
      <c r="H79" s="804"/>
      <c r="I79" s="804"/>
      <c r="J79" s="805"/>
      <c r="L79" s="803" t="s">
        <v>294</v>
      </c>
      <c r="M79" s="804"/>
      <c r="N79" s="804"/>
      <c r="O79" s="804"/>
      <c r="P79" s="804"/>
      <c r="Q79" s="804"/>
      <c r="R79" s="804"/>
      <c r="S79" s="804"/>
      <c r="T79" s="805"/>
    </row>
    <row r="80" spans="2:20" ht="30">
      <c r="B80" s="64"/>
      <c r="C80" s="231"/>
      <c r="D80" s="54" t="str">
        <f>D74</f>
        <v>6/1/2026</v>
      </c>
      <c r="E80" s="176" t="str">
        <f>E74</f>
        <v>8/1/2026</v>
      </c>
      <c r="F80" s="55" t="str">
        <f>$D$2&amp;" Authorized"</f>
        <v>2030 Authorized</v>
      </c>
      <c r="G80" s="55" t="str">
        <f>$D$2&amp;" w/Pending"</f>
        <v>2030 w/Pending</v>
      </c>
      <c r="H80" s="55" t="str">
        <f>$H$31</f>
        <v>% Change over 6/1/2026</v>
      </c>
      <c r="I80" s="55" t="str">
        <f>$I$31</f>
        <v>% Change over 8/1/2026</v>
      </c>
      <c r="J80" s="56" t="s">
        <v>144</v>
      </c>
      <c r="L80" s="64"/>
      <c r="M80" s="231"/>
      <c r="N80" s="54" t="str">
        <f>N74</f>
        <v>6/1/2026</v>
      </c>
      <c r="O80" s="176" t="str">
        <f>O74</f>
        <v>8/1/2026</v>
      </c>
      <c r="P80" s="55" t="str">
        <f>$D$2&amp;" Authorized"</f>
        <v>2030 Authorized</v>
      </c>
      <c r="Q80" s="55" t="str">
        <f>$D$2&amp;" w/Pending"</f>
        <v>2030 w/Pending</v>
      </c>
      <c r="R80" s="55" t="str">
        <f>$H$31</f>
        <v>% Change over 6/1/2026</v>
      </c>
      <c r="S80" s="55" t="str">
        <f>$I$31</f>
        <v>% Change over 8/1/2026</v>
      </c>
      <c r="T80" s="56" t="s">
        <v>144</v>
      </c>
    </row>
    <row r="81" spans="2:20">
      <c r="B81" s="815" t="str">
        <f>$B$75</f>
        <v>400 kWh Monthly Usage - Non-CARE</v>
      </c>
      <c r="C81" s="816"/>
      <c r="D81" s="160">
        <f>IF($D$3="All",'Res Bill Impact'!C87,(VLOOKUP($D$3,'Res Bill Impact'!$B$83:$J$86,2,FALSE)))</f>
        <v>194.02869398118</v>
      </c>
      <c r="E81" s="160">
        <f>IF($D$3="All",'Res Bill Impact'!E87,(VLOOKUP($D$3,'Res Bill Impact'!$B$83:$J$86,4,FALSE)))</f>
        <v>194.64165776104136</v>
      </c>
      <c r="F81" s="160">
        <f>IF($D$3="All",'Res Bill Impact'!G87,(VLOOKUP($D$3,'Res Bill Impact'!$B$83:$J$86,6,FALSE)))</f>
        <v>192.33651314980469</v>
      </c>
      <c r="G81" s="160">
        <f>IF($D$3="All",'Res Bill Impact'!I87,(VLOOKUP($D$3,'Res Bill Impact'!$B$83:$J$86,8,FALSE)))</f>
        <v>216.85911535090776</v>
      </c>
      <c r="H81" s="67">
        <f t="shared" ref="H81:J83" si="16">$G81/D81-1</f>
        <v>0.117665180862075</v>
      </c>
      <c r="I81" s="67">
        <f t="shared" si="16"/>
        <v>0.11414543960133372</v>
      </c>
      <c r="J81" s="68">
        <f t="shared" si="16"/>
        <v>0.12749842346368845</v>
      </c>
      <c r="K81" s="429"/>
      <c r="L81" s="796" t="str">
        <f>B81</f>
        <v>400 kWh Monthly Usage - Non-CARE</v>
      </c>
      <c r="M81" s="797"/>
      <c r="N81" s="160">
        <f>IF($D$3="All",'Res Bill Impact'!N87,(VLOOKUP($D$3,'Res Bill Impact'!$M$83:$U$86,2,FALSE)))</f>
        <v>206.39780226020909</v>
      </c>
      <c r="O81" s="160">
        <f>IF($D$3="All",'Res Bill Impact'!P87,(VLOOKUP($D$3,'Res Bill Impact'!$M$83:$U$86,4,FALSE)))</f>
        <v>207.05541070320723</v>
      </c>
      <c r="P81" s="160">
        <f>IF($D$3="All",'Res Bill Impact'!R87,(VLOOKUP($D$3,'Res Bill Impact'!$M$83:$U$86,6,FALSE)))</f>
        <v>204.58237296674622</v>
      </c>
      <c r="Q81" s="160">
        <f>IF($D$3="All",'Res Bill Impact'!T87,(VLOOKUP($D$3,'Res Bill Impact'!$M$83:$U$86,8,FALSE)))</f>
        <v>230.89105674473049</v>
      </c>
      <c r="R81" s="66">
        <f t="shared" ref="R81:T83" si="17">$Q81/N81-1</f>
        <v>0.11867013222186529</v>
      </c>
      <c r="S81" s="66">
        <f t="shared" si="17"/>
        <v>0.11511723340419833</v>
      </c>
      <c r="T81" s="252">
        <f t="shared" si="17"/>
        <v>0.12859702131943007</v>
      </c>
    </row>
    <row r="82" spans="2:20">
      <c r="B82" s="247"/>
      <c r="C82" s="248" t="str">
        <f>$C$76</f>
        <v>400 kWh Monthly Usage - CARE</v>
      </c>
      <c r="D82" s="160">
        <f>IF($D$3="All",'Res Bill Impact'!C97,(VLOOKUP($D$3,'Res Bill Impact'!$B$93:$J$96,2,FALSE)))</f>
        <v>112.91809000000001</v>
      </c>
      <c r="E82" s="160">
        <f>IF($D$3="All",'Res Bill Impact'!E97,(VLOOKUP($D$3,'Res Bill Impact'!$B$93:$J$96,4,FALSE)))</f>
        <v>113.31785000000001</v>
      </c>
      <c r="F82" s="160">
        <f>IF($D$3="All",'Res Bill Impact'!G97,(VLOOKUP($D$3,'Res Bill Impact'!$B$93:$J$96,6,FALSE)))</f>
        <v>111.87064642985101</v>
      </c>
      <c r="G82" s="160">
        <f>IF($D$3="All",'Res Bill Impact'!I97,(VLOOKUP($D$3,'Res Bill Impact'!$B$93:$J$96,8,FALSE)))</f>
        <v>127.26629548448476</v>
      </c>
      <c r="H82" s="66">
        <f t="shared" si="16"/>
        <v>0.12706737675499791</v>
      </c>
      <c r="I82" s="66">
        <f t="shared" si="16"/>
        <v>0.12309133542936745</v>
      </c>
      <c r="J82" s="68">
        <f t="shared" si="16"/>
        <v>0.13762009558322941</v>
      </c>
      <c r="K82" s="429"/>
      <c r="L82" s="247"/>
      <c r="M82" s="42" t="str">
        <f>C82</f>
        <v>400 kWh Monthly Usage - CARE</v>
      </c>
      <c r="N82" s="160">
        <f>IF($D$3="All",'Res Bill Impact'!N97,(VLOOKUP($D$3,'Res Bill Impact'!$M$93:$U$96,2,FALSE)))</f>
        <v>120.95805000000001</v>
      </c>
      <c r="O82" s="160">
        <f>IF($D$3="All",'Res Bill Impact'!P97,(VLOOKUP($D$3,'Res Bill Impact'!$M$93:$U$96,4,FALSE)))</f>
        <v>121.38565</v>
      </c>
      <c r="P82" s="160">
        <f>IF($D$3="All",'Res Bill Impact'!R97,(VLOOKUP($D$3,'Res Bill Impact'!$M$93:$U$96,6,FALSE)))</f>
        <v>119.82933130874335</v>
      </c>
      <c r="Q82" s="160">
        <f>IF($D$3="All",'Res Bill Impact'!T97,(VLOOKUP($D$3,'Res Bill Impact'!$M$93:$U$96,8,FALSE)))</f>
        <v>136.38576945053671</v>
      </c>
      <c r="R82" s="66">
        <f t="shared" si="17"/>
        <v>0.1275460331126097</v>
      </c>
      <c r="S82" s="66">
        <f t="shared" si="17"/>
        <v>0.12357407527608677</v>
      </c>
      <c r="T82" s="68">
        <f t="shared" si="17"/>
        <v>0.13816682410698999</v>
      </c>
    </row>
    <row r="83" spans="2:20" ht="15.75" thickBot="1">
      <c r="B83" s="798" t="s">
        <v>112</v>
      </c>
      <c r="C83" s="806"/>
      <c r="D83" s="162">
        <f>D81*(1-'SAR and RAR'!$AD$16)+D82*'SAR and RAR'!$AD$16</f>
        <v>178.19308718271273</v>
      </c>
      <c r="E83" s="162">
        <f>E81*(1-'SAR and RAR'!$AD$16)+E82*'SAR and RAR'!$AD$16</f>
        <v>178.76442618036168</v>
      </c>
      <c r="F83" s="162">
        <f>F81*(1-'SAR and RAR'!$AD$16)+F82*'SAR and RAR'!$AD$16</f>
        <v>176.62678145589797</v>
      </c>
      <c r="G83" s="162">
        <f>G81*(1-'SAR and RAR'!$AD$16)+G82*'SAR and RAR'!$AD$16</f>
        <v>199.36748543159692</v>
      </c>
      <c r="H83" s="69">
        <f t="shared" si="16"/>
        <v>0.11882839331007666</v>
      </c>
      <c r="I83" s="69">
        <f t="shared" si="16"/>
        <v>0.11525256837424736</v>
      </c>
      <c r="J83" s="70">
        <f t="shared" si="16"/>
        <v>0.12875003319571388</v>
      </c>
      <c r="K83" s="429"/>
      <c r="L83" s="798" t="s">
        <v>112</v>
      </c>
      <c r="M83" s="799"/>
      <c r="N83" s="162">
        <f>N81*(1-'SAR and RAR'!$AD$16)+N82*'SAR and RAR'!$AD$16</f>
        <v>189.71699537008828</v>
      </c>
      <c r="O83" s="162">
        <f>O81*(1-'SAR and RAR'!$AD$16)+O82*'SAR and RAR'!$AD$16</f>
        <v>190.32969817701829</v>
      </c>
      <c r="P83" s="162">
        <f>P81*(1-'SAR and RAR'!$AD$16)+P82*'SAR and RAR'!$AD$16</f>
        <v>188.03563583504319</v>
      </c>
      <c r="Q83" s="162">
        <f>Q81*(1-'SAR and RAR'!$AD$16)+Q82*'SAR and RAR'!$AD$16</f>
        <v>212.44034257776065</v>
      </c>
      <c r="R83" s="69">
        <f t="shared" si="17"/>
        <v>0.11977496883368333</v>
      </c>
      <c r="S83" s="69">
        <f t="shared" si="17"/>
        <v>0.11617022783369357</v>
      </c>
      <c r="T83" s="70">
        <f t="shared" si="17"/>
        <v>0.12978766835519839</v>
      </c>
    </row>
    <row r="84" spans="2:20" ht="15.75" thickBot="1">
      <c r="D84" s="437"/>
      <c r="E84" s="437"/>
      <c r="F84" s="437"/>
      <c r="G84" s="437"/>
      <c r="N84" s="437"/>
      <c r="O84" s="437"/>
      <c r="P84" s="437"/>
      <c r="Q84" s="437"/>
    </row>
    <row r="85" spans="2:20">
      <c r="B85" s="803" t="s">
        <v>292</v>
      </c>
      <c r="C85" s="804"/>
      <c r="D85" s="804"/>
      <c r="E85" s="804"/>
      <c r="F85" s="804"/>
      <c r="G85" s="804"/>
      <c r="H85" s="804"/>
      <c r="I85" s="804"/>
      <c r="J85" s="805"/>
      <c r="L85" s="803" t="s">
        <v>293</v>
      </c>
      <c r="M85" s="804"/>
      <c r="N85" s="804"/>
      <c r="O85" s="804"/>
      <c r="P85" s="804"/>
      <c r="Q85" s="804"/>
      <c r="R85" s="804"/>
      <c r="S85" s="804"/>
      <c r="T85" s="805"/>
    </row>
    <row r="86" spans="2:20" ht="30">
      <c r="B86" s="64"/>
      <c r="C86" s="231"/>
      <c r="D86" s="54" t="str">
        <f>D80</f>
        <v>6/1/2026</v>
      </c>
      <c r="E86" s="176" t="str">
        <f>E80</f>
        <v>8/1/2026</v>
      </c>
      <c r="F86" s="55" t="str">
        <f>$D$2&amp;" Authorized"</f>
        <v>2030 Authorized</v>
      </c>
      <c r="G86" s="55" t="str">
        <f>$D$2&amp;" w/Pending"</f>
        <v>2030 w/Pending</v>
      </c>
      <c r="H86" s="55" t="str">
        <f>$H$31</f>
        <v>% Change over 6/1/2026</v>
      </c>
      <c r="I86" s="55" t="str">
        <f>$I$31</f>
        <v>% Change over 8/1/2026</v>
      </c>
      <c r="J86" s="56" t="s">
        <v>144</v>
      </c>
      <c r="L86" s="64"/>
      <c r="M86" s="231"/>
      <c r="N86" s="54" t="str">
        <f>N80</f>
        <v>6/1/2026</v>
      </c>
      <c r="O86" s="176" t="str">
        <f>O80</f>
        <v>8/1/2026</v>
      </c>
      <c r="P86" s="55" t="str">
        <f>$D$2&amp;" Authorized"</f>
        <v>2030 Authorized</v>
      </c>
      <c r="Q86" s="55" t="str">
        <f>$D$2&amp;" w/Pending"</f>
        <v>2030 w/Pending</v>
      </c>
      <c r="R86" s="55" t="str">
        <f>$H$31</f>
        <v>% Change over 6/1/2026</v>
      </c>
      <c r="S86" s="55" t="str">
        <f>$I$31</f>
        <v>% Change over 8/1/2026</v>
      </c>
      <c r="T86" s="56" t="s">
        <v>144</v>
      </c>
    </row>
    <row r="87" spans="2:20">
      <c r="B87" s="815" t="str">
        <f>$B$75</f>
        <v>400 kWh Monthly Usage - Non-CARE</v>
      </c>
      <c r="C87" s="816"/>
      <c r="D87" s="160">
        <f>IF($D$3="All",'Res Bill Impact'!D87,(VLOOKUP($D$3,'Res Bill Impact'!$B$83:$J$86,3,FALSE)))</f>
        <v>193.17565203090214</v>
      </c>
      <c r="E87" s="160">
        <f>IF($D$3="All",'Res Bill Impact'!F87,(VLOOKUP($D$3,'Res Bill Impact'!$B$83:$J$86,5,FALSE)))</f>
        <v>193.78553686847818</v>
      </c>
      <c r="F87" s="160">
        <f>IF($D$3="All",'Res Bill Impact'!H87,(VLOOKUP($D$3,'Res Bill Impact'!$B$83:$J$86,7,FALSE)))</f>
        <v>191.49197109346389</v>
      </c>
      <c r="G87" s="160">
        <f>IF($D$3="All",'Res Bill Impact'!J87,(VLOOKUP($D$3,'Res Bill Impact'!$B$83:$J$86,9,FALSE)))</f>
        <v>215.89139525478205</v>
      </c>
      <c r="H87" s="67">
        <f t="shared" ref="H87:J89" si="18">$G87/D87-1</f>
        <v>0.11759113006770705</v>
      </c>
      <c r="I87" s="67">
        <f t="shared" si="18"/>
        <v>0.11407382998508853</v>
      </c>
      <c r="J87" s="68">
        <f t="shared" si="18"/>
        <v>0.12741747876943221</v>
      </c>
      <c r="K87" s="429"/>
      <c r="L87" s="796" t="str">
        <f>B87</f>
        <v>400 kWh Monthly Usage - Non-CARE</v>
      </c>
      <c r="M87" s="797"/>
      <c r="N87" s="160">
        <f>IF($D$3="All",'Res Bill Impact'!O87,(VLOOKUP($D$3,'Res Bill Impact'!$M$83:$U$86,3,FALSE)))</f>
        <v>194.88173593145788</v>
      </c>
      <c r="O87" s="160">
        <f>IF($D$3="All",'Res Bill Impact'!Q87,(VLOOKUP($D$3,'Res Bill Impact'!$M$83:$U$86,5,FALSE)))</f>
        <v>195.49777865360451</v>
      </c>
      <c r="P87" s="160">
        <f>IF($D$3="All",'Res Bill Impact'!S87,(VLOOKUP($D$3,'Res Bill Impact'!$M$83:$U$86,7,FALSE)))</f>
        <v>193.18105520614549</v>
      </c>
      <c r="Q87" s="160">
        <f>IF($D$3="All",'Res Bill Impact'!U87,(VLOOKUP($D$3,'Res Bill Impact'!$M$83:$U$86,9,FALSE)))</f>
        <v>217.82683544703349</v>
      </c>
      <c r="R87" s="66">
        <f t="shared" ref="R87:T89" si="19">$Q87/N87-1</f>
        <v>0.11773858338190113</v>
      </c>
      <c r="S87" s="66">
        <f t="shared" si="19"/>
        <v>0.1142164220340991</v>
      </c>
      <c r="T87" s="252">
        <f t="shared" si="19"/>
        <v>0.12757866041568233</v>
      </c>
    </row>
    <row r="88" spans="2:20">
      <c r="B88" s="247"/>
      <c r="C88" s="248" t="str">
        <f>$C$76</f>
        <v>400 kWh Monthly Usage - CARE</v>
      </c>
      <c r="D88" s="160">
        <f>IF($D$3="All",'Res Bill Impact'!D97,(VLOOKUP($D$3,'Res Bill Impact'!$B$93:$J$96,3,FALSE)))</f>
        <v>112.36361000000001</v>
      </c>
      <c r="E88" s="160">
        <f>IF($D$3="All",'Res Bill Impact'!F97,(VLOOKUP($D$3,'Res Bill Impact'!$B$93:$J$96,5,FALSE)))</f>
        <v>112.76145000000001</v>
      </c>
      <c r="F88" s="160">
        <f>IF($D$3="All",'Res Bill Impact'!H97,(VLOOKUP($D$3,'Res Bill Impact'!$B$93:$J$96,7,FALSE)))</f>
        <v>111.32177161061706</v>
      </c>
      <c r="G88" s="160">
        <f>IF($D$3="All",'Res Bill Impact'!J97,(VLOOKUP($D$3,'Res Bill Impact'!$B$93:$J$96,9,FALSE)))</f>
        <v>126.63736624544667</v>
      </c>
      <c r="H88" s="66">
        <f t="shared" si="18"/>
        <v>0.12703184105109</v>
      </c>
      <c r="I88" s="66">
        <f t="shared" si="18"/>
        <v>0.12305549676282679</v>
      </c>
      <c r="J88" s="68">
        <f t="shared" si="18"/>
        <v>0.13757950860143264</v>
      </c>
      <c r="K88" s="429"/>
      <c r="L88" s="247"/>
      <c r="M88" s="42" t="str">
        <f>C88</f>
        <v>400 kWh Monthly Usage - CARE</v>
      </c>
      <c r="N88" s="160">
        <f>IF($D$3="All",'Res Bill Impact'!O97,(VLOOKUP($D$3,'Res Bill Impact'!$M$93:$U$96,3,FALSE)))</f>
        <v>113.47257</v>
      </c>
      <c r="O88" s="160">
        <f>IF($D$3="All",'Res Bill Impact'!Q97,(VLOOKUP($D$3,'Res Bill Impact'!$M$93:$U$96,5,FALSE)))</f>
        <v>113.87425</v>
      </c>
      <c r="P88" s="160">
        <f>IF($D$3="All",'Res Bill Impact'!S97,(VLOOKUP($D$3,'Res Bill Impact'!$M$93:$U$96,7,FALSE)))</f>
        <v>112.41952124908497</v>
      </c>
      <c r="Q88" s="160">
        <f>IF($D$3="All",'Res Bill Impact'!U97,(VLOOKUP($D$3,'Res Bill Impact'!$M$93:$U$96,9,FALSE)))</f>
        <v>127.89522472352283</v>
      </c>
      <c r="R88" s="66">
        <f t="shared" si="19"/>
        <v>0.1271025651707971</v>
      </c>
      <c r="S88" s="66">
        <f t="shared" si="19"/>
        <v>0.12312682387390317</v>
      </c>
      <c r="T88" s="68">
        <f t="shared" si="19"/>
        <v>0.13766028624289151</v>
      </c>
    </row>
    <row r="89" spans="2:20" ht="15.75" thickBot="1">
      <c r="B89" s="798" t="s">
        <v>112</v>
      </c>
      <c r="C89" s="806"/>
      <c r="D89" s="162">
        <f>D87*(1-'SAR and RAR'!$AD$16)+D88*'SAR and RAR'!$AD$16</f>
        <v>177.39833489392819</v>
      </c>
      <c r="E89" s="162">
        <f>E87*(1-'SAR and RAR'!$AD$16)+E88*'SAR and RAR'!$AD$16</f>
        <v>177.96682121507504</v>
      </c>
      <c r="F89" s="162">
        <f>F87*(1-'SAR and RAR'!$AD$16)+F88*'SAR and RAR'!$AD$16</f>
        <v>175.83996391250864</v>
      </c>
      <c r="G89" s="162">
        <f>G87*(1-'SAR and RAR'!$AD$16)+G88*'SAR and RAR'!$AD$16</f>
        <v>198.46590907668906</v>
      </c>
      <c r="H89" s="69">
        <f t="shared" si="18"/>
        <v>0.11875857907774501</v>
      </c>
      <c r="I89" s="69">
        <f t="shared" si="18"/>
        <v>0.11518488514688152</v>
      </c>
      <c r="J89" s="70">
        <f t="shared" si="18"/>
        <v>0.12867350891540363</v>
      </c>
      <c r="K89" s="429"/>
      <c r="L89" s="798" t="s">
        <v>112</v>
      </c>
      <c r="M89" s="799"/>
      <c r="N89" s="162">
        <f>N87*(1-'SAR and RAR'!$AD$16)+N88*'SAR and RAR'!$AD$16</f>
        <v>178.98783947149724</v>
      </c>
      <c r="O89" s="162">
        <f>O87*(1-'SAR and RAR'!$AD$16)+O88*'SAR and RAR'!$AD$16</f>
        <v>179.56203114564835</v>
      </c>
      <c r="P89" s="162">
        <f>P87*(1-'SAR and RAR'!$AD$16)+P88*'SAR and RAR'!$AD$16</f>
        <v>177.4135989992873</v>
      </c>
      <c r="Q89" s="162">
        <f>Q87*(1-'SAR and RAR'!$AD$16)+Q88*'SAR and RAR'!$AD$16</f>
        <v>200.26906178650478</v>
      </c>
      <c r="R89" s="69">
        <f t="shared" si="19"/>
        <v>0.11889758755592128</v>
      </c>
      <c r="S89" s="69">
        <f t="shared" si="19"/>
        <v>0.11531965031104097</v>
      </c>
      <c r="T89" s="70">
        <f t="shared" si="19"/>
        <v>0.12882587871580964</v>
      </c>
    </row>
    <row r="90" spans="2:20">
      <c r="D90" s="437"/>
      <c r="E90" s="437"/>
      <c r="F90" s="437"/>
      <c r="G90" s="437"/>
      <c r="N90" s="437"/>
      <c r="O90" s="437"/>
      <c r="P90" s="437"/>
      <c r="Q90" s="437"/>
    </row>
    <row r="91" spans="2:20" ht="15.75" thickBot="1"/>
    <row r="92" spans="2:20">
      <c r="B92" s="824" t="s">
        <v>404</v>
      </c>
      <c r="C92" s="825"/>
      <c r="D92" s="825"/>
      <c r="E92" s="825"/>
      <c r="F92" s="825"/>
      <c r="G92" s="825"/>
      <c r="H92" s="825"/>
      <c r="I92" s="825"/>
      <c r="J92" s="826"/>
    </row>
    <row r="93" spans="2:20" ht="30">
      <c r="B93" s="64"/>
      <c r="C93" s="231"/>
      <c r="D93" s="54" t="str">
        <f>D86</f>
        <v>6/1/2026</v>
      </c>
      <c r="E93" s="176" t="str">
        <f>E86</f>
        <v>8/1/2026</v>
      </c>
      <c r="F93" s="55" t="str">
        <f>$D$2&amp;" Authorized"</f>
        <v>2030 Authorized</v>
      </c>
      <c r="G93" s="55" t="str">
        <f>$D$2&amp;" w/Pending"</f>
        <v>2030 w/Pending</v>
      </c>
      <c r="H93" s="55" t="str">
        <f>$H$31</f>
        <v>% Change over 6/1/2026</v>
      </c>
      <c r="I93" s="55" t="str">
        <f>$I$31</f>
        <v>% Change over 8/1/2026</v>
      </c>
      <c r="J93" s="56" t="s">
        <v>144</v>
      </c>
    </row>
    <row r="94" spans="2:20">
      <c r="B94" s="362"/>
      <c r="C94" s="42" t="s">
        <v>394</v>
      </c>
      <c r="D94" s="160">
        <f>((D100*5)+(D106*7))/12</f>
        <v>385.08169951708868</v>
      </c>
      <c r="E94" s="160">
        <f>((E100*5)+(E106*7))/12</f>
        <v>386.29585988457256</v>
      </c>
      <c r="F94" s="160">
        <f>((F100*5)+(F106*7))/12</f>
        <v>388.52809928561311</v>
      </c>
      <c r="G94" s="160">
        <f>((G100*5)+(G106*7))/12</f>
        <v>436.9701610978027</v>
      </c>
      <c r="H94" s="67">
        <f t="shared" ref="H94:J96" si="20">$G94/D94-1</f>
        <v>0.13474663076896332</v>
      </c>
      <c r="I94" s="67">
        <f t="shared" si="20"/>
        <v>0.13118002669863427</v>
      </c>
      <c r="J94" s="68">
        <f t="shared" si="20"/>
        <v>0.1246809739147825</v>
      </c>
      <c r="K94" s="429"/>
    </row>
    <row r="95" spans="2:20">
      <c r="B95" s="247"/>
      <c r="C95" s="42" t="s">
        <v>395</v>
      </c>
      <c r="D95" s="160">
        <f t="shared" ref="D95:G96" si="21">((D101*5)+(D107*7))/12</f>
        <v>425.14835614168368</v>
      </c>
      <c r="E95" s="160">
        <f t="shared" si="21"/>
        <v>426.52558523986676</v>
      </c>
      <c r="F95" s="160">
        <f t="shared" si="21"/>
        <v>428.95479381293535</v>
      </c>
      <c r="G95" s="160">
        <f>((G101*5)+(G107*7))/12</f>
        <v>481.67130432540097</v>
      </c>
      <c r="H95" s="66">
        <f t="shared" si="20"/>
        <v>0.13294876333681649</v>
      </c>
      <c r="I95" s="66">
        <f t="shared" si="20"/>
        <v>0.12929053026097304</v>
      </c>
      <c r="J95" s="68">
        <f t="shared" si="20"/>
        <v>0.12289525906418697</v>
      </c>
      <c r="K95" s="429"/>
    </row>
    <row r="96" spans="2:20" ht="15.75" thickBot="1">
      <c r="B96" s="363"/>
      <c r="C96" s="313" t="s">
        <v>396</v>
      </c>
      <c r="D96" s="162">
        <f>((D102*5)+(D108*7))/12</f>
        <v>1083.4768147940504</v>
      </c>
      <c r="E96" s="162">
        <f t="shared" si="21"/>
        <v>1087.3846086919809</v>
      </c>
      <c r="F96" s="162">
        <f t="shared" si="21"/>
        <v>1093.7555197769866</v>
      </c>
      <c r="G96" s="162">
        <f t="shared" si="21"/>
        <v>1232.0113307065649</v>
      </c>
      <c r="H96" s="69">
        <f t="shared" si="20"/>
        <v>0.13709062702993635</v>
      </c>
      <c r="I96" s="69">
        <f t="shared" si="20"/>
        <v>0.13300420187899853</v>
      </c>
      <c r="J96" s="70">
        <f t="shared" si="20"/>
        <v>0.12640467492933727</v>
      </c>
      <c r="K96" s="429"/>
    </row>
    <row r="97" spans="2:11" ht="15.75" thickBot="1">
      <c r="K97" s="429"/>
    </row>
    <row r="98" spans="2:11">
      <c r="B98" s="824" t="s">
        <v>405</v>
      </c>
      <c r="C98" s="825"/>
      <c r="D98" s="825"/>
      <c r="E98" s="825"/>
      <c r="F98" s="825"/>
      <c r="G98" s="825"/>
      <c r="H98" s="825"/>
      <c r="I98" s="825"/>
      <c r="J98" s="826"/>
      <c r="K98" s="429"/>
    </row>
    <row r="99" spans="2:11" ht="30">
      <c r="B99" s="64"/>
      <c r="C99" s="231"/>
      <c r="D99" s="54" t="str">
        <f>D93</f>
        <v>6/1/2026</v>
      </c>
      <c r="E99" s="176" t="str">
        <f>E93</f>
        <v>8/1/2026</v>
      </c>
      <c r="F99" s="55" t="str">
        <f>$D$2&amp;" Authorized"</f>
        <v>2030 Authorized</v>
      </c>
      <c r="G99" s="55" t="str">
        <f>$D$2&amp;" w/Pending"</f>
        <v>2030 w/Pending</v>
      </c>
      <c r="H99" s="55" t="str">
        <f>$H$31</f>
        <v>% Change over 6/1/2026</v>
      </c>
      <c r="I99" s="55" t="str">
        <f>$I$31</f>
        <v>% Change over 8/1/2026</v>
      </c>
      <c r="J99" s="56" t="s">
        <v>144</v>
      </c>
      <c r="K99" s="429"/>
    </row>
    <row r="100" spans="2:11">
      <c r="B100" s="362"/>
      <c r="C100" s="42" t="s">
        <v>394</v>
      </c>
      <c r="D100" s="160">
        <f>'Bill Impact (TOU-A)'!C$36</f>
        <v>448.71232125604439</v>
      </c>
      <c r="E100" s="160">
        <f>'Bill Impact (TOU-A)'!E$36</f>
        <v>451.49459358193536</v>
      </c>
      <c r="F100" s="160">
        <f>'Bill Impact (TOU-A)'!G$36</f>
        <v>454.11651647115303</v>
      </c>
      <c r="G100" s="160">
        <f>'Bill Impact (TOU-A)'!I$36</f>
        <v>511.01514060934903</v>
      </c>
      <c r="H100" s="67">
        <f t="shared" ref="H100:J102" si="22">$G100/D100-1</f>
        <v>0.13884802445117916</v>
      </c>
      <c r="I100" s="67">
        <f t="shared" si="22"/>
        <v>0.13183003268147031</v>
      </c>
      <c r="J100" s="68">
        <f t="shared" si="22"/>
        <v>0.12529520965311636</v>
      </c>
      <c r="K100" s="429"/>
    </row>
    <row r="101" spans="2:11">
      <c r="B101" s="247"/>
      <c r="C101" s="42" t="s">
        <v>395</v>
      </c>
      <c r="D101" s="160">
        <f>'Bill Impact (TOU-A)'!C$37</f>
        <v>525.0269255530394</v>
      </c>
      <c r="E101" s="160">
        <f>'Bill Impact (TOU-A)'!E$37</f>
        <v>528.24852869643564</v>
      </c>
      <c r="F101" s="160">
        <f>'Bill Impact (TOU-A)'!G$37</f>
        <v>531.28535287348541</v>
      </c>
      <c r="G101" s="160">
        <f>'Bill Impact (TOU-A)'!I$37</f>
        <v>597.18779345796156</v>
      </c>
      <c r="H101" s="66">
        <f t="shared" si="22"/>
        <v>0.13744222323247746</v>
      </c>
      <c r="I101" s="66">
        <f t="shared" si="22"/>
        <v>0.13050536067113727</v>
      </c>
      <c r="J101" s="68">
        <f t="shared" si="22"/>
        <v>0.12404339820030663</v>
      </c>
      <c r="K101" s="429"/>
    </row>
    <row r="102" spans="2:11" ht="15.75" thickBot="1">
      <c r="B102" s="363"/>
      <c r="C102" s="313" t="s">
        <v>396</v>
      </c>
      <c r="D102" s="162">
        <f>'Bill Impact (TOU-A)'!C$38</f>
        <v>1365.6784225911169</v>
      </c>
      <c r="E102" s="162">
        <f>'Bill Impact (TOU-A)'!E$38</f>
        <v>1374.511615498491</v>
      </c>
      <c r="F102" s="162">
        <f>'Bill Impact (TOU-A)'!G$38</f>
        <v>1382.5974380995697</v>
      </c>
      <c r="G102" s="162">
        <f>'Bill Impact (TOU-A)'!I$38</f>
        <v>1558.0687240473396</v>
      </c>
      <c r="H102" s="69">
        <f t="shared" si="22"/>
        <v>0.1408752589728981</v>
      </c>
      <c r="I102" s="69">
        <f t="shared" si="22"/>
        <v>0.13354351209486026</v>
      </c>
      <c r="J102" s="70">
        <f t="shared" si="22"/>
        <v>0.12691422760696103</v>
      </c>
      <c r="K102" s="429"/>
    </row>
    <row r="103" spans="2:11" ht="15.75" thickBot="1">
      <c r="C103" s="364"/>
      <c r="D103" s="365"/>
      <c r="E103" s="365"/>
      <c r="F103" s="365"/>
      <c r="G103" s="365"/>
      <c r="K103" s="429"/>
    </row>
    <row r="104" spans="2:11">
      <c r="B104" s="824" t="s">
        <v>406</v>
      </c>
      <c r="C104" s="825"/>
      <c r="D104" s="825"/>
      <c r="E104" s="825"/>
      <c r="F104" s="825"/>
      <c r="G104" s="825"/>
      <c r="H104" s="825"/>
      <c r="I104" s="825"/>
      <c r="J104" s="826"/>
      <c r="K104" s="429"/>
    </row>
    <row r="105" spans="2:11" ht="30">
      <c r="B105" s="64"/>
      <c r="C105" s="231"/>
      <c r="D105" s="54" t="str">
        <f>D99</f>
        <v>6/1/2026</v>
      </c>
      <c r="E105" s="176" t="str">
        <f>E99</f>
        <v>8/1/2026</v>
      </c>
      <c r="F105" s="55" t="str">
        <f>$D$2&amp;" Authorized"</f>
        <v>2030 Authorized</v>
      </c>
      <c r="G105" s="55" t="str">
        <f>$D$2&amp;" w/Pending"</f>
        <v>2030 w/Pending</v>
      </c>
      <c r="H105" s="55" t="str">
        <f>$H$31</f>
        <v>% Change over 6/1/2026</v>
      </c>
      <c r="I105" s="55" t="str">
        <f>$I$31</f>
        <v>% Change over 8/1/2026</v>
      </c>
      <c r="J105" s="56" t="s">
        <v>144</v>
      </c>
      <c r="K105" s="429"/>
    </row>
    <row r="106" spans="2:11">
      <c r="B106" s="362"/>
      <c r="C106" s="42" t="s">
        <v>394</v>
      </c>
      <c r="D106" s="160">
        <f>'Bill Impact (TOU-A)'!D$36</f>
        <v>339.63125541783467</v>
      </c>
      <c r="E106" s="160">
        <f>'Bill Impact (TOU-A)'!F$36</f>
        <v>339.72533581502779</v>
      </c>
      <c r="F106" s="160">
        <f>'Bill Impact (TOU-A)'!H$36</f>
        <v>341.67922986737034</v>
      </c>
      <c r="G106" s="160">
        <f>'Bill Impact (TOU-A)'!J$36</f>
        <v>384.08089001812675</v>
      </c>
      <c r="H106" s="67">
        <f t="shared" ref="H106:J108" si="23">$G106/D106-1</f>
        <v>0.13087616022149517</v>
      </c>
      <c r="I106" s="67">
        <f t="shared" si="23"/>
        <v>0.13056298582113834</v>
      </c>
      <c r="J106" s="68">
        <f t="shared" si="23"/>
        <v>0.12409785683260721</v>
      </c>
      <c r="K106" s="429"/>
    </row>
    <row r="107" spans="2:11">
      <c r="B107" s="247"/>
      <c r="C107" s="42" t="s">
        <v>395</v>
      </c>
      <c r="D107" s="160">
        <f>'Bill Impact (TOU-A)'!D$37</f>
        <v>353.80652084785811</v>
      </c>
      <c r="E107" s="160">
        <f>'Bill Impact (TOU-A)'!F$37</f>
        <v>353.86633991374612</v>
      </c>
      <c r="F107" s="160">
        <f>'Bill Impact (TOU-A)'!H$37</f>
        <v>355.86153734111389</v>
      </c>
      <c r="G107" s="160">
        <f>'Bill Impact (TOU-A)'!J$37</f>
        <v>399.15952637357196</v>
      </c>
      <c r="H107" s="66">
        <f t="shared" si="23"/>
        <v>0.12818589498302746</v>
      </c>
      <c r="I107" s="66">
        <f t="shared" si="23"/>
        <v>0.12799518165775803</v>
      </c>
      <c r="J107" s="68">
        <f t="shared" si="23"/>
        <v>0.12167088737930798</v>
      </c>
      <c r="K107" s="429"/>
    </row>
    <row r="108" spans="2:11" ht="15.75" thickBot="1">
      <c r="B108" s="363"/>
      <c r="C108" s="313" t="s">
        <v>396</v>
      </c>
      <c r="D108" s="162">
        <f>'Bill Impact (TOU-A)'!D$38</f>
        <v>881.90423779614582</v>
      </c>
      <c r="E108" s="162">
        <f>'Bill Impact (TOU-A)'!F$38</f>
        <v>882.2938895444737</v>
      </c>
      <c r="F108" s="162">
        <f>'Bill Impact (TOU-A)'!H$38</f>
        <v>887.43986383228446</v>
      </c>
      <c r="G108" s="162">
        <f>'Bill Impact (TOU-A)'!J$38</f>
        <v>999.11319260601158</v>
      </c>
      <c r="H108" s="69">
        <f t="shared" si="23"/>
        <v>0.13290440139256798</v>
      </c>
      <c r="I108" s="69">
        <f t="shared" si="23"/>
        <v>0.13240407130310228</v>
      </c>
      <c r="J108" s="70">
        <f t="shared" si="23"/>
        <v>0.12583762948340138</v>
      </c>
      <c r="K108" s="429"/>
    </row>
  </sheetData>
  <mergeCells count="80">
    <mergeCell ref="B104:J104"/>
    <mergeCell ref="B87:C87"/>
    <mergeCell ref="B89:C89"/>
    <mergeCell ref="B49:J49"/>
    <mergeCell ref="B55:J55"/>
    <mergeCell ref="B61:J61"/>
    <mergeCell ref="B67:J67"/>
    <mergeCell ref="B79:J79"/>
    <mergeCell ref="B77:C77"/>
    <mergeCell ref="B73:J73"/>
    <mergeCell ref="B75:C75"/>
    <mergeCell ref="B81:C81"/>
    <mergeCell ref="B83:C83"/>
    <mergeCell ref="B85:J85"/>
    <mergeCell ref="B92:J92"/>
    <mergeCell ref="B98:J98"/>
    <mergeCell ref="G10:H12"/>
    <mergeCell ref="O5:P5"/>
    <mergeCell ref="M5:N5"/>
    <mergeCell ref="B45:C45"/>
    <mergeCell ref="B53:C53"/>
    <mergeCell ref="B46:C46"/>
    <mergeCell ref="B47:C47"/>
    <mergeCell ref="B51:C51"/>
    <mergeCell ref="B52:C52"/>
    <mergeCell ref="B34:C34"/>
    <mergeCell ref="L34:M34"/>
    <mergeCell ref="B39:C39"/>
    <mergeCell ref="B40:C40"/>
    <mergeCell ref="L37:T37"/>
    <mergeCell ref="L39:M39"/>
    <mergeCell ref="B43:J43"/>
    <mergeCell ref="L40:M40"/>
    <mergeCell ref="L30:T30"/>
    <mergeCell ref="B31:C31"/>
    <mergeCell ref="L31:M31"/>
    <mergeCell ref="B32:C32"/>
    <mergeCell ref="L32:M32"/>
    <mergeCell ref="B30:J30"/>
    <mergeCell ref="B37:J37"/>
    <mergeCell ref="L43:T43"/>
    <mergeCell ref="L58:M58"/>
    <mergeCell ref="L59:M59"/>
    <mergeCell ref="L61:T61"/>
    <mergeCell ref="L45:M45"/>
    <mergeCell ref="L46:M46"/>
    <mergeCell ref="L47:M47"/>
    <mergeCell ref="L49:T49"/>
    <mergeCell ref="L51:M51"/>
    <mergeCell ref="L52:M52"/>
    <mergeCell ref="L53:M53"/>
    <mergeCell ref="B41:C41"/>
    <mergeCell ref="L55:T55"/>
    <mergeCell ref="L57:M57"/>
    <mergeCell ref="L63:M63"/>
    <mergeCell ref="B71:C71"/>
    <mergeCell ref="L70:M70"/>
    <mergeCell ref="L71:M71"/>
    <mergeCell ref="B57:C57"/>
    <mergeCell ref="B58:C58"/>
    <mergeCell ref="B59:C59"/>
    <mergeCell ref="B69:C69"/>
    <mergeCell ref="B70:C70"/>
    <mergeCell ref="B63:C63"/>
    <mergeCell ref="B64:C64"/>
    <mergeCell ref="B65:C65"/>
    <mergeCell ref="L41:M41"/>
    <mergeCell ref="L89:M89"/>
    <mergeCell ref="L77:M77"/>
    <mergeCell ref="L79:T79"/>
    <mergeCell ref="L81:M81"/>
    <mergeCell ref="L83:M83"/>
    <mergeCell ref="L85:T85"/>
    <mergeCell ref="L87:M87"/>
    <mergeCell ref="L75:M75"/>
    <mergeCell ref="L64:M64"/>
    <mergeCell ref="L65:M65"/>
    <mergeCell ref="L67:T67"/>
    <mergeCell ref="L69:M69"/>
    <mergeCell ref="L73:T73"/>
  </mergeCells>
  <phoneticPr fontId="44" type="noConversion"/>
  <dataValidations count="3">
    <dataValidation type="list" allowBlank="1" showInputMessage="1" showErrorMessage="1" sqref="D3" xr:uid="{C4DA6E63-9F04-466D-994F-08C28D8856CC}">
      <formula1>"Coastal - Mild, Mountain - Extreme, Desert - Hot, Inland - Warm, ALL"</formula1>
    </dataValidation>
    <dataValidation type="list" allowBlank="1" showInputMessage="1" showErrorMessage="1" sqref="D2" xr:uid="{E7B56FAD-CE5E-4838-9DB3-63A485983CEC}">
      <formula1>"2026, 2027, 2028, 2029, 2030"</formula1>
    </dataValidation>
    <dataValidation type="list" allowBlank="1" showInputMessage="1" showErrorMessage="1" sqref="I8" xr:uid="{A5F6ABD7-4D20-4C5E-A3ED-3EF8E893445B}">
      <formula1>"Y,N"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F1FEC-0591-4595-9489-C0DB61E71E9E}">
  <sheetPr codeName="Sheet6">
    <tabColor rgb="FFFFC000"/>
  </sheetPr>
  <dimension ref="A1:AM60"/>
  <sheetViews>
    <sheetView zoomScale="76" workbookViewId="0"/>
  </sheetViews>
  <sheetFormatPr defaultRowHeight="15"/>
  <cols>
    <col min="2" max="2" width="4.42578125" customWidth="1"/>
    <col min="3" max="3" width="39.5703125" customWidth="1"/>
    <col min="16" max="16" width="18.5703125" customWidth="1"/>
    <col min="17" max="17" width="11.85546875" bestFit="1" customWidth="1"/>
    <col min="18" max="18" width="10.5703125" customWidth="1"/>
    <col min="20" max="21" width="10" bestFit="1" customWidth="1"/>
    <col min="23" max="23" width="11.85546875" style="286" customWidth="1"/>
    <col min="24" max="24" width="11.5703125" style="286" bestFit="1" customWidth="1"/>
    <col min="25" max="25" width="1.42578125" style="286" customWidth="1"/>
    <col min="26" max="26" width="12.5703125" bestFit="1" customWidth="1"/>
    <col min="28" max="28" width="1.42578125" customWidth="1"/>
    <col min="29" max="29" width="12.5703125" style="286" bestFit="1" customWidth="1"/>
    <col min="30" max="30" width="9.5703125" style="286" customWidth="1"/>
    <col min="31" max="31" width="1" style="286" customWidth="1"/>
    <col min="34" max="34" width="1.5703125" customWidth="1"/>
    <col min="37" max="37" width="1.42578125" customWidth="1"/>
  </cols>
  <sheetData>
    <row r="1" spans="1:18">
      <c r="A1" t="s">
        <v>347</v>
      </c>
      <c r="Q1" s="286"/>
    </row>
    <row r="2" spans="1:18">
      <c r="Q2" s="282" t="s">
        <v>176</v>
      </c>
    </row>
    <row r="3" spans="1:18">
      <c r="Q3" s="282" t="s">
        <v>348</v>
      </c>
    </row>
    <row r="4" spans="1:18">
      <c r="Q4" s="283" t="s">
        <v>359</v>
      </c>
    </row>
    <row r="5" spans="1:18">
      <c r="A5">
        <v>1</v>
      </c>
      <c r="B5" s="284" t="s">
        <v>349</v>
      </c>
      <c r="Q5" s="13">
        <f>'Authorized Rev Req'!$W$173</f>
        <v>4829143.5558054131</v>
      </c>
      <c r="R5" s="13"/>
    </row>
    <row r="6" spans="1:18">
      <c r="B6" s="285" t="s">
        <v>350</v>
      </c>
      <c r="C6" t="s">
        <v>351</v>
      </c>
      <c r="Q6" s="13">
        <f>Q5*0.01</f>
        <v>48291.435558054131</v>
      </c>
      <c r="R6" s="13"/>
    </row>
    <row r="7" spans="1:18">
      <c r="B7" s="285"/>
      <c r="Q7" s="13"/>
    </row>
    <row r="8" spans="1:18">
      <c r="B8" s="414"/>
    </row>
    <row r="9" spans="1:18" ht="17.25">
      <c r="A9">
        <v>2</v>
      </c>
      <c r="B9" s="287" t="s">
        <v>501</v>
      </c>
      <c r="Q9" s="290" t="s">
        <v>337</v>
      </c>
    </row>
    <row r="10" spans="1:18" ht="17.25">
      <c r="B10" s="414" t="s">
        <v>350</v>
      </c>
      <c r="C10" s="409" t="s">
        <v>453</v>
      </c>
      <c r="D10" s="409" t="s">
        <v>504</v>
      </c>
      <c r="E10" s="409"/>
      <c r="F10" s="409"/>
      <c r="G10" s="409"/>
      <c r="H10" s="413"/>
      <c r="I10" s="413"/>
      <c r="J10" s="413"/>
      <c r="K10" s="413"/>
      <c r="L10" s="413"/>
      <c r="M10" s="413"/>
      <c r="N10" s="413"/>
      <c r="O10" s="413"/>
      <c r="P10" s="413"/>
      <c r="Q10" s="14">
        <f>'Incremental Rev Req'!D93</f>
        <v>667401.14410386502</v>
      </c>
      <c r="R10" s="13"/>
    </row>
    <row r="11" spans="1:18">
      <c r="B11" s="414" t="s">
        <v>352</v>
      </c>
      <c r="C11" s="409" t="s">
        <v>595</v>
      </c>
      <c r="D11" s="409" t="s">
        <v>604</v>
      </c>
      <c r="E11" s="409"/>
      <c r="F11" s="409"/>
      <c r="G11" s="409"/>
      <c r="H11" s="413"/>
      <c r="I11" s="413"/>
      <c r="J11" s="413"/>
      <c r="K11" s="413"/>
      <c r="L11" s="413"/>
      <c r="M11" s="413"/>
      <c r="N11" s="413"/>
      <c r="O11" s="413"/>
      <c r="P11" s="413"/>
      <c r="Q11" s="14">
        <f>SUM('Incremental Rev Req'!H100:J100)+SUM('Incremental Rev Req'!H101:J101)</f>
        <v>1793940.9370364721</v>
      </c>
      <c r="R11" s="13"/>
    </row>
    <row r="12" spans="1:18">
      <c r="B12" s="414"/>
      <c r="C12" s="409"/>
      <c r="D12" s="409"/>
      <c r="Q12" s="14"/>
      <c r="R12" s="13"/>
    </row>
    <row r="13" spans="1:18">
      <c r="B13" s="414"/>
      <c r="D13" s="409"/>
      <c r="E13" s="409"/>
      <c r="F13" s="409"/>
      <c r="G13" s="409"/>
      <c r="H13" s="413"/>
      <c r="I13" s="413"/>
      <c r="J13" s="413"/>
      <c r="K13" s="413"/>
      <c r="L13" s="413"/>
      <c r="M13" s="413"/>
      <c r="N13" s="413"/>
      <c r="O13" s="413"/>
      <c r="P13" s="413"/>
      <c r="Q13" s="14"/>
      <c r="R13" s="13"/>
    </row>
    <row r="15" spans="1:18">
      <c r="B15" s="414"/>
      <c r="C15" s="212"/>
      <c r="D15" s="409"/>
      <c r="E15" s="409"/>
      <c r="F15" s="409"/>
      <c r="G15" s="409"/>
      <c r="H15" s="413"/>
      <c r="I15" s="413"/>
      <c r="J15" s="413"/>
      <c r="K15" s="413"/>
      <c r="L15" s="413"/>
      <c r="M15" s="413"/>
      <c r="N15" s="413"/>
      <c r="O15" s="413"/>
      <c r="P15" s="413"/>
      <c r="Q15" s="14"/>
      <c r="R15" s="13"/>
    </row>
    <row r="17" spans="1:39">
      <c r="Z17" s="286"/>
      <c r="AA17" s="286"/>
      <c r="AB17" s="286"/>
      <c r="AF17" s="286"/>
      <c r="AG17" s="286"/>
      <c r="AH17" s="286"/>
      <c r="AI17" s="286"/>
      <c r="AJ17" s="286"/>
      <c r="AK17" s="286"/>
      <c r="AL17" s="286"/>
      <c r="AM17" s="286"/>
    </row>
    <row r="18" spans="1:39">
      <c r="A18">
        <v>3</v>
      </c>
      <c r="B18" s="827" t="s">
        <v>356</v>
      </c>
      <c r="C18" s="828"/>
      <c r="D18" s="828"/>
      <c r="E18" s="828"/>
      <c r="F18" s="828"/>
      <c r="G18" s="828"/>
      <c r="H18" s="828"/>
      <c r="I18" s="828"/>
      <c r="J18" s="828"/>
      <c r="K18" s="828"/>
      <c r="L18" s="828"/>
      <c r="M18" s="828"/>
      <c r="N18" s="828"/>
      <c r="O18" s="828"/>
      <c r="P18" s="828"/>
      <c r="Z18" s="286"/>
      <c r="AA18" s="286"/>
      <c r="AB18" s="286"/>
      <c r="AF18" s="286"/>
      <c r="AG18" s="286"/>
      <c r="AH18" s="286"/>
      <c r="AI18" s="286"/>
      <c r="AJ18" s="286"/>
      <c r="AK18" s="286"/>
      <c r="AL18" s="286"/>
      <c r="AM18" s="286"/>
    </row>
    <row r="19" spans="1:39">
      <c r="B19" s="27" t="s">
        <v>350</v>
      </c>
      <c r="C19" s="27" t="s">
        <v>360</v>
      </c>
      <c r="Q19" s="13">
        <f>'Incremental Rev Req'!$O$125</f>
        <v>4923565.8653639173</v>
      </c>
      <c r="Z19" s="286"/>
      <c r="AA19" s="286"/>
      <c r="AB19" s="286"/>
      <c r="AF19" s="286"/>
      <c r="AG19" s="286"/>
      <c r="AH19" s="286"/>
      <c r="AI19" s="286"/>
      <c r="AJ19" s="286"/>
      <c r="AK19" s="286"/>
      <c r="AL19" s="286"/>
      <c r="AM19" s="286"/>
    </row>
    <row r="20" spans="1:39">
      <c r="B20" s="27" t="s">
        <v>352</v>
      </c>
      <c r="C20" s="27" t="s">
        <v>361</v>
      </c>
      <c r="Q20" s="13">
        <f>'Incremental Rev Req'!$P$125</f>
        <v>5527663.68827873</v>
      </c>
      <c r="Z20" s="286"/>
      <c r="AA20" s="286"/>
      <c r="AB20" s="286"/>
      <c r="AF20" s="286"/>
      <c r="AG20" s="286"/>
      <c r="AH20" s="286"/>
      <c r="AI20" s="286"/>
      <c r="AJ20" s="286"/>
      <c r="AK20" s="286"/>
      <c r="AL20" s="286"/>
      <c r="AM20" s="286"/>
    </row>
    <row r="21" spans="1:39">
      <c r="B21" s="27" t="s">
        <v>353</v>
      </c>
      <c r="C21" s="27" t="s">
        <v>408</v>
      </c>
      <c r="Q21" s="13">
        <f>'Incremental Rev Req'!$Q$125</f>
        <v>5650167.5042886222</v>
      </c>
      <c r="Z21" s="286"/>
      <c r="AA21" s="286"/>
      <c r="AB21" s="286"/>
      <c r="AF21" s="286"/>
      <c r="AG21" s="286"/>
      <c r="AH21" s="286"/>
      <c r="AI21" s="286"/>
      <c r="AJ21" s="286"/>
      <c r="AK21" s="286"/>
      <c r="AL21" s="286"/>
      <c r="AM21" s="286"/>
    </row>
    <row r="22" spans="1:39">
      <c r="B22" s="27" t="s">
        <v>354</v>
      </c>
      <c r="C22" s="27" t="s">
        <v>438</v>
      </c>
      <c r="Q22" s="13">
        <f>'Incremental Rev Req'!$R$125</f>
        <v>5788713.6577420263</v>
      </c>
      <c r="Z22" s="286"/>
      <c r="AA22" s="286"/>
      <c r="AB22" s="286"/>
      <c r="AF22" s="286"/>
      <c r="AG22" s="286"/>
      <c r="AH22" s="286"/>
      <c r="AI22" s="286"/>
      <c r="AJ22" s="286"/>
      <c r="AK22" s="286"/>
      <c r="AL22" s="286"/>
      <c r="AM22" s="286"/>
    </row>
    <row r="23" spans="1:39">
      <c r="B23" s="27" t="s">
        <v>355</v>
      </c>
      <c r="C23" s="27" t="s">
        <v>503</v>
      </c>
      <c r="Q23" s="13">
        <f>'Incremental Rev Req'!$S$125</f>
        <v>5734097.5686334809</v>
      </c>
      <c r="Z23" s="286"/>
      <c r="AA23" s="286"/>
      <c r="AB23" s="286"/>
      <c r="AF23" s="286"/>
      <c r="AG23" s="286"/>
      <c r="AH23" s="286"/>
      <c r="AI23" s="286"/>
      <c r="AJ23" s="286"/>
      <c r="AK23" s="286"/>
      <c r="AL23" s="286"/>
      <c r="AM23" s="286"/>
    </row>
    <row r="24" spans="1:39">
      <c r="R24" s="13"/>
      <c r="Z24" s="286"/>
      <c r="AA24" s="286"/>
      <c r="AB24" s="286"/>
      <c r="AF24" s="286"/>
      <c r="AG24" s="286"/>
      <c r="AH24" s="286"/>
      <c r="AI24" s="286"/>
      <c r="AJ24" s="286"/>
      <c r="AK24" s="286"/>
      <c r="AL24" s="286"/>
      <c r="AM24" s="286"/>
    </row>
    <row r="25" spans="1:39">
      <c r="A25">
        <v>4</v>
      </c>
      <c r="B25" s="829" t="s">
        <v>357</v>
      </c>
      <c r="C25" s="829"/>
      <c r="D25" s="829"/>
      <c r="E25" s="829"/>
      <c r="F25" s="829"/>
      <c r="G25" s="829"/>
      <c r="H25" s="829"/>
      <c r="I25" s="829"/>
      <c r="J25" s="829"/>
      <c r="K25" s="829"/>
      <c r="L25" s="828"/>
      <c r="M25" s="828"/>
      <c r="N25" s="828"/>
      <c r="O25" s="828"/>
      <c r="R25" s="288" t="s">
        <v>358</v>
      </c>
      <c r="Z25" s="286"/>
      <c r="AA25" s="286"/>
      <c r="AB25" s="286"/>
      <c r="AF25" s="286"/>
      <c r="AG25" s="286"/>
      <c r="AH25" s="286"/>
      <c r="AI25" s="286"/>
      <c r="AJ25" s="286"/>
      <c r="AK25" s="286"/>
      <c r="AL25" s="286"/>
      <c r="AM25" s="286"/>
    </row>
    <row r="26" spans="1:39">
      <c r="B26" s="27" t="s">
        <v>350</v>
      </c>
      <c r="C26" s="27" t="s">
        <v>360</v>
      </c>
      <c r="Q26" s="448"/>
      <c r="R26" s="375">
        <v>43.523973491531734</v>
      </c>
      <c r="Z26" s="286"/>
      <c r="AA26" s="286"/>
      <c r="AB26" s="286"/>
      <c r="AF26" s="286"/>
      <c r="AG26" s="286"/>
      <c r="AH26" s="286"/>
      <c r="AI26" s="286"/>
      <c r="AJ26" s="286"/>
      <c r="AK26" s="286"/>
      <c r="AL26" s="286"/>
      <c r="AM26" s="286"/>
    </row>
    <row r="27" spans="1:39">
      <c r="B27" s="27" t="s">
        <v>352</v>
      </c>
      <c r="C27" s="27" t="s">
        <v>361</v>
      </c>
      <c r="Q27" s="306"/>
      <c r="R27" s="375">
        <v>47.922870886081256</v>
      </c>
      <c r="Z27" s="286"/>
      <c r="AA27" s="286"/>
      <c r="AB27" s="286"/>
      <c r="AF27" s="286"/>
      <c r="AG27" s="286"/>
      <c r="AH27" s="286"/>
      <c r="AI27" s="286"/>
      <c r="AJ27" s="286"/>
      <c r="AK27" s="286"/>
      <c r="AL27" s="286"/>
      <c r="AM27" s="286"/>
    </row>
    <row r="28" spans="1:39">
      <c r="B28" s="27" t="s">
        <v>353</v>
      </c>
      <c r="C28" s="27" t="s">
        <v>408</v>
      </c>
      <c r="R28" s="375">
        <v>48.738600770507091</v>
      </c>
      <c r="Z28" s="286"/>
      <c r="AA28" s="286"/>
      <c r="AB28" s="286"/>
      <c r="AF28" s="286"/>
      <c r="AG28" s="286"/>
      <c r="AH28" s="286"/>
      <c r="AI28" s="286"/>
      <c r="AJ28" s="286"/>
      <c r="AK28" s="286"/>
      <c r="AL28" s="286"/>
      <c r="AM28" s="286"/>
    </row>
    <row r="29" spans="1:39">
      <c r="B29" s="27" t="s">
        <v>354</v>
      </c>
      <c r="C29" s="27" t="s">
        <v>438</v>
      </c>
      <c r="R29" s="375">
        <v>49.813868317810119</v>
      </c>
      <c r="Z29" s="286"/>
      <c r="AA29" s="286"/>
      <c r="AB29" s="286"/>
      <c r="AF29" s="286"/>
      <c r="AG29" s="286"/>
      <c r="AH29" s="286"/>
      <c r="AI29" s="286"/>
      <c r="AJ29" s="286"/>
      <c r="AK29" s="286"/>
      <c r="AL29" s="286"/>
      <c r="AM29" s="286"/>
    </row>
    <row r="30" spans="1:39">
      <c r="B30" s="27" t="s">
        <v>355</v>
      </c>
      <c r="C30" s="27" t="s">
        <v>503</v>
      </c>
      <c r="R30" s="375">
        <v>49.343444669109282</v>
      </c>
      <c r="Z30" s="286"/>
      <c r="AA30" s="286"/>
      <c r="AB30" s="286"/>
      <c r="AF30" s="286"/>
      <c r="AG30" s="286"/>
      <c r="AH30" s="286"/>
      <c r="AI30" s="286"/>
      <c r="AJ30" s="286"/>
      <c r="AK30" s="286"/>
      <c r="AL30" s="286"/>
      <c r="AM30" s="286"/>
    </row>
    <row r="31" spans="1:39">
      <c r="Z31" s="286"/>
      <c r="AA31" s="286"/>
      <c r="AB31" s="286"/>
      <c r="AF31" s="286"/>
      <c r="AG31" s="286"/>
      <c r="AH31" s="286"/>
      <c r="AI31" s="286"/>
      <c r="AJ31" s="286"/>
      <c r="AK31" s="286"/>
      <c r="AL31" s="286"/>
      <c r="AM31" s="286"/>
    </row>
    <row r="32" spans="1:39">
      <c r="A32">
        <v>5</v>
      </c>
      <c r="B32" s="49" t="s">
        <v>364</v>
      </c>
      <c r="S32" s="288" t="s">
        <v>149</v>
      </c>
      <c r="T32" s="288" t="s">
        <v>150</v>
      </c>
      <c r="Z32" s="286"/>
      <c r="AA32" s="286"/>
      <c r="AB32" s="286"/>
      <c r="AF32" s="286"/>
      <c r="AG32" s="286"/>
      <c r="AH32" s="286"/>
      <c r="AI32" s="286"/>
      <c r="AJ32" s="286"/>
      <c r="AK32" s="286"/>
      <c r="AL32" s="286"/>
      <c r="AM32" s="286"/>
    </row>
    <row r="33" spans="1:39">
      <c r="B33" s="27" t="s">
        <v>350</v>
      </c>
      <c r="C33" s="27" t="s">
        <v>360</v>
      </c>
      <c r="Q33" s="449"/>
      <c r="R33" s="449"/>
      <c r="S33" s="389">
        <v>187.37490860590924</v>
      </c>
      <c r="T33" s="389">
        <v>105.68240748201315</v>
      </c>
      <c r="Z33" s="286"/>
      <c r="AA33" s="286"/>
      <c r="AB33" s="286"/>
      <c r="AF33" s="286"/>
      <c r="AG33" s="286"/>
      <c r="AH33" s="286"/>
      <c r="AI33" s="286"/>
      <c r="AJ33" s="286"/>
      <c r="AK33" s="286"/>
      <c r="AL33" s="286"/>
      <c r="AM33" s="286"/>
    </row>
    <row r="34" spans="1:39">
      <c r="B34" s="27" t="s">
        <v>352</v>
      </c>
      <c r="C34" s="27" t="s">
        <v>361</v>
      </c>
      <c r="Q34" s="305"/>
      <c r="R34" s="305"/>
      <c r="S34" s="389">
        <v>203.43433552208401</v>
      </c>
      <c r="T34" s="389">
        <v>116.00776193230826</v>
      </c>
      <c r="Z34" s="286"/>
      <c r="AA34" s="286"/>
      <c r="AB34" s="286"/>
      <c r="AF34" s="286"/>
      <c r="AG34" s="286"/>
      <c r="AH34" s="286"/>
      <c r="AI34" s="286"/>
      <c r="AJ34" s="286"/>
      <c r="AK34" s="286"/>
      <c r="AL34" s="286"/>
      <c r="AM34" s="286"/>
    </row>
    <row r="35" spans="1:39">
      <c r="B35" s="27" t="s">
        <v>353</v>
      </c>
      <c r="C35" s="27" t="s">
        <v>408</v>
      </c>
      <c r="S35" s="389">
        <v>206.47108571424585</v>
      </c>
      <c r="T35" s="389">
        <v>117.91408104197374</v>
      </c>
      <c r="Z35" s="286"/>
      <c r="AA35" s="286"/>
      <c r="AB35" s="286"/>
      <c r="AF35" s="286"/>
      <c r="AG35" s="286"/>
      <c r="AH35" s="286"/>
      <c r="AI35" s="286"/>
      <c r="AJ35" s="286"/>
      <c r="AK35" s="286"/>
      <c r="AL35" s="286"/>
      <c r="AM35" s="286"/>
    </row>
    <row r="36" spans="1:39">
      <c r="B36" s="27" t="s">
        <v>354</v>
      </c>
      <c r="C36" s="27" t="s">
        <v>438</v>
      </c>
      <c r="Q36" s="304"/>
      <c r="R36" s="304"/>
      <c r="S36" s="389">
        <v>210.47402712075839</v>
      </c>
      <c r="T36" s="389">
        <v>120.42692642444945</v>
      </c>
      <c r="Z36" s="286"/>
      <c r="AA36" s="286"/>
      <c r="AB36" s="286"/>
      <c r="AF36" s="286"/>
      <c r="AG36" s="286"/>
      <c r="AH36" s="286"/>
      <c r="AI36" s="286"/>
      <c r="AJ36" s="286"/>
      <c r="AK36" s="286"/>
      <c r="AL36" s="286"/>
      <c r="AM36" s="286"/>
    </row>
    <row r="37" spans="1:39">
      <c r="B37" s="27" t="s">
        <v>355</v>
      </c>
      <c r="C37" s="27" t="s">
        <v>503</v>
      </c>
      <c r="Q37" s="304"/>
      <c r="R37" s="304"/>
      <c r="S37" s="389">
        <v>208.72276223165201</v>
      </c>
      <c r="T37" s="389">
        <v>119.32757036519682</v>
      </c>
      <c r="Z37" s="286"/>
      <c r="AA37" s="286"/>
      <c r="AB37" s="286"/>
      <c r="AF37" s="286"/>
      <c r="AG37" s="286"/>
      <c r="AH37" s="286"/>
      <c r="AI37" s="286"/>
      <c r="AJ37" s="286"/>
      <c r="AK37" s="286"/>
      <c r="AL37" s="286"/>
      <c r="AM37" s="286"/>
    </row>
    <row r="38" spans="1:39">
      <c r="B38" s="289"/>
      <c r="Z38" s="286"/>
      <c r="AA38" s="286"/>
      <c r="AB38" s="286"/>
      <c r="AF38" s="286"/>
      <c r="AG38" s="286"/>
      <c r="AH38" s="286"/>
      <c r="AI38" s="286"/>
      <c r="AJ38" s="286"/>
      <c r="AK38" s="286"/>
      <c r="AL38" s="286"/>
      <c r="AM38" s="286"/>
    </row>
    <row r="39" spans="1:39">
      <c r="A39">
        <v>6</v>
      </c>
      <c r="B39" t="s">
        <v>414</v>
      </c>
      <c r="R39" s="288" t="s">
        <v>358</v>
      </c>
      <c r="Z39" s="286"/>
      <c r="AA39" s="286"/>
      <c r="AB39" s="286"/>
      <c r="AF39" s="286"/>
      <c r="AG39" s="286"/>
      <c r="AH39" s="286"/>
      <c r="AI39" s="286"/>
      <c r="AJ39" s="286"/>
      <c r="AK39" s="286"/>
      <c r="AL39" s="286"/>
      <c r="AM39" s="286"/>
    </row>
    <row r="40" spans="1:39">
      <c r="B40" s="27" t="s">
        <v>350</v>
      </c>
      <c r="C40" s="27" t="s">
        <v>360</v>
      </c>
      <c r="Q40" s="448"/>
      <c r="R40" s="375">
        <v>40.397160503921199</v>
      </c>
      <c r="Z40" s="286"/>
      <c r="AA40" s="286"/>
      <c r="AB40" s="286"/>
      <c r="AF40" s="286"/>
      <c r="AG40" s="286"/>
      <c r="AH40" s="286"/>
      <c r="AI40" s="286"/>
      <c r="AJ40" s="286"/>
      <c r="AK40" s="286"/>
      <c r="AL40" s="286"/>
      <c r="AM40" s="286"/>
    </row>
    <row r="41" spans="1:39">
      <c r="B41" s="27" t="s">
        <v>352</v>
      </c>
      <c r="C41" s="27" t="s">
        <v>361</v>
      </c>
      <c r="Q41" s="306"/>
      <c r="R41" s="375">
        <v>44.29982465167965</v>
      </c>
      <c r="Z41" s="286"/>
      <c r="AA41" s="286"/>
      <c r="AB41" s="286"/>
      <c r="AF41" s="286"/>
      <c r="AG41" s="286"/>
      <c r="AH41" s="286"/>
      <c r="AI41" s="286"/>
      <c r="AJ41" s="286"/>
      <c r="AK41" s="286"/>
      <c r="AL41" s="286"/>
      <c r="AM41" s="286"/>
    </row>
    <row r="42" spans="1:39">
      <c r="B42" s="27" t="s">
        <v>353</v>
      </c>
      <c r="C42" s="27" t="s">
        <v>408</v>
      </c>
      <c r="R42" s="375">
        <v>44.949457441188308</v>
      </c>
      <c r="Z42" s="286"/>
      <c r="AA42" s="286"/>
      <c r="AB42" s="286"/>
      <c r="AF42" s="286"/>
      <c r="AG42" s="286"/>
      <c r="AH42" s="286"/>
      <c r="AI42" s="286"/>
      <c r="AJ42" s="286"/>
      <c r="AK42" s="286"/>
      <c r="AL42" s="286"/>
      <c r="AM42" s="286"/>
    </row>
    <row r="43" spans="1:39">
      <c r="B43" s="27" t="s">
        <v>354</v>
      </c>
      <c r="C43" s="27" t="s">
        <v>438</v>
      </c>
      <c r="R43" s="375">
        <v>45.910027213067117</v>
      </c>
      <c r="Z43" s="286"/>
      <c r="AA43" s="286"/>
      <c r="AB43" s="286"/>
      <c r="AF43" s="286"/>
      <c r="AG43" s="286"/>
      <c r="AH43" s="286"/>
      <c r="AI43" s="286"/>
      <c r="AJ43" s="286"/>
      <c r="AK43" s="286"/>
      <c r="AL43" s="286"/>
      <c r="AM43" s="286"/>
    </row>
    <row r="44" spans="1:39">
      <c r="B44" s="27" t="s">
        <v>355</v>
      </c>
      <c r="C44" s="27" t="s">
        <v>503</v>
      </c>
      <c r="R44" s="375">
        <v>45.496478122695414</v>
      </c>
      <c r="Z44" s="286"/>
      <c r="AA44" s="286"/>
      <c r="AB44" s="286"/>
      <c r="AF44" s="286"/>
      <c r="AG44" s="286"/>
      <c r="AH44" s="286"/>
      <c r="AI44" s="286"/>
      <c r="AJ44" s="286"/>
      <c r="AK44" s="286"/>
      <c r="AL44" s="286"/>
      <c r="AM44" s="286"/>
    </row>
    <row r="45" spans="1:39">
      <c r="Z45" s="286"/>
      <c r="AA45" s="286"/>
      <c r="AB45" s="286"/>
      <c r="AF45" s="286"/>
      <c r="AG45" s="286"/>
      <c r="AH45" s="286"/>
      <c r="AI45" s="286"/>
      <c r="AJ45" s="286"/>
      <c r="AK45" s="286"/>
      <c r="AL45" s="286"/>
      <c r="AM45" s="286"/>
    </row>
    <row r="46" spans="1:39">
      <c r="A46">
        <v>7</v>
      </c>
      <c r="B46" s="49" t="s">
        <v>448</v>
      </c>
      <c r="S46" s="288" t="s">
        <v>394</v>
      </c>
      <c r="T46" s="288" t="s">
        <v>395</v>
      </c>
      <c r="U46" s="288" t="s">
        <v>396</v>
      </c>
      <c r="Z46" s="286"/>
      <c r="AA46" s="286"/>
      <c r="AB46" s="286"/>
      <c r="AF46" s="286"/>
      <c r="AG46" s="286"/>
      <c r="AH46" s="286"/>
      <c r="AI46" s="286"/>
      <c r="AJ46" s="286"/>
      <c r="AK46" s="286"/>
      <c r="AL46" s="286"/>
      <c r="AM46" s="286"/>
    </row>
    <row r="47" spans="1:39">
      <c r="B47" s="27" t="s">
        <v>350</v>
      </c>
      <c r="C47" s="27" t="s">
        <v>360</v>
      </c>
      <c r="P47" s="449"/>
      <c r="Q47" s="449"/>
      <c r="R47" s="449"/>
      <c r="S47" s="389">
        <v>390.16329700957232</v>
      </c>
      <c r="T47" s="389">
        <v>430.73427872295559</v>
      </c>
      <c r="U47" s="389">
        <v>1098.4224472135741</v>
      </c>
      <c r="Z47" s="286"/>
      <c r="AA47" s="286"/>
      <c r="AB47" s="286"/>
      <c r="AF47" s="286"/>
      <c r="AG47" s="286"/>
      <c r="AH47" s="286"/>
      <c r="AI47" s="286"/>
      <c r="AJ47" s="286"/>
      <c r="AK47" s="286"/>
      <c r="AL47" s="286"/>
      <c r="AM47" s="286"/>
    </row>
    <row r="48" spans="1:39">
      <c r="B48" s="27" t="s">
        <v>352</v>
      </c>
      <c r="C48" s="27" t="s">
        <v>361</v>
      </c>
      <c r="R48" s="376"/>
      <c r="S48" s="389">
        <v>425.94023812559794</v>
      </c>
      <c r="T48" s="389">
        <v>469.66811890009348</v>
      </c>
      <c r="U48" s="389">
        <v>1200.5314372427977</v>
      </c>
      <c r="Z48" s="286"/>
      <c r="AA48" s="286"/>
      <c r="AB48" s="286"/>
      <c r="AF48" s="286"/>
      <c r="AG48" s="286"/>
      <c r="AH48" s="286"/>
      <c r="AI48" s="286"/>
      <c r="AJ48" s="286"/>
      <c r="AK48" s="286"/>
      <c r="AL48" s="286"/>
      <c r="AM48" s="286"/>
    </row>
    <row r="49" spans="2:39">
      <c r="B49" s="27" t="s">
        <v>353</v>
      </c>
      <c r="C49" s="27" t="s">
        <v>408</v>
      </c>
      <c r="R49" s="305"/>
      <c r="S49" s="389">
        <v>431.9281032862753</v>
      </c>
      <c r="T49" s="389">
        <v>476.18434353796903</v>
      </c>
      <c r="U49" s="389">
        <v>1217.621072212012</v>
      </c>
      <c r="Z49" s="286"/>
      <c r="AA49" s="286"/>
      <c r="AB49" s="286"/>
      <c r="AF49" s="286"/>
      <c r="AG49" s="286"/>
      <c r="AH49" s="286"/>
      <c r="AI49" s="286"/>
      <c r="AJ49" s="286"/>
      <c r="AK49" s="286"/>
      <c r="AL49" s="286"/>
      <c r="AM49" s="286"/>
    </row>
    <row r="50" spans="2:39">
      <c r="B50" s="27" t="s">
        <v>354</v>
      </c>
      <c r="C50" s="27" t="s">
        <v>438</v>
      </c>
      <c r="R50" s="304"/>
      <c r="S50" s="389">
        <v>440.78197021590398</v>
      </c>
      <c r="T50" s="389">
        <v>485.81946127679095</v>
      </c>
      <c r="U50" s="389">
        <v>1242.8904044085691</v>
      </c>
      <c r="Z50" s="286"/>
      <c r="AA50" s="286"/>
      <c r="AB50" s="286"/>
      <c r="AF50" s="286"/>
      <c r="AG50" s="286"/>
      <c r="AH50" s="286"/>
      <c r="AI50" s="286"/>
      <c r="AJ50" s="286"/>
      <c r="AK50" s="286"/>
      <c r="AL50" s="286"/>
      <c r="AM50" s="286"/>
    </row>
    <row r="51" spans="2:39">
      <c r="B51" s="27" t="s">
        <v>355</v>
      </c>
      <c r="C51" s="27" t="s">
        <v>503</v>
      </c>
      <c r="R51" s="304"/>
      <c r="S51" s="389">
        <v>436.9701610978027</v>
      </c>
      <c r="T51" s="389">
        <v>481.67130432540097</v>
      </c>
      <c r="U51" s="389">
        <v>1232.0113307065649</v>
      </c>
      <c r="Z51" s="286"/>
      <c r="AA51" s="286"/>
      <c r="AB51" s="286"/>
      <c r="AF51" s="286"/>
      <c r="AG51" s="286"/>
      <c r="AH51" s="286"/>
      <c r="AI51" s="286"/>
      <c r="AJ51" s="286"/>
      <c r="AK51" s="286"/>
      <c r="AL51" s="286"/>
      <c r="AM51" s="286"/>
    </row>
    <row r="52" spans="2:39">
      <c r="B52" s="289"/>
      <c r="Z52" s="286"/>
      <c r="AA52" s="286"/>
      <c r="AB52" s="286"/>
      <c r="AF52" s="286"/>
      <c r="AG52" s="286"/>
      <c r="AH52" s="286"/>
      <c r="AI52" s="286"/>
      <c r="AJ52" s="286"/>
      <c r="AK52" s="286"/>
      <c r="AL52" s="286"/>
      <c r="AM52" s="286"/>
    </row>
    <row r="53" spans="2:39">
      <c r="B53" s="289"/>
    </row>
    <row r="54" spans="2:39">
      <c r="B54" s="289"/>
      <c r="W54" s="381"/>
    </row>
    <row r="55" spans="2:39">
      <c r="B55" s="289"/>
      <c r="W55" s="382"/>
      <c r="Z55" s="303"/>
      <c r="AF55" s="303"/>
      <c r="AL55" s="303"/>
    </row>
    <row r="56" spans="2:39">
      <c r="B56" s="495" t="s">
        <v>338</v>
      </c>
      <c r="W56" s="382"/>
    </row>
    <row r="57" spans="2:39" ht="17.25">
      <c r="B57" s="409" t="s">
        <v>502</v>
      </c>
      <c r="W57" s="382"/>
    </row>
    <row r="58" spans="2:39" ht="17.25">
      <c r="B58" s="49" t="s">
        <v>505</v>
      </c>
      <c r="C58" s="49"/>
      <c r="W58" s="382"/>
    </row>
    <row r="59" spans="2:39">
      <c r="B59" s="49" t="s">
        <v>603</v>
      </c>
      <c r="C59" s="49"/>
    </row>
    <row r="60" spans="2:39">
      <c r="B60" s="27"/>
    </row>
  </sheetData>
  <mergeCells count="2">
    <mergeCell ref="B18:P18"/>
    <mergeCell ref="B25:O25"/>
  </mergeCells>
  <phoneticPr fontId="44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69D28-87E3-445F-89CF-C3F304F54B9A}">
  <sheetPr codeName="Sheet1">
    <pageSetUpPr fitToPage="1"/>
  </sheetPr>
  <dimension ref="A1:AC189"/>
  <sheetViews>
    <sheetView zoomScale="58" workbookViewId="0"/>
  </sheetViews>
  <sheetFormatPr defaultRowHeight="15" outlineLevelCol="1"/>
  <cols>
    <col min="1" max="1" width="89.140625" bestFit="1" customWidth="1"/>
    <col min="2" max="2" width="61.85546875" customWidth="1"/>
    <col min="3" max="18" width="14.42578125" hidden="1" customWidth="1" outlineLevel="1"/>
    <col min="19" max="19" width="14.42578125" customWidth="1" collapsed="1"/>
    <col min="20" max="21" width="18.5703125" customWidth="1"/>
    <col min="22" max="23" width="21.42578125" customWidth="1"/>
    <col min="24" max="24" width="28.42578125" bestFit="1" customWidth="1"/>
    <col min="25" max="25" width="12" customWidth="1"/>
    <col min="26" max="26" width="17.42578125" bestFit="1" customWidth="1"/>
    <col min="27" max="27" width="14.42578125" customWidth="1"/>
    <col min="28" max="28" width="14.140625" bestFit="1" customWidth="1"/>
    <col min="29" max="29" width="15" style="275" bestFit="1" customWidth="1"/>
  </cols>
  <sheetData>
    <row r="1" spans="1:29" ht="18.75">
      <c r="A1" s="785" t="s">
        <v>646</v>
      </c>
      <c r="B1" s="784"/>
      <c r="C1" s="784"/>
      <c r="D1" s="784"/>
      <c r="E1" s="784"/>
      <c r="F1" s="784"/>
      <c r="G1" s="784"/>
      <c r="H1" s="784"/>
      <c r="I1" s="784"/>
      <c r="J1" s="784"/>
      <c r="K1" s="784"/>
      <c r="L1" s="784"/>
      <c r="M1" s="784"/>
      <c r="N1" s="784"/>
      <c r="O1" s="784"/>
      <c r="P1" s="784"/>
      <c r="Q1" s="784"/>
      <c r="R1" s="784"/>
      <c r="S1" s="784"/>
      <c r="T1" s="784"/>
      <c r="U1" s="784"/>
      <c r="V1" s="784"/>
      <c r="W1" s="784"/>
      <c r="X1" s="784"/>
      <c r="Y1" s="784"/>
    </row>
    <row r="2" spans="1:29" ht="18.75">
      <c r="A2" s="785" t="s">
        <v>472</v>
      </c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AA2" s="17"/>
    </row>
    <row r="3" spans="1:29" ht="18.75">
      <c r="A3" s="785" t="s">
        <v>593</v>
      </c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AA3" s="17"/>
    </row>
    <row r="4" spans="1:29" ht="18.75">
      <c r="A4" s="785" t="s">
        <v>594</v>
      </c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t="s">
        <v>439</v>
      </c>
      <c r="AA4" s="17"/>
    </row>
    <row r="5" spans="1:29">
      <c r="B5" t="s">
        <v>17</v>
      </c>
      <c r="C5" s="179">
        <v>43862</v>
      </c>
      <c r="D5" s="179">
        <v>43922</v>
      </c>
      <c r="E5" s="179">
        <v>43983</v>
      </c>
      <c r="F5" s="179">
        <v>44105</v>
      </c>
      <c r="G5" s="179">
        <v>44228</v>
      </c>
      <c r="H5" s="179">
        <v>44256</v>
      </c>
      <c r="I5" s="179">
        <v>44348</v>
      </c>
      <c r="J5" s="179">
        <v>44501</v>
      </c>
      <c r="K5" s="179">
        <v>44562</v>
      </c>
      <c r="L5" s="179">
        <v>44713</v>
      </c>
      <c r="M5" s="179">
        <v>44927</v>
      </c>
      <c r="N5" s="179">
        <v>45292</v>
      </c>
      <c r="O5" s="179">
        <v>45352</v>
      </c>
      <c r="P5" s="179">
        <v>45566</v>
      </c>
      <c r="Q5" s="179">
        <v>45689</v>
      </c>
      <c r="R5" s="179">
        <v>45809</v>
      </c>
      <c r="S5" s="179">
        <v>45931</v>
      </c>
      <c r="T5" s="179">
        <v>46023</v>
      </c>
      <c r="U5" s="179">
        <v>46113</v>
      </c>
      <c r="V5" s="179">
        <v>46174</v>
      </c>
      <c r="W5" s="179">
        <v>46235</v>
      </c>
      <c r="AA5" s="179"/>
    </row>
    <row r="6" spans="1:29">
      <c r="B6" t="s">
        <v>18</v>
      </c>
      <c r="C6" t="s">
        <v>151</v>
      </c>
      <c r="D6" t="s">
        <v>200</v>
      </c>
      <c r="E6" t="s">
        <v>214</v>
      </c>
      <c r="F6" t="s">
        <v>220</v>
      </c>
      <c r="G6" t="s">
        <v>231</v>
      </c>
      <c r="H6" t="s">
        <v>248</v>
      </c>
      <c r="I6" t="s">
        <v>264</v>
      </c>
      <c r="J6" t="s">
        <v>301</v>
      </c>
      <c r="K6" t="s">
        <v>323</v>
      </c>
      <c r="L6" t="s">
        <v>329</v>
      </c>
      <c r="M6" t="s">
        <v>456</v>
      </c>
      <c r="N6" t="s">
        <v>377</v>
      </c>
      <c r="O6" t="s">
        <v>416</v>
      </c>
      <c r="P6" t="s">
        <v>432</v>
      </c>
      <c r="Q6" t="s">
        <v>450</v>
      </c>
      <c r="R6" t="s">
        <v>463</v>
      </c>
      <c r="S6" t="s">
        <v>457</v>
      </c>
      <c r="T6" t="s">
        <v>465</v>
      </c>
      <c r="U6" t="s">
        <v>528</v>
      </c>
      <c r="V6" t="s">
        <v>529</v>
      </c>
      <c r="W6" t="s">
        <v>592</v>
      </c>
    </row>
    <row r="7" spans="1:29" ht="62.25" customHeight="1">
      <c r="A7" s="19" t="s">
        <v>0</v>
      </c>
      <c r="B7" s="450" t="str">
        <f>_xlfn.TEXTJOIN(" ",TRUE,"Authority for Revenue Requirement as of",Summary!E31)</f>
        <v>Authority for Revenue Requirement as of 8/1/2026</v>
      </c>
      <c r="C7" s="11" t="s">
        <v>16</v>
      </c>
      <c r="D7" s="11" t="s">
        <v>16</v>
      </c>
      <c r="E7" s="11" t="s">
        <v>16</v>
      </c>
      <c r="F7" s="11" t="s">
        <v>16</v>
      </c>
      <c r="G7" s="11" t="s">
        <v>16</v>
      </c>
      <c r="H7" s="11" t="s">
        <v>16</v>
      </c>
      <c r="I7" s="11" t="s">
        <v>16</v>
      </c>
      <c r="J7" s="11" t="s">
        <v>16</v>
      </c>
      <c r="K7" s="11" t="s">
        <v>16</v>
      </c>
      <c r="L7" s="11" t="s">
        <v>16</v>
      </c>
      <c r="M7" s="11" t="s">
        <v>16</v>
      </c>
      <c r="N7" s="11" t="s">
        <v>16</v>
      </c>
      <c r="O7" s="11" t="s">
        <v>16</v>
      </c>
      <c r="P7" s="11" t="s">
        <v>16</v>
      </c>
      <c r="Q7" s="11" t="s">
        <v>16</v>
      </c>
      <c r="R7" s="11" t="s">
        <v>16</v>
      </c>
      <c r="S7" s="11" t="s">
        <v>16</v>
      </c>
      <c r="T7" s="11" t="s">
        <v>16</v>
      </c>
      <c r="U7" s="11" t="s">
        <v>16</v>
      </c>
      <c r="V7" s="11" t="s">
        <v>16</v>
      </c>
      <c r="W7" s="11" t="s">
        <v>16</v>
      </c>
      <c r="X7" s="11" t="s">
        <v>1</v>
      </c>
      <c r="Y7" s="11" t="s">
        <v>15</v>
      </c>
      <c r="AA7" s="33"/>
    </row>
    <row r="8" spans="1:29">
      <c r="A8" s="18" t="s">
        <v>2</v>
      </c>
    </row>
    <row r="9" spans="1:29">
      <c r="A9" t="s">
        <v>19</v>
      </c>
      <c r="B9" s="12" t="s">
        <v>609</v>
      </c>
      <c r="C9" s="12">
        <v>1477315.7596823999</v>
      </c>
      <c r="D9" s="12">
        <v>1477315.7596823999</v>
      </c>
      <c r="E9" s="12">
        <v>1477315.7596823999</v>
      </c>
      <c r="F9" s="12">
        <v>1477315.7596823999</v>
      </c>
      <c r="G9" s="12">
        <v>1558749.6462927</v>
      </c>
      <c r="H9" s="12">
        <v>1558749.6462927</v>
      </c>
      <c r="I9" s="12">
        <v>1558749.6462927</v>
      </c>
      <c r="J9" s="12">
        <v>1558749.6462927</v>
      </c>
      <c r="K9" s="12">
        <v>1628214.3345532001</v>
      </c>
      <c r="L9" s="12">
        <v>1622781.4869994856</v>
      </c>
      <c r="M9" s="12">
        <v>1673262.9692801998</v>
      </c>
      <c r="N9" s="12">
        <v>1673262.9692801998</v>
      </c>
      <c r="O9" s="12">
        <v>1720272.5372833791</v>
      </c>
      <c r="P9" s="12">
        <v>1720272.5372833791</v>
      </c>
      <c r="Q9" s="12">
        <v>2016576.1387274999</v>
      </c>
      <c r="R9" s="12">
        <v>2016576.1387274999</v>
      </c>
      <c r="S9" s="12">
        <v>2016576.1387274999</v>
      </c>
      <c r="T9" s="12">
        <v>2110024.0674999999</v>
      </c>
      <c r="U9" s="12">
        <v>2110024.0674999999</v>
      </c>
      <c r="V9" s="12">
        <v>2110024.0674999999</v>
      </c>
      <c r="W9" s="12">
        <v>2110024.0674999999</v>
      </c>
      <c r="X9" t="s">
        <v>5</v>
      </c>
      <c r="Y9" t="s">
        <v>24</v>
      </c>
      <c r="AA9" s="12"/>
      <c r="AB9" s="12"/>
      <c r="AC9" s="276"/>
    </row>
    <row r="10" spans="1:29">
      <c r="A10" t="s">
        <v>19</v>
      </c>
      <c r="B10" s="12" t="s">
        <v>609</v>
      </c>
      <c r="C10" s="12">
        <v>198523.7366944</v>
      </c>
      <c r="D10" s="12">
        <v>198523.7366944</v>
      </c>
      <c r="E10" s="12">
        <v>198523.7366944</v>
      </c>
      <c r="F10" s="12">
        <v>198523.7366944</v>
      </c>
      <c r="G10" s="12">
        <v>200900.22403919999</v>
      </c>
      <c r="H10" s="12">
        <v>200900.22403919999</v>
      </c>
      <c r="I10" s="12">
        <v>200900.22403919999</v>
      </c>
      <c r="J10" s="12">
        <v>200900.22403919999</v>
      </c>
      <c r="K10" s="12">
        <v>203501.2640546</v>
      </c>
      <c r="L10" s="12">
        <v>203055.40087854289</v>
      </c>
      <c r="M10" s="12">
        <v>202592.5097464</v>
      </c>
      <c r="N10" s="12">
        <v>202592.5097464</v>
      </c>
      <c r="O10" s="12">
        <v>206976.1183843688</v>
      </c>
      <c r="P10" s="12">
        <v>206976.1183843688</v>
      </c>
      <c r="Q10" s="12">
        <v>218153.07271800001</v>
      </c>
      <c r="R10" s="12">
        <v>218153.07271800001</v>
      </c>
      <c r="S10" s="12">
        <v>218153.07271800001</v>
      </c>
      <c r="T10" s="12">
        <v>224821.89891000002</v>
      </c>
      <c r="U10" s="12">
        <v>224821.89891000002</v>
      </c>
      <c r="V10" s="12">
        <v>224821.89891000002</v>
      </c>
      <c r="W10" s="12">
        <v>224821.89891000002</v>
      </c>
      <c r="X10" t="s">
        <v>3</v>
      </c>
      <c r="Y10" t="s">
        <v>24</v>
      </c>
      <c r="AA10" s="12"/>
      <c r="AB10" s="12"/>
      <c r="AC10" s="276"/>
    </row>
    <row r="11" spans="1:29">
      <c r="A11" t="s">
        <v>206</v>
      </c>
      <c r="B11" s="12" t="s">
        <v>610</v>
      </c>
      <c r="C11" s="12">
        <v>38304.415000000001</v>
      </c>
      <c r="D11" s="12">
        <v>38304.415000000001</v>
      </c>
      <c r="E11" s="12">
        <v>38304.415000000001</v>
      </c>
      <c r="F11" s="12">
        <v>38304.415000000001</v>
      </c>
      <c r="G11" s="12">
        <v>38722.434000000001</v>
      </c>
      <c r="H11" s="12">
        <v>38722.434000000001</v>
      </c>
      <c r="I11" s="12">
        <v>38722.434000000001</v>
      </c>
      <c r="J11" s="12">
        <v>38722.434000000001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312">
        <v>166603.17092951052</v>
      </c>
      <c r="R11" s="312">
        <v>166603.17092951052</v>
      </c>
      <c r="S11" s="312">
        <v>166603.17092951052</v>
      </c>
      <c r="T11" s="12">
        <v>181748.916</v>
      </c>
      <c r="U11" s="12">
        <v>181748.916</v>
      </c>
      <c r="V11" s="12">
        <v>181748.916</v>
      </c>
      <c r="W11" s="12">
        <v>0</v>
      </c>
      <c r="X11" t="s">
        <v>5</v>
      </c>
      <c r="Y11" t="s">
        <v>26</v>
      </c>
      <c r="AA11" s="12"/>
      <c r="AB11" s="12"/>
      <c r="AC11" s="276"/>
    </row>
    <row r="12" spans="1:29">
      <c r="A12" t="s">
        <v>206</v>
      </c>
      <c r="B12" s="12" t="s">
        <v>473</v>
      </c>
      <c r="C12" s="12">
        <v>-19594.055499999999</v>
      </c>
      <c r="D12" s="12">
        <v>-19594.055499999999</v>
      </c>
      <c r="E12" s="12">
        <v>-19594.055499999999</v>
      </c>
      <c r="F12" s="12">
        <v>-19594.055499999999</v>
      </c>
      <c r="G12" s="12">
        <v>-19807.915000000001</v>
      </c>
      <c r="H12" s="12">
        <v>-19807.915000000001</v>
      </c>
      <c r="I12" s="12">
        <v>-19807.915000000001</v>
      </c>
      <c r="J12" s="12">
        <v>-19807.915000000001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312">
        <v>-14343.037775307326</v>
      </c>
      <c r="R12" s="312">
        <v>-14343.037775307326</v>
      </c>
      <c r="S12" s="312">
        <v>-14343.037775307326</v>
      </c>
      <c r="T12" s="312">
        <v>-16572.168939117768</v>
      </c>
      <c r="U12" s="312">
        <v>-16562.118038667351</v>
      </c>
      <c r="V12" s="312">
        <v>-16562.118038667351</v>
      </c>
      <c r="W12" s="312">
        <v>0</v>
      </c>
      <c r="X12" t="s">
        <v>3</v>
      </c>
      <c r="Y12" t="s">
        <v>26</v>
      </c>
      <c r="AA12" s="12"/>
      <c r="AB12" s="12"/>
      <c r="AC12" s="276"/>
    </row>
    <row r="13" spans="1:29">
      <c r="A13" t="s">
        <v>206</v>
      </c>
      <c r="B13" s="12" t="s">
        <v>611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312">
        <v>19839.868520808574</v>
      </c>
      <c r="R13" s="312">
        <v>19839.868520808574</v>
      </c>
      <c r="S13" s="312">
        <v>19839.868520808574</v>
      </c>
      <c r="T13" s="12">
        <v>22568.700939117767</v>
      </c>
      <c r="U13" s="12">
        <v>22558.650038667351</v>
      </c>
      <c r="V13" s="12">
        <v>22558.650038667351</v>
      </c>
      <c r="W13" s="12">
        <v>0</v>
      </c>
      <c r="X13" t="s">
        <v>251</v>
      </c>
      <c r="Y13" t="s">
        <v>26</v>
      </c>
      <c r="AA13" s="12"/>
      <c r="AB13" s="12"/>
      <c r="AC13" s="276"/>
    </row>
    <row r="14" spans="1:29">
      <c r="A14" t="s">
        <v>204</v>
      </c>
      <c r="B14" s="12" t="s">
        <v>440</v>
      </c>
      <c r="C14" s="12">
        <v>-32053.919132110164</v>
      </c>
      <c r="D14" s="12">
        <v>-32053.919132110164</v>
      </c>
      <c r="E14" s="12">
        <v>-32053.919132110164</v>
      </c>
      <c r="F14" s="12">
        <v>-32053.919132110164</v>
      </c>
      <c r="G14" s="12">
        <v>-32053.919132110164</v>
      </c>
      <c r="H14" s="12">
        <v>-32053.919132110164</v>
      </c>
      <c r="I14" s="12">
        <v>-32053.919132110164</v>
      </c>
      <c r="J14" s="12">
        <v>-32053.919132110164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t="s">
        <v>5</v>
      </c>
      <c r="Y14" t="s">
        <v>24</v>
      </c>
      <c r="AA14" s="12"/>
      <c r="AB14" s="12"/>
      <c r="AC14" s="276"/>
    </row>
    <row r="15" spans="1:29">
      <c r="A15" t="s">
        <v>204</v>
      </c>
      <c r="B15" s="12" t="s">
        <v>440</v>
      </c>
      <c r="C15" s="12">
        <v>-7335.0289387033235</v>
      </c>
      <c r="D15" s="12">
        <v>-7335.0289387033235</v>
      </c>
      <c r="E15" s="12">
        <v>-7335.0289387033235</v>
      </c>
      <c r="F15" s="12">
        <v>-7335.0289387033235</v>
      </c>
      <c r="G15" s="12">
        <v>-7335.0289387033235</v>
      </c>
      <c r="H15" s="12">
        <v>-7335.0289387033235</v>
      </c>
      <c r="I15" s="12">
        <v>-7335.0289387033235</v>
      </c>
      <c r="J15" s="12">
        <v>-7335.0289387033235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t="s">
        <v>3</v>
      </c>
      <c r="Y15" t="s">
        <v>24</v>
      </c>
      <c r="AA15" s="12"/>
      <c r="AB15" s="12"/>
      <c r="AC15" s="276"/>
    </row>
    <row r="16" spans="1:29">
      <c r="A16" s="13" t="s">
        <v>235</v>
      </c>
      <c r="B16" s="12" t="s">
        <v>440</v>
      </c>
      <c r="C16" s="12">
        <v>0</v>
      </c>
      <c r="D16" s="12">
        <v>0</v>
      </c>
      <c r="E16" s="12">
        <v>0</v>
      </c>
      <c r="F16" s="12">
        <v>0</v>
      </c>
      <c r="G16" s="12">
        <v>-7486.5516527999998</v>
      </c>
      <c r="H16" s="12">
        <v>-7486.5516527999998</v>
      </c>
      <c r="I16" s="12">
        <v>-7486.5516527999998</v>
      </c>
      <c r="J16" s="12">
        <v>-7486.5516527999998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t="s">
        <v>5</v>
      </c>
      <c r="Y16" t="s">
        <v>26</v>
      </c>
      <c r="AA16" s="12"/>
      <c r="AB16" s="12"/>
      <c r="AC16" s="276"/>
    </row>
    <row r="17" spans="1:29">
      <c r="A17" s="13" t="s">
        <v>234</v>
      </c>
      <c r="B17" s="12" t="s">
        <v>440</v>
      </c>
      <c r="C17" s="12">
        <v>0</v>
      </c>
      <c r="D17" s="12">
        <v>0</v>
      </c>
      <c r="E17" s="12">
        <v>0</v>
      </c>
      <c r="F17" s="12">
        <v>0</v>
      </c>
      <c r="G17" s="12">
        <v>-53.643027799999999</v>
      </c>
      <c r="H17" s="12">
        <v>-53.643027799999999</v>
      </c>
      <c r="I17" s="12">
        <v>-53.643027799999999</v>
      </c>
      <c r="J17" s="12">
        <v>-53.643027799999999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t="s">
        <v>3</v>
      </c>
      <c r="Y17" t="s">
        <v>26</v>
      </c>
      <c r="AA17" s="310"/>
      <c r="AB17" s="310"/>
      <c r="AC17" s="276"/>
    </row>
    <row r="18" spans="1:29">
      <c r="A18" s="13" t="s">
        <v>40</v>
      </c>
      <c r="B18" s="12" t="s">
        <v>612</v>
      </c>
      <c r="C18" s="12">
        <v>801215.36425870005</v>
      </c>
      <c r="D18" s="12">
        <v>801215.36425870005</v>
      </c>
      <c r="E18" s="12">
        <v>801215.36425870005</v>
      </c>
      <c r="F18" s="12">
        <v>801215.36425870005</v>
      </c>
      <c r="G18" s="12">
        <v>801215.36425870005</v>
      </c>
      <c r="H18" s="12">
        <v>663435.15883986873</v>
      </c>
      <c r="I18" s="12">
        <v>663435.15883986873</v>
      </c>
      <c r="J18" s="12">
        <v>663435.15883986873</v>
      </c>
      <c r="K18" s="12">
        <v>786860.06604541873</v>
      </c>
      <c r="L18" s="12">
        <v>786860.06604541873</v>
      </c>
      <c r="M18" s="12">
        <v>545074.22041898174</v>
      </c>
      <c r="N18" s="12">
        <v>487032.04468507774</v>
      </c>
      <c r="O18" s="12">
        <v>487032.04468507774</v>
      </c>
      <c r="P18" s="12">
        <v>487032.04468507774</v>
      </c>
      <c r="Q18" s="12">
        <v>464895.44433890504</v>
      </c>
      <c r="R18" s="12">
        <v>464895.44433890504</v>
      </c>
      <c r="S18" s="12">
        <v>464895.44433890504</v>
      </c>
      <c r="T18" s="12">
        <v>398611.61778033664</v>
      </c>
      <c r="U18" s="12">
        <v>398611.61778033664</v>
      </c>
      <c r="V18" s="12">
        <v>398611.61778033664</v>
      </c>
      <c r="W18" s="12">
        <v>398611.61778033664</v>
      </c>
      <c r="X18" t="s">
        <v>3</v>
      </c>
      <c r="Y18" t="s">
        <v>24</v>
      </c>
      <c r="AA18" s="310"/>
      <c r="AB18" s="310"/>
      <c r="AC18" s="309"/>
    </row>
    <row r="19" spans="1:29">
      <c r="A19" s="13" t="s">
        <v>41</v>
      </c>
      <c r="B19" s="12" t="s">
        <v>440</v>
      </c>
      <c r="C19" s="12">
        <v>0</v>
      </c>
      <c r="D19" s="12">
        <v>-186232.39839999998</v>
      </c>
      <c r="E19" s="12">
        <v>-186232.39839999998</v>
      </c>
      <c r="F19" s="12">
        <v>-186232.39839999998</v>
      </c>
      <c r="G19" s="12">
        <v>0</v>
      </c>
      <c r="H19" s="12">
        <v>55341.557366349334</v>
      </c>
      <c r="I19" s="12">
        <v>55341.557366349334</v>
      </c>
      <c r="J19" s="12">
        <v>55341.557366349334</v>
      </c>
      <c r="K19" s="12">
        <v>149125.7809671688</v>
      </c>
      <c r="L19" s="12">
        <v>149125.7809671688</v>
      </c>
      <c r="M19" s="12">
        <v>-4541.853247395592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t="s">
        <v>3</v>
      </c>
      <c r="Y19" t="s">
        <v>24</v>
      </c>
      <c r="AA19" s="311"/>
      <c r="AB19" s="312"/>
      <c r="AC19" s="309"/>
    </row>
    <row r="20" spans="1:29">
      <c r="A20" t="s">
        <v>53</v>
      </c>
      <c r="B20" s="12" t="s">
        <v>613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106558.60764250722</v>
      </c>
      <c r="N20" s="12">
        <v>-78073.242312040151</v>
      </c>
      <c r="O20" s="12">
        <v>-78073.242312040151</v>
      </c>
      <c r="P20" s="12">
        <v>-78073.242312040151</v>
      </c>
      <c r="Q20" s="12">
        <v>121137.34030850908</v>
      </c>
      <c r="R20" s="12">
        <v>121137.34030850908</v>
      </c>
      <c r="S20" s="12">
        <v>121137.34030850908</v>
      </c>
      <c r="T20" s="12">
        <v>-2230.5184374006599</v>
      </c>
      <c r="U20" s="12">
        <v>-2230.5184374006599</v>
      </c>
      <c r="V20" s="12">
        <v>-2230.5184374006599</v>
      </c>
      <c r="W20" s="12">
        <v>-2230.5184374006599</v>
      </c>
      <c r="X20" t="s">
        <v>3</v>
      </c>
      <c r="Y20" t="s">
        <v>26</v>
      </c>
      <c r="AA20" s="12"/>
      <c r="AB20" s="12"/>
      <c r="AC20" s="276"/>
    </row>
    <row r="21" spans="1:29">
      <c r="A21" t="s">
        <v>330</v>
      </c>
      <c r="B21" s="12" t="s">
        <v>474</v>
      </c>
      <c r="C21" s="12">
        <v>352010.14804195391</v>
      </c>
      <c r="D21" s="12">
        <v>352010.14804195391</v>
      </c>
      <c r="E21" s="12">
        <v>352010.14804195391</v>
      </c>
      <c r="F21" s="12">
        <v>352010.14804195391</v>
      </c>
      <c r="G21" s="12">
        <v>352010.14804195391</v>
      </c>
      <c r="H21" s="12">
        <v>224966.11872143956</v>
      </c>
      <c r="I21" s="12">
        <v>224966.11872143956</v>
      </c>
      <c r="J21" s="12">
        <v>224966.11872143956</v>
      </c>
      <c r="K21" s="12">
        <v>30288.3684359037</v>
      </c>
      <c r="L21" s="12">
        <v>30288.3684359037</v>
      </c>
      <c r="M21" s="12">
        <v>41.484471775096608</v>
      </c>
      <c r="N21" s="12">
        <v>-94445.891028563361</v>
      </c>
      <c r="O21" s="12">
        <v>-97290.830192037392</v>
      </c>
      <c r="P21" s="12">
        <v>-97290.830192037392</v>
      </c>
      <c r="Q21" s="12">
        <v>-66097.75023491781</v>
      </c>
      <c r="R21" s="12">
        <v>-66097.75023491781</v>
      </c>
      <c r="S21" s="12">
        <v>-66097.75023491781</v>
      </c>
      <c r="T21" s="12">
        <v>-107381.29504366641</v>
      </c>
      <c r="U21" s="12">
        <v>-107259.80250843288</v>
      </c>
      <c r="V21" s="12">
        <v>-107259.80250843288</v>
      </c>
      <c r="W21" s="12">
        <v>-107259.80250843288</v>
      </c>
      <c r="X21" t="s">
        <v>3</v>
      </c>
      <c r="Y21" t="s">
        <v>24</v>
      </c>
      <c r="AA21" s="12"/>
      <c r="AB21" s="12"/>
      <c r="AC21" s="276"/>
    </row>
    <row r="22" spans="1:29">
      <c r="A22" t="s">
        <v>203</v>
      </c>
      <c r="B22" s="12" t="s">
        <v>614</v>
      </c>
      <c r="C22" s="12">
        <v>254053.64200475891</v>
      </c>
      <c r="D22" s="12">
        <v>254053.64200475891</v>
      </c>
      <c r="E22" s="12">
        <v>254053.64200475891</v>
      </c>
      <c r="F22" s="12">
        <v>254053.64200475891</v>
      </c>
      <c r="G22" s="12">
        <v>254053.64200475891</v>
      </c>
      <c r="H22" s="12">
        <v>97010.609932855412</v>
      </c>
      <c r="I22" s="12">
        <v>97010.609932855412</v>
      </c>
      <c r="J22" s="12">
        <v>97010.609932855412</v>
      </c>
      <c r="K22" s="12">
        <v>-49396.580372743534</v>
      </c>
      <c r="L22" s="12">
        <v>-49396.580372743534</v>
      </c>
      <c r="M22" s="12">
        <v>-7303.5433951182349</v>
      </c>
      <c r="N22" s="12">
        <v>51403.58499015007</v>
      </c>
      <c r="O22" s="12">
        <v>50883.296223820733</v>
      </c>
      <c r="P22" s="12">
        <v>50883.296223820733</v>
      </c>
      <c r="Q22" s="12">
        <v>-132513.70493383484</v>
      </c>
      <c r="R22" s="12">
        <v>-132513.70493383484</v>
      </c>
      <c r="S22" s="12">
        <v>-132513.70493383484</v>
      </c>
      <c r="T22" s="12">
        <v>94341.524603530444</v>
      </c>
      <c r="U22" s="12">
        <v>94290.143281175697</v>
      </c>
      <c r="V22" s="12">
        <v>94290.143281175697</v>
      </c>
      <c r="W22" s="12">
        <v>94290.143281175697</v>
      </c>
      <c r="X22" t="s">
        <v>3</v>
      </c>
      <c r="Y22" t="s">
        <v>26</v>
      </c>
      <c r="AA22" s="12"/>
      <c r="AB22" s="12"/>
      <c r="AC22" s="276"/>
    </row>
    <row r="23" spans="1:29">
      <c r="A23" t="s">
        <v>320</v>
      </c>
      <c r="B23" s="12" t="s">
        <v>440</v>
      </c>
      <c r="C23" s="12">
        <v>0</v>
      </c>
      <c r="D23" s="12">
        <v>0</v>
      </c>
      <c r="E23" s="12">
        <v>0</v>
      </c>
      <c r="F23" s="12">
        <v>0</v>
      </c>
      <c r="G23" s="12">
        <v>-2471.0007218152782</v>
      </c>
      <c r="H23" s="12">
        <v>-2471.0007218152782</v>
      </c>
      <c r="I23" s="12">
        <v>-2471.0007218152782</v>
      </c>
      <c r="J23" s="12">
        <v>-2471.0007218152782</v>
      </c>
      <c r="K23" s="12">
        <v>-2470.7040940930806</v>
      </c>
      <c r="L23" s="12">
        <v>-2470.7040940930806</v>
      </c>
      <c r="M23" s="12">
        <v>-428.1251468284795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t="s">
        <v>3</v>
      </c>
      <c r="Y23" t="s">
        <v>24</v>
      </c>
      <c r="AA23" s="12"/>
      <c r="AB23" s="12"/>
      <c r="AC23" s="276"/>
    </row>
    <row r="24" spans="1:29">
      <c r="A24" t="s">
        <v>321</v>
      </c>
      <c r="B24" s="12" t="s">
        <v>440</v>
      </c>
      <c r="C24" s="12">
        <v>9839.3111363526241</v>
      </c>
      <c r="D24" s="12">
        <v>9839.3111363526241</v>
      </c>
      <c r="E24" s="12">
        <v>9839.3111363526241</v>
      </c>
      <c r="F24" s="12">
        <v>9839.3111363526241</v>
      </c>
      <c r="G24" s="12">
        <v>9839.3111363526241</v>
      </c>
      <c r="H24" s="12">
        <v>22488.622374953778</v>
      </c>
      <c r="I24" s="12">
        <v>22488.622374953778</v>
      </c>
      <c r="J24" s="12">
        <v>22488.622374953778</v>
      </c>
      <c r="K24" s="12">
        <v>-17985.713429346531</v>
      </c>
      <c r="L24" s="12">
        <v>-17985.713429346531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t="s">
        <v>3</v>
      </c>
      <c r="Y24" t="s">
        <v>24</v>
      </c>
      <c r="AA24" s="12"/>
      <c r="AB24" s="12"/>
      <c r="AC24" s="276"/>
    </row>
    <row r="25" spans="1:29">
      <c r="A25" t="s">
        <v>305</v>
      </c>
      <c r="B25" s="12" t="s">
        <v>440</v>
      </c>
      <c r="C25" s="12">
        <v>0</v>
      </c>
      <c r="D25" s="12">
        <v>0</v>
      </c>
      <c r="E25" s="12">
        <v>0</v>
      </c>
      <c r="F25" s="12">
        <v>0</v>
      </c>
      <c r="G25" s="12">
        <v>2471.0007218152782</v>
      </c>
      <c r="H25" s="12">
        <v>2471.0007218152782</v>
      </c>
      <c r="I25" s="12">
        <v>2471.0007218152782</v>
      </c>
      <c r="J25" s="12">
        <v>2471.0007218152782</v>
      </c>
      <c r="K25" s="12">
        <v>2470.7040940930806</v>
      </c>
      <c r="L25" s="12">
        <v>2470.7040940930806</v>
      </c>
      <c r="M25" s="12">
        <v>-2700.7391953273445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t="s">
        <v>251</v>
      </c>
      <c r="Y25" t="s">
        <v>24</v>
      </c>
      <c r="AA25" s="12"/>
      <c r="AB25" s="12"/>
      <c r="AC25" s="276"/>
    </row>
    <row r="26" spans="1:29">
      <c r="A26" t="s">
        <v>331</v>
      </c>
      <c r="B26" s="12" t="s">
        <v>615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98129.888763111332</v>
      </c>
      <c r="I26" s="12">
        <v>98129.888763111332</v>
      </c>
      <c r="J26" s="12">
        <v>98129.888763111332</v>
      </c>
      <c r="K26" s="12">
        <v>153061.7712138943</v>
      </c>
      <c r="L26" s="12">
        <v>153061.7712138943</v>
      </c>
      <c r="M26" s="12">
        <v>97929.459201915961</v>
      </c>
      <c r="N26" s="12">
        <v>60194.209131811956</v>
      </c>
      <c r="O26" s="12">
        <v>63009.916720960238</v>
      </c>
      <c r="P26" s="12">
        <v>63009.916720960238</v>
      </c>
      <c r="Q26" s="12">
        <v>-3939.3649907225172</v>
      </c>
      <c r="R26" s="12">
        <v>-3939.3649907225172</v>
      </c>
      <c r="S26" s="12">
        <v>-3939.3649907225172</v>
      </c>
      <c r="T26" s="12">
        <v>126355.97773807139</v>
      </c>
      <c r="U26" s="12">
        <v>126235.72528989689</v>
      </c>
      <c r="V26" s="12">
        <v>126235.72528989689</v>
      </c>
      <c r="W26" s="12">
        <v>126235.72528989689</v>
      </c>
      <c r="X26" t="s">
        <v>251</v>
      </c>
      <c r="Y26" t="s">
        <v>24</v>
      </c>
      <c r="AA26" s="12"/>
      <c r="AB26" s="12"/>
      <c r="AC26" s="276"/>
    </row>
    <row r="27" spans="1:29">
      <c r="A27" t="s">
        <v>250</v>
      </c>
      <c r="B27" s="12" t="s">
        <v>616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26801.531556966504</v>
      </c>
      <c r="I27" s="12">
        <v>26801.531556966504</v>
      </c>
      <c r="J27" s="12">
        <v>26801.531556966504</v>
      </c>
      <c r="K27" s="12">
        <v>-62287.582937048333</v>
      </c>
      <c r="L27" s="12">
        <v>-62287.582937048333</v>
      </c>
      <c r="M27" s="12">
        <v>-7362.4888490041121</v>
      </c>
      <c r="N27" s="12">
        <v>52533.713465837092</v>
      </c>
      <c r="O27" s="12">
        <v>53048.656297202651</v>
      </c>
      <c r="P27" s="12">
        <v>53048.656297202651</v>
      </c>
      <c r="Q27" s="12">
        <v>-189199.81541037062</v>
      </c>
      <c r="R27" s="12">
        <v>-189199.81541037062</v>
      </c>
      <c r="S27" s="12">
        <v>-189199.81541037062</v>
      </c>
      <c r="T27" s="12">
        <v>204936.39232294427</v>
      </c>
      <c r="U27" s="12">
        <v>204987.24919074884</v>
      </c>
      <c r="V27" s="12">
        <v>204987.24919074884</v>
      </c>
      <c r="W27" s="12">
        <v>204987.24919074884</v>
      </c>
      <c r="X27" t="s">
        <v>251</v>
      </c>
      <c r="Y27" t="s">
        <v>26</v>
      </c>
      <c r="AA27" s="12"/>
      <c r="AB27" s="12"/>
      <c r="AC27" s="276"/>
    </row>
    <row r="28" spans="1:29">
      <c r="A28" t="s">
        <v>306</v>
      </c>
      <c r="B28" s="12" t="s">
        <v>440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13113.836794822102</v>
      </c>
      <c r="L28" s="12">
        <v>13113.836794822102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t="s">
        <v>251</v>
      </c>
      <c r="Y28" t="s">
        <v>24</v>
      </c>
      <c r="AA28" s="12"/>
      <c r="AB28" s="12"/>
      <c r="AC28" s="276"/>
    </row>
    <row r="29" spans="1:29">
      <c r="A29" t="s">
        <v>307</v>
      </c>
      <c r="B29" s="12" t="s">
        <v>440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17985.713429346531</v>
      </c>
      <c r="L29" s="12">
        <v>17985.713429346531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t="s">
        <v>251</v>
      </c>
      <c r="Y29" t="s">
        <v>24</v>
      </c>
      <c r="AA29" s="12"/>
      <c r="AB29" s="12"/>
      <c r="AC29" s="276"/>
    </row>
    <row r="30" spans="1:29">
      <c r="A30" t="s">
        <v>409</v>
      </c>
      <c r="B30" s="12" t="s">
        <v>617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56139.34870353376</v>
      </c>
      <c r="L30" s="12">
        <v>56139.34870353376</v>
      </c>
      <c r="M30" s="12">
        <v>52668.024321018689</v>
      </c>
      <c r="N30" s="12">
        <v>-14112.271914700001</v>
      </c>
      <c r="O30" s="12">
        <v>-14112.271914700001</v>
      </c>
      <c r="P30" s="12">
        <v>-14112.271914700001</v>
      </c>
      <c r="Q30" s="12">
        <v>7369.6605196006794</v>
      </c>
      <c r="R30" s="12">
        <v>7369.6605196006794</v>
      </c>
      <c r="S30" s="12">
        <v>7369.6605196006794</v>
      </c>
      <c r="T30" s="12">
        <v>0</v>
      </c>
      <c r="U30" s="12">
        <v>0</v>
      </c>
      <c r="V30" s="12">
        <v>0</v>
      </c>
      <c r="W30" s="12">
        <v>0</v>
      </c>
      <c r="X30" t="s">
        <v>251</v>
      </c>
      <c r="Y30" t="s">
        <v>24</v>
      </c>
      <c r="AA30" s="12"/>
      <c r="AB30" s="12"/>
      <c r="AC30" s="276"/>
    </row>
    <row r="31" spans="1:29">
      <c r="A31" t="s">
        <v>25</v>
      </c>
      <c r="B31" s="12" t="s">
        <v>618</v>
      </c>
      <c r="C31" s="12">
        <v>77873.209604699994</v>
      </c>
      <c r="D31" s="12">
        <v>77873.209604699994</v>
      </c>
      <c r="E31" s="12">
        <v>77873.209604699994</v>
      </c>
      <c r="F31" s="12">
        <v>77873.209604699994</v>
      </c>
      <c r="G31" s="12">
        <v>56543.384849999995</v>
      </c>
      <c r="H31" s="12">
        <v>56543.384849999995</v>
      </c>
      <c r="I31" s="12">
        <v>56543.384849999995</v>
      </c>
      <c r="J31" s="12">
        <v>56543.384849999995</v>
      </c>
      <c r="K31" s="12">
        <v>88240.647853200004</v>
      </c>
      <c r="L31" s="12">
        <v>88240.647853200004</v>
      </c>
      <c r="M31" s="12">
        <v>-17637.3861</v>
      </c>
      <c r="N31" s="12">
        <v>60174.611399999994</v>
      </c>
      <c r="O31" s="12">
        <v>60174.611399999994</v>
      </c>
      <c r="P31" s="12">
        <v>60174.611399999994</v>
      </c>
      <c r="Q31" s="12">
        <v>287612.83949999994</v>
      </c>
      <c r="R31" s="12">
        <v>287612.83949999994</v>
      </c>
      <c r="S31" s="12">
        <v>287612.83949999994</v>
      </c>
      <c r="T31" s="12">
        <v>179107.02109999998</v>
      </c>
      <c r="U31" s="12">
        <v>179107.02109999998</v>
      </c>
      <c r="V31" s="12">
        <v>179107.02109999998</v>
      </c>
      <c r="W31" s="12">
        <v>179107.02109999998</v>
      </c>
      <c r="X31" t="s">
        <v>5</v>
      </c>
      <c r="Y31" t="s">
        <v>26</v>
      </c>
      <c r="AA31" s="12"/>
      <c r="AB31" s="12"/>
      <c r="AC31" s="276"/>
    </row>
    <row r="32" spans="1:29">
      <c r="A32" t="s">
        <v>27</v>
      </c>
      <c r="B32" s="12" t="s">
        <v>619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10746.45935073</v>
      </c>
      <c r="N32" s="12">
        <v>0</v>
      </c>
      <c r="O32" s="12">
        <v>0</v>
      </c>
      <c r="P32" s="12">
        <v>0</v>
      </c>
      <c r="Q32" s="12">
        <v>36482.420390634747</v>
      </c>
      <c r="R32" s="12">
        <v>36482.420390634747</v>
      </c>
      <c r="S32" s="12">
        <v>36482.420390634747</v>
      </c>
      <c r="T32" s="12">
        <v>36596.138794175</v>
      </c>
      <c r="U32" s="12">
        <v>36596.138794175</v>
      </c>
      <c r="V32" s="12">
        <v>36596.138794175</v>
      </c>
      <c r="W32" s="12">
        <v>36596.138794175</v>
      </c>
      <c r="X32" t="s">
        <v>5</v>
      </c>
      <c r="Y32" t="s">
        <v>24</v>
      </c>
      <c r="AA32" s="12"/>
      <c r="AB32" s="12"/>
      <c r="AC32" s="276"/>
    </row>
    <row r="33" spans="1:29">
      <c r="A33" t="s">
        <v>30</v>
      </c>
      <c r="B33" s="12" t="s">
        <v>618</v>
      </c>
      <c r="C33" s="12">
        <v>948.26887619999991</v>
      </c>
      <c r="D33" s="12">
        <v>948.26887619999991</v>
      </c>
      <c r="E33" s="12">
        <v>948.26887619999991</v>
      </c>
      <c r="F33" s="12">
        <v>948.26887619999991</v>
      </c>
      <c r="G33" s="12">
        <v>129.68666249999998</v>
      </c>
      <c r="H33" s="12">
        <v>129.68666249999998</v>
      </c>
      <c r="I33" s="12">
        <v>129.68666249999998</v>
      </c>
      <c r="J33" s="12">
        <v>129.68666249999998</v>
      </c>
      <c r="K33" s="12">
        <v>-642.13116339999999</v>
      </c>
      <c r="L33" s="12">
        <v>-642.13116339999999</v>
      </c>
      <c r="M33" s="12">
        <v>-4106.3984813999996</v>
      </c>
      <c r="N33" s="12">
        <v>-3725.6384402999997</v>
      </c>
      <c r="O33" s="12">
        <v>-3725.6384402999997</v>
      </c>
      <c r="P33" s="12">
        <v>-3725.6384402999997</v>
      </c>
      <c r="Q33" s="12">
        <v>-4131.4494164999996</v>
      </c>
      <c r="R33" s="12">
        <v>-4131.4494164999996</v>
      </c>
      <c r="S33" s="12">
        <v>-4131.4494164999996</v>
      </c>
      <c r="T33" s="12">
        <v>6847.1496999999999</v>
      </c>
      <c r="U33" s="12">
        <v>6847.1496999999999</v>
      </c>
      <c r="V33" s="12">
        <v>6847.1496999999999</v>
      </c>
      <c r="W33" s="12">
        <v>6847.1496999999999</v>
      </c>
      <c r="X33" t="s">
        <v>5</v>
      </c>
      <c r="Y33" t="s">
        <v>26</v>
      </c>
      <c r="AA33" s="12"/>
      <c r="AB33" s="12"/>
      <c r="AC33" s="276"/>
    </row>
    <row r="34" spans="1:29">
      <c r="A34" t="s">
        <v>39</v>
      </c>
      <c r="B34" s="12" t="s">
        <v>618</v>
      </c>
      <c r="C34" s="12">
        <v>-405.6598803</v>
      </c>
      <c r="D34" s="12">
        <v>-405.6598803</v>
      </c>
      <c r="E34" s="12">
        <v>-405.6598803</v>
      </c>
      <c r="F34" s="12">
        <v>-405.6598803</v>
      </c>
      <c r="G34" s="12">
        <v>-1520.9651778</v>
      </c>
      <c r="H34" s="12">
        <v>-1520.9651778</v>
      </c>
      <c r="I34" s="12">
        <v>-1520.9651778</v>
      </c>
      <c r="J34" s="12">
        <v>-1520.9651778</v>
      </c>
      <c r="K34" s="12">
        <v>-1694.0229237999999</v>
      </c>
      <c r="L34" s="12">
        <v>-1694.0229237999999</v>
      </c>
      <c r="M34" s="12">
        <v>-1381.9410756</v>
      </c>
      <c r="N34" s="12">
        <v>-1145.3926031999999</v>
      </c>
      <c r="O34" s="12">
        <v>-1145.3926031999999</v>
      </c>
      <c r="P34" s="12">
        <v>-1145.3926031999999</v>
      </c>
      <c r="Q34" s="12">
        <v>113.17617149999998</v>
      </c>
      <c r="R34" s="12">
        <v>113.17617149999998</v>
      </c>
      <c r="S34" s="12">
        <v>113.17617149999998</v>
      </c>
      <c r="T34" s="12">
        <v>8421.9732999999997</v>
      </c>
      <c r="U34" s="12">
        <v>8421.9732999999997</v>
      </c>
      <c r="V34" s="12">
        <v>8421.9732999999997</v>
      </c>
      <c r="W34" s="12">
        <v>8421.9732999999997</v>
      </c>
      <c r="X34" t="s">
        <v>5</v>
      </c>
      <c r="Y34" t="s">
        <v>26</v>
      </c>
      <c r="AA34" s="12"/>
      <c r="AB34" s="12"/>
      <c r="AC34" s="276"/>
    </row>
    <row r="35" spans="1:29">
      <c r="A35" t="s">
        <v>31</v>
      </c>
      <c r="B35" s="12" t="s">
        <v>618</v>
      </c>
      <c r="C35" s="12">
        <v>809.24477400000001</v>
      </c>
      <c r="D35" s="12">
        <v>809.24477400000001</v>
      </c>
      <c r="E35" s="12">
        <v>809.24477400000001</v>
      </c>
      <c r="F35" s="12">
        <v>809.24477400000001</v>
      </c>
      <c r="G35" s="12">
        <v>1489.8403787999998</v>
      </c>
      <c r="H35" s="12">
        <v>1489.8403787999998</v>
      </c>
      <c r="I35" s="12">
        <v>1489.8403787999998</v>
      </c>
      <c r="J35" s="12">
        <v>1489.8403787999998</v>
      </c>
      <c r="K35" s="12">
        <v>1527.0065792</v>
      </c>
      <c r="L35" s="12">
        <v>1527.0065792</v>
      </c>
      <c r="M35" s="12">
        <v>-467.90947829999999</v>
      </c>
      <c r="N35" s="12">
        <v>641.17085939999993</v>
      </c>
      <c r="O35" s="12">
        <v>641.17085939999993</v>
      </c>
      <c r="P35" s="12">
        <v>641.17085939999993</v>
      </c>
      <c r="Q35" s="12">
        <v>646.86931049999998</v>
      </c>
      <c r="R35" s="12">
        <v>646.86931049999998</v>
      </c>
      <c r="S35" s="12">
        <v>646.86931049999998</v>
      </c>
      <c r="T35" s="12">
        <v>152.06629999999998</v>
      </c>
      <c r="U35" s="12">
        <v>152.06629999999998</v>
      </c>
      <c r="V35" s="12">
        <v>152.06629999999998</v>
      </c>
      <c r="W35" s="12">
        <v>152.06629999999998</v>
      </c>
      <c r="X35" t="s">
        <v>5</v>
      </c>
      <c r="Y35" t="s">
        <v>26</v>
      </c>
      <c r="AA35" s="12"/>
      <c r="AB35" s="12"/>
      <c r="AC35" s="276"/>
    </row>
    <row r="36" spans="1:29">
      <c r="A36" t="s">
        <v>34</v>
      </c>
      <c r="B36" s="12" t="s">
        <v>618</v>
      </c>
      <c r="C36" s="12">
        <v>170.14890119999998</v>
      </c>
      <c r="D36" s="12">
        <v>170.14890119999998</v>
      </c>
      <c r="E36" s="12">
        <v>170.14890119999998</v>
      </c>
      <c r="F36" s="12">
        <v>170.14890119999998</v>
      </c>
      <c r="G36" s="12">
        <v>82.999463999999989</v>
      </c>
      <c r="H36" s="12">
        <v>82.999463999999989</v>
      </c>
      <c r="I36" s="12">
        <v>82.999463999999989</v>
      </c>
      <c r="J36" s="12">
        <v>82.999463999999989</v>
      </c>
      <c r="K36" s="12">
        <v>311.21057999999999</v>
      </c>
      <c r="L36" s="12">
        <v>311.21057999999999</v>
      </c>
      <c r="M36" s="12">
        <v>132.79914239999999</v>
      </c>
      <c r="N36" s="12">
        <v>161.8489548</v>
      </c>
      <c r="O36" s="12">
        <v>161.8489548</v>
      </c>
      <c r="P36" s="12">
        <v>161.8489548</v>
      </c>
      <c r="Q36" s="12">
        <v>97.601468999999994</v>
      </c>
      <c r="R36" s="12">
        <v>97.601468999999994</v>
      </c>
      <c r="S36" s="12">
        <v>97.601468999999994</v>
      </c>
      <c r="T36" s="12">
        <v>59.36835</v>
      </c>
      <c r="U36" s="12">
        <v>59.36835</v>
      </c>
      <c r="V36" s="12">
        <v>59.36835</v>
      </c>
      <c r="W36" s="12">
        <v>59.36835</v>
      </c>
      <c r="X36" t="s">
        <v>5</v>
      </c>
      <c r="Y36" t="s">
        <v>26</v>
      </c>
      <c r="AA36" s="12"/>
      <c r="AB36" s="12"/>
      <c r="AC36" s="276"/>
    </row>
    <row r="37" spans="1:29">
      <c r="A37" s="13" t="s">
        <v>42</v>
      </c>
      <c r="B37" s="12" t="s">
        <v>440</v>
      </c>
      <c r="C37" s="12">
        <v>-1100</v>
      </c>
      <c r="D37" s="12">
        <v>-1100</v>
      </c>
      <c r="E37" s="12">
        <v>-1100</v>
      </c>
      <c r="F37" s="12">
        <v>-1100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t="s">
        <v>3</v>
      </c>
      <c r="Y37" t="s">
        <v>24</v>
      </c>
      <c r="AA37" s="12"/>
      <c r="AB37" s="12"/>
      <c r="AC37" s="276"/>
    </row>
    <row r="38" spans="1:29">
      <c r="A38" s="13" t="s">
        <v>50</v>
      </c>
      <c r="B38" s="12" t="s">
        <v>620</v>
      </c>
      <c r="C38" s="12">
        <v>5978.5056403103417</v>
      </c>
      <c r="D38" s="12">
        <v>5978.5056403103417</v>
      </c>
      <c r="E38" s="12">
        <v>5978.5056403103417</v>
      </c>
      <c r="F38" s="12">
        <v>5978.5056403103417</v>
      </c>
      <c r="G38" s="12">
        <v>1527.3080934</v>
      </c>
      <c r="H38" s="12">
        <v>1527.3080934</v>
      </c>
      <c r="I38" s="12">
        <v>1527.3080934</v>
      </c>
      <c r="J38" s="12">
        <v>1527.3080934</v>
      </c>
      <c r="K38" s="12">
        <v>1457.2959840000001</v>
      </c>
      <c r="L38" s="12">
        <v>1457.2959840000001</v>
      </c>
      <c r="M38" s="12">
        <v>1540.4658171999999</v>
      </c>
      <c r="N38" s="12">
        <v>1540.4658171999999</v>
      </c>
      <c r="O38" s="12">
        <v>1540.4658171999999</v>
      </c>
      <c r="P38" s="12">
        <v>1540.4658171999999</v>
      </c>
      <c r="Q38" s="12">
        <v>1595.085975</v>
      </c>
      <c r="R38" s="12">
        <v>1595.085975</v>
      </c>
      <c r="S38" s="12">
        <v>1595.085975</v>
      </c>
      <c r="T38" s="12">
        <v>1420.24218</v>
      </c>
      <c r="U38" s="12">
        <v>1420.24218</v>
      </c>
      <c r="V38" s="12">
        <v>1420.24218</v>
      </c>
      <c r="W38" s="12">
        <v>1420.24218</v>
      </c>
      <c r="X38" t="s">
        <v>3</v>
      </c>
      <c r="Y38" t="s">
        <v>24</v>
      </c>
      <c r="AA38" s="12"/>
      <c r="AB38" s="12"/>
      <c r="AC38" s="276"/>
    </row>
    <row r="39" spans="1:29">
      <c r="A39" s="13" t="s">
        <v>51</v>
      </c>
      <c r="B39" s="12" t="s">
        <v>440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t="s">
        <v>3</v>
      </c>
      <c r="Y39" t="s">
        <v>24</v>
      </c>
      <c r="AA39" s="12"/>
      <c r="AB39" s="12"/>
      <c r="AC39" s="276"/>
    </row>
    <row r="40" spans="1:29">
      <c r="A40" s="13" t="s">
        <v>52</v>
      </c>
      <c r="B40" s="12" t="s">
        <v>618</v>
      </c>
      <c r="C40" s="12">
        <v>466.99606976938986</v>
      </c>
      <c r="D40" s="12">
        <v>466.99606976938986</v>
      </c>
      <c r="E40" s="12">
        <v>466.99606976938986</v>
      </c>
      <c r="F40" s="12">
        <v>466.99606976938986</v>
      </c>
      <c r="G40" s="12">
        <v>2754.9338452659995</v>
      </c>
      <c r="H40" s="12">
        <v>2754.9338452659995</v>
      </c>
      <c r="I40" s="12">
        <v>2754.9338452659995</v>
      </c>
      <c r="J40" s="12">
        <v>2754.9338452659995</v>
      </c>
      <c r="K40" s="12">
        <v>-18223.289949766604</v>
      </c>
      <c r="L40" s="12">
        <v>-18223.289949766604</v>
      </c>
      <c r="M40" s="12">
        <v>-82533.698187948947</v>
      </c>
      <c r="N40" s="12">
        <v>-48774.079285199696</v>
      </c>
      <c r="O40" s="12">
        <v>-48774.079285199696</v>
      </c>
      <c r="P40" s="12">
        <v>-48774.079285199696</v>
      </c>
      <c r="Q40" s="12">
        <v>2182.475535031163</v>
      </c>
      <c r="R40" s="12">
        <v>2182.475535031163</v>
      </c>
      <c r="S40" s="12">
        <v>2182.475535031163</v>
      </c>
      <c r="T40" s="12">
        <v>-25129.549760000002</v>
      </c>
      <c r="U40" s="12">
        <v>-25129.549760000002</v>
      </c>
      <c r="V40" s="12">
        <v>-25129.549760000002</v>
      </c>
      <c r="W40" s="12">
        <v>-25129.549760000002</v>
      </c>
      <c r="X40" t="s">
        <v>3</v>
      </c>
      <c r="Y40" t="s">
        <v>26</v>
      </c>
      <c r="AA40" s="12"/>
      <c r="AB40" s="12"/>
      <c r="AC40" s="276"/>
    </row>
    <row r="41" spans="1:29">
      <c r="A41" s="13" t="s">
        <v>56</v>
      </c>
      <c r="B41" s="12" t="s">
        <v>612</v>
      </c>
      <c r="C41" s="12">
        <v>18724.668751262619</v>
      </c>
      <c r="D41" s="12">
        <v>18724.668751262619</v>
      </c>
      <c r="E41" s="12">
        <v>18724.668751262619</v>
      </c>
      <c r="F41" s="12">
        <v>18724.668751262619</v>
      </c>
      <c r="G41" s="12">
        <v>18724.668751262619</v>
      </c>
      <c r="H41" s="12">
        <v>11401.226441231669</v>
      </c>
      <c r="I41" s="12">
        <v>11401.226441231669</v>
      </c>
      <c r="J41" s="12">
        <v>11401.226441231669</v>
      </c>
      <c r="K41" s="12">
        <v>9575.3765038420588</v>
      </c>
      <c r="L41" s="12">
        <v>9575.3765038420588</v>
      </c>
      <c r="M41" s="12">
        <v>10765.967043677038</v>
      </c>
      <c r="N41" s="12">
        <v>4978.0553645074278</v>
      </c>
      <c r="O41" s="12">
        <v>4978.0553645074278</v>
      </c>
      <c r="P41" s="12">
        <v>4978.0553645074278</v>
      </c>
      <c r="Q41" s="12">
        <v>2311.0350881632939</v>
      </c>
      <c r="R41" s="12">
        <v>2311.0350881632939</v>
      </c>
      <c r="S41" s="12">
        <v>2311.0350881632939</v>
      </c>
      <c r="T41" s="12">
        <v>556.89772626709453</v>
      </c>
      <c r="U41" s="12">
        <v>556.89772626709453</v>
      </c>
      <c r="V41" s="12">
        <v>556.89772626709453</v>
      </c>
      <c r="W41" s="12">
        <v>556.89772626709453</v>
      </c>
      <c r="X41" t="s">
        <v>14</v>
      </c>
      <c r="Y41" t="s">
        <v>24</v>
      </c>
      <c r="AA41" s="12"/>
      <c r="AB41" s="12"/>
      <c r="AC41" s="276"/>
    </row>
    <row r="42" spans="1:29">
      <c r="A42" s="13" t="s">
        <v>57</v>
      </c>
      <c r="B42" s="12" t="s">
        <v>618</v>
      </c>
      <c r="C42" s="12">
        <v>-1680.1401159999998</v>
      </c>
      <c r="D42" s="12">
        <v>-1680.1401159999998</v>
      </c>
      <c r="E42" s="12">
        <v>-1680.1401159999998</v>
      </c>
      <c r="F42" s="12">
        <v>-1680.1401159999998</v>
      </c>
      <c r="G42" s="12">
        <v>2244.9101068</v>
      </c>
      <c r="H42" s="12">
        <v>2244.9101068</v>
      </c>
      <c r="I42" s="12">
        <v>2244.9101068</v>
      </c>
      <c r="J42" s="12">
        <v>2244.9101068</v>
      </c>
      <c r="K42" s="12">
        <v>9746.6789041000011</v>
      </c>
      <c r="L42" s="12">
        <v>9746.6789041000011</v>
      </c>
      <c r="M42" s="12">
        <v>15866.190637599999</v>
      </c>
      <c r="N42" s="12">
        <v>4920.9887011999999</v>
      </c>
      <c r="O42" s="12">
        <v>4920.9887011999999</v>
      </c>
      <c r="P42" s="12">
        <v>4920.9887011999999</v>
      </c>
      <c r="Q42" s="12">
        <v>3351.1996770000001</v>
      </c>
      <c r="R42" s="12">
        <v>3351.1996770000001</v>
      </c>
      <c r="S42" s="12">
        <v>3351.1996770000001</v>
      </c>
      <c r="T42" s="12">
        <v>-1871.3062200000002</v>
      </c>
      <c r="U42" s="12">
        <v>-1871.3062200000002</v>
      </c>
      <c r="V42" s="12">
        <v>-1871.3062200000002</v>
      </c>
      <c r="W42" s="12">
        <v>-1871.3062200000002</v>
      </c>
      <c r="X42" t="s">
        <v>14</v>
      </c>
      <c r="Y42" t="s">
        <v>26</v>
      </c>
      <c r="AA42" s="12"/>
      <c r="AB42" s="12"/>
      <c r="AC42" s="276"/>
    </row>
    <row r="43" spans="1:29">
      <c r="A43" s="13" t="s">
        <v>58</v>
      </c>
      <c r="B43" s="12" t="s">
        <v>612</v>
      </c>
      <c r="C43" s="12">
        <v>132913.61422435864</v>
      </c>
      <c r="D43" s="12">
        <v>132913.61422435864</v>
      </c>
      <c r="E43" s="12">
        <v>132913.61422435864</v>
      </c>
      <c r="F43" s="12">
        <v>132913.61422435864</v>
      </c>
      <c r="G43" s="12">
        <v>132913.61422435864</v>
      </c>
      <c r="H43" s="12">
        <v>124438.99750989386</v>
      </c>
      <c r="I43" s="12">
        <v>124438.99750989386</v>
      </c>
      <c r="J43" s="12">
        <v>124438.99750989386</v>
      </c>
      <c r="K43" s="12">
        <v>146823.98913219353</v>
      </c>
      <c r="L43" s="12">
        <v>146823.98913219353</v>
      </c>
      <c r="M43" s="12">
        <v>189848.65786940834</v>
      </c>
      <c r="N43" s="12">
        <v>207539.6836296336</v>
      </c>
      <c r="O43" s="12">
        <v>207539.6836296336</v>
      </c>
      <c r="P43" s="12">
        <v>207539.6836296336</v>
      </c>
      <c r="Q43" s="12">
        <v>194547.97944908033</v>
      </c>
      <c r="R43" s="12">
        <v>194547.97944908033</v>
      </c>
      <c r="S43" s="12">
        <v>194547.97944908033</v>
      </c>
      <c r="T43" s="12">
        <v>251070.6757248409</v>
      </c>
      <c r="U43" s="12">
        <v>251070.6757248409</v>
      </c>
      <c r="V43" s="12">
        <v>251070.6757248409</v>
      </c>
      <c r="W43" s="12">
        <v>251070.6757248409</v>
      </c>
      <c r="X43" t="s">
        <v>59</v>
      </c>
      <c r="Y43" t="s">
        <v>24</v>
      </c>
      <c r="AA43" s="12"/>
      <c r="AB43" s="12"/>
      <c r="AC43" s="276"/>
    </row>
    <row r="44" spans="1:29">
      <c r="A44" s="13" t="s">
        <v>60</v>
      </c>
      <c r="B44" s="12" t="s">
        <v>621</v>
      </c>
      <c r="C44" s="12">
        <v>14420.433000000001</v>
      </c>
      <c r="D44" s="12">
        <v>14420.433000000001</v>
      </c>
      <c r="E44" s="12">
        <v>14420.433000000001</v>
      </c>
      <c r="F44" s="12">
        <v>14420.433000000001</v>
      </c>
      <c r="G44" s="12">
        <v>14420.433000000001</v>
      </c>
      <c r="H44" s="12">
        <v>0</v>
      </c>
      <c r="I44" s="12">
        <v>0</v>
      </c>
      <c r="J44" s="12">
        <v>0</v>
      </c>
      <c r="K44" s="12">
        <v>-91971.658124724228</v>
      </c>
      <c r="L44" s="12">
        <v>-91971.658124724228</v>
      </c>
      <c r="M44" s="12">
        <v>400.31599999999997</v>
      </c>
      <c r="N44" s="12">
        <v>161229.56037695956</v>
      </c>
      <c r="O44" s="12">
        <v>161229.56037695956</v>
      </c>
      <c r="P44" s="12">
        <v>161229.56037695956</v>
      </c>
      <c r="Q44" s="12">
        <v>-83519.87394803045</v>
      </c>
      <c r="R44" s="12">
        <v>-83519.87394803045</v>
      </c>
      <c r="S44" s="12">
        <v>-83519.87394803045</v>
      </c>
      <c r="T44" s="12">
        <v>-79665.630380000002</v>
      </c>
      <c r="U44" s="12">
        <v>-79665.630380000002</v>
      </c>
      <c r="V44" s="12">
        <v>-79665.630380000002</v>
      </c>
      <c r="W44" s="12">
        <v>-79665.630380000002</v>
      </c>
      <c r="X44" t="s">
        <v>59</v>
      </c>
      <c r="Y44" t="s">
        <v>26</v>
      </c>
      <c r="AA44" s="12"/>
      <c r="AB44" s="12"/>
      <c r="AC44" s="276"/>
    </row>
    <row r="45" spans="1:29">
      <c r="A45" t="s">
        <v>79</v>
      </c>
      <c r="B45" s="12" t="s">
        <v>440</v>
      </c>
      <c r="C45" s="12">
        <v>1072.8605559999999</v>
      </c>
      <c r="D45" s="12">
        <v>1072.8605559999999</v>
      </c>
      <c r="E45" s="12">
        <v>1072.8605559999999</v>
      </c>
      <c r="F45" s="12">
        <v>1072.8605559999999</v>
      </c>
      <c r="G45" s="12">
        <v>1072.8605559999999</v>
      </c>
      <c r="H45" s="12">
        <v>1072.8605559999999</v>
      </c>
      <c r="I45" s="12">
        <v>1072.8605559999999</v>
      </c>
      <c r="J45" s="12">
        <v>1072.8605559999999</v>
      </c>
      <c r="K45" s="12">
        <v>1188.2224727319999</v>
      </c>
      <c r="L45" s="12">
        <v>1188.2224727319999</v>
      </c>
      <c r="M45" s="12">
        <v>1342.6576582538</v>
      </c>
      <c r="N45" s="12">
        <v>1301.010426029</v>
      </c>
      <c r="O45" s="12">
        <v>1301.010426029</v>
      </c>
      <c r="P45" s="12">
        <v>1301.010426029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t="s">
        <v>80</v>
      </c>
      <c r="Y45" t="s">
        <v>24</v>
      </c>
      <c r="AA45" s="12"/>
      <c r="AB45" s="12"/>
      <c r="AC45" s="276"/>
    </row>
    <row r="46" spans="1:29">
      <c r="A46" t="s">
        <v>81</v>
      </c>
      <c r="B46" s="12" t="s">
        <v>618</v>
      </c>
      <c r="C46" s="12">
        <v>-25.303314999999998</v>
      </c>
      <c r="D46" s="12">
        <v>-25.303314999999998</v>
      </c>
      <c r="E46" s="12">
        <v>-25.303314999999998</v>
      </c>
      <c r="F46" s="12">
        <v>-25.303314999999998</v>
      </c>
      <c r="G46" s="12">
        <v>179.14747019999999</v>
      </c>
      <c r="H46" s="12">
        <v>179.14747019999999</v>
      </c>
      <c r="I46" s="12">
        <v>179.14747019999999</v>
      </c>
      <c r="J46" s="12">
        <v>179.14747019999999</v>
      </c>
      <c r="K46" s="12">
        <v>170.01786480000001</v>
      </c>
      <c r="L46" s="12">
        <v>170.01786480000001</v>
      </c>
      <c r="M46" s="12">
        <v>21.254784599999997</v>
      </c>
      <c r="N46" s="12">
        <v>141.698564</v>
      </c>
      <c r="O46" s="12">
        <v>141.698564</v>
      </c>
      <c r="P46" s="12">
        <v>141.698564</v>
      </c>
      <c r="Q46" s="12">
        <v>211.66537700000001</v>
      </c>
      <c r="R46" s="12">
        <v>211.66537700000001</v>
      </c>
      <c r="S46" s="12">
        <v>211.66537700000001</v>
      </c>
      <c r="T46" s="12">
        <v>-64.002330000000001</v>
      </c>
      <c r="U46" s="12">
        <v>-64.002330000000001</v>
      </c>
      <c r="V46" s="12">
        <v>-64.002330000000001</v>
      </c>
      <c r="W46" s="12">
        <v>-64.002330000000001</v>
      </c>
      <c r="X46" t="s">
        <v>80</v>
      </c>
      <c r="Y46" t="s">
        <v>26</v>
      </c>
      <c r="AA46" s="12"/>
      <c r="AB46" s="12"/>
      <c r="AC46" s="276"/>
    </row>
    <row r="47" spans="1:29">
      <c r="A47" t="s">
        <v>82</v>
      </c>
      <c r="B47" s="12" t="s">
        <v>440</v>
      </c>
      <c r="C47" s="12">
        <v>89235.037634656328</v>
      </c>
      <c r="D47" s="12">
        <v>89234.737495486523</v>
      </c>
      <c r="E47" s="12">
        <v>89234.737495486523</v>
      </c>
      <c r="F47" s="12">
        <v>66926.053121614896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-48518.545714285719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t="s">
        <v>97</v>
      </c>
      <c r="Y47" t="s">
        <v>24</v>
      </c>
      <c r="AA47" s="12"/>
      <c r="AB47" s="12"/>
      <c r="AC47" s="276"/>
    </row>
    <row r="48" spans="1:29">
      <c r="A48" t="s">
        <v>221</v>
      </c>
      <c r="B48" s="12" t="s">
        <v>622</v>
      </c>
      <c r="C48" s="12">
        <v>0</v>
      </c>
      <c r="D48" s="12">
        <v>0</v>
      </c>
      <c r="E48" s="12">
        <v>0</v>
      </c>
      <c r="F48" s="12">
        <v>22308.684373871631</v>
      </c>
      <c r="G48" s="12">
        <v>89234.737495486523</v>
      </c>
      <c r="H48" s="12">
        <v>90159.118373967591</v>
      </c>
      <c r="I48" s="12">
        <v>90159.118373967591</v>
      </c>
      <c r="J48" s="12">
        <v>90159.118373967591</v>
      </c>
      <c r="K48" s="12">
        <v>92132.448620537703</v>
      </c>
      <c r="L48" s="12">
        <v>92132.448620537703</v>
      </c>
      <c r="M48" s="12">
        <v>75464.804373230654</v>
      </c>
      <c r="N48" s="12">
        <v>84674.29105918284</v>
      </c>
      <c r="O48" s="12">
        <v>84674.29105918284</v>
      </c>
      <c r="P48" s="12">
        <v>84674.29105918284</v>
      </c>
      <c r="Q48" s="12">
        <v>91816.684925380512</v>
      </c>
      <c r="R48" s="12">
        <v>91816.684925380512</v>
      </c>
      <c r="S48" s="12">
        <v>91816.684925380512</v>
      </c>
      <c r="T48" s="12">
        <v>88541.557594423386</v>
      </c>
      <c r="U48" s="12">
        <v>88541.557594423401</v>
      </c>
      <c r="V48" s="12">
        <v>88541.557594423401</v>
      </c>
      <c r="W48" s="12">
        <v>88541.557594423401</v>
      </c>
      <c r="X48" t="s">
        <v>221</v>
      </c>
      <c r="Y48" t="s">
        <v>24</v>
      </c>
      <c r="AA48" s="12"/>
      <c r="AB48" s="12"/>
      <c r="AC48" s="276"/>
    </row>
    <row r="49" spans="1:29">
      <c r="A49" t="s">
        <v>339</v>
      </c>
      <c r="B49" s="12" t="s">
        <v>440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49157.3050858653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t="s">
        <v>5</v>
      </c>
      <c r="Y49" t="s">
        <v>24</v>
      </c>
      <c r="AA49" s="12"/>
      <c r="AB49" s="12"/>
      <c r="AC49" s="276"/>
    </row>
    <row r="50" spans="1:29">
      <c r="A50" t="s">
        <v>340</v>
      </c>
      <c r="B50" s="12" t="s">
        <v>440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20399.187039640197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t="s">
        <v>5</v>
      </c>
      <c r="Y50" t="s">
        <v>24</v>
      </c>
      <c r="AA50" s="12"/>
      <c r="AB50" s="12"/>
      <c r="AC50" s="276"/>
    </row>
    <row r="51" spans="1:29">
      <c r="A51" t="s">
        <v>341</v>
      </c>
      <c r="B51" s="12" t="s">
        <v>440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5846.3905841522819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t="s">
        <v>3</v>
      </c>
      <c r="Y51" t="s">
        <v>24</v>
      </c>
      <c r="AA51" s="12"/>
      <c r="AB51" s="12"/>
      <c r="AC51" s="276"/>
    </row>
    <row r="52" spans="1:29">
      <c r="A52" t="s">
        <v>341</v>
      </c>
      <c r="B52" s="12" t="s">
        <v>440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45706.503939637616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t="s">
        <v>5</v>
      </c>
      <c r="Y52" t="s">
        <v>24</v>
      </c>
      <c r="AA52" s="12"/>
      <c r="AB52" s="12"/>
      <c r="AC52" s="276"/>
    </row>
    <row r="53" spans="1:29">
      <c r="A53" t="s">
        <v>371</v>
      </c>
      <c r="B53" s="12" t="s">
        <v>623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5509.0894229999994</v>
      </c>
      <c r="O53" s="12">
        <v>5509.0894229999994</v>
      </c>
      <c r="P53" s="12">
        <v>5509.0894229999994</v>
      </c>
      <c r="Q53" s="12">
        <v>5814.5555999999997</v>
      </c>
      <c r="R53" s="12">
        <v>5814.5555999999997</v>
      </c>
      <c r="S53" s="12">
        <v>5814.5555999999997</v>
      </c>
      <c r="T53" s="12">
        <v>5770.1869999999999</v>
      </c>
      <c r="U53" s="12">
        <v>5770.1869999999999</v>
      </c>
      <c r="V53" s="12">
        <v>5770.1869999999999</v>
      </c>
      <c r="W53" s="12">
        <v>5770.1869999999999</v>
      </c>
      <c r="X53" t="s">
        <v>5</v>
      </c>
      <c r="Y53" t="s">
        <v>24</v>
      </c>
      <c r="AA53" s="12"/>
      <c r="AB53" s="12"/>
      <c r="AC53" s="276"/>
    </row>
    <row r="54" spans="1:29">
      <c r="A54" t="s">
        <v>372</v>
      </c>
      <c r="B54" s="12" t="s">
        <v>612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646.63774141190402</v>
      </c>
      <c r="O54" s="12">
        <v>646.63774141190402</v>
      </c>
      <c r="P54" s="12">
        <v>646.63774141190402</v>
      </c>
      <c r="Q54" s="12">
        <v>80.182302790146849</v>
      </c>
      <c r="R54" s="12">
        <v>80.182302790146849</v>
      </c>
      <c r="S54" s="12">
        <v>80.182302790146849</v>
      </c>
      <c r="T54" s="12">
        <v>313.03090980522069</v>
      </c>
      <c r="U54" s="12">
        <v>313.03090980522069</v>
      </c>
      <c r="V54" s="12">
        <v>313.03090980522069</v>
      </c>
      <c r="W54" s="12">
        <v>313.03090980522069</v>
      </c>
      <c r="X54" t="s">
        <v>372</v>
      </c>
      <c r="Y54" t="s">
        <v>24</v>
      </c>
      <c r="AA54" s="12"/>
      <c r="AB54" s="12"/>
      <c r="AC54" s="276"/>
    </row>
    <row r="55" spans="1:29">
      <c r="A55" t="s">
        <v>376</v>
      </c>
      <c r="B55" s="12" t="s">
        <v>596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241288.05862842887</v>
      </c>
      <c r="P55" s="12">
        <v>241288.05862842887</v>
      </c>
      <c r="Q55" s="12">
        <v>99794.80313630063</v>
      </c>
      <c r="R55" s="12">
        <v>99794.80313630063</v>
      </c>
      <c r="S55" s="12">
        <v>99794.80313630063</v>
      </c>
      <c r="T55" s="12">
        <v>0</v>
      </c>
      <c r="U55" s="12">
        <v>50347.991718270438</v>
      </c>
      <c r="V55" s="12">
        <v>50347.991718270438</v>
      </c>
      <c r="W55" s="12">
        <v>194105.69745544909</v>
      </c>
      <c r="X55" t="s">
        <v>5</v>
      </c>
      <c r="Y55" t="s">
        <v>24</v>
      </c>
      <c r="AA55" s="12"/>
      <c r="AB55" s="12"/>
      <c r="AC55" s="276"/>
    </row>
    <row r="56" spans="1:29">
      <c r="A56" t="s">
        <v>417</v>
      </c>
      <c r="B56" s="12" t="s">
        <v>624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30408.928623</v>
      </c>
      <c r="Q56" s="12">
        <v>31070.493173999996</v>
      </c>
      <c r="R56" s="12">
        <v>31070.493173999996</v>
      </c>
      <c r="S56" s="12">
        <v>637.5244889999999</v>
      </c>
      <c r="T56" s="12">
        <v>619.72225000000003</v>
      </c>
      <c r="U56" s="12">
        <v>619.72225000000003</v>
      </c>
      <c r="V56" s="12">
        <v>619.72225000000003</v>
      </c>
      <c r="W56" s="12">
        <v>619.72225000000003</v>
      </c>
      <c r="X56" t="s">
        <v>5</v>
      </c>
      <c r="Y56" t="s">
        <v>24</v>
      </c>
      <c r="AA56" s="12"/>
      <c r="AB56" s="12"/>
      <c r="AC56" s="276"/>
    </row>
    <row r="57" spans="1:29">
      <c r="A57" t="s">
        <v>458</v>
      </c>
      <c r="B57" s="12" t="s">
        <v>625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>
        <v>-202.88650119643737</v>
      </c>
      <c r="U57" s="12">
        <v>-202.88650119643737</v>
      </c>
      <c r="V57" s="12">
        <v>-202.88650119643737</v>
      </c>
      <c r="W57" s="12">
        <v>-202.88650119643737</v>
      </c>
      <c r="X57" t="s">
        <v>5</v>
      </c>
      <c r="Y57" t="s">
        <v>24</v>
      </c>
      <c r="AA57" s="12"/>
      <c r="AB57" s="12"/>
      <c r="AC57" s="276"/>
    </row>
    <row r="58" spans="1:29">
      <c r="A58" t="s">
        <v>468</v>
      </c>
      <c r="B58" s="12" t="s">
        <v>626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>
        <v>6151.3942999999999</v>
      </c>
      <c r="U58" s="12">
        <v>6151.3942999999999</v>
      </c>
      <c r="V58" s="12">
        <v>6151.3942999999999</v>
      </c>
      <c r="W58" s="12">
        <v>6151.3942999999999</v>
      </c>
      <c r="X58" t="s">
        <v>5</v>
      </c>
      <c r="Y58" t="s">
        <v>24</v>
      </c>
      <c r="AA58" s="12"/>
      <c r="AB58" s="12"/>
      <c r="AC58" s="276"/>
    </row>
    <row r="59" spans="1:29">
      <c r="A59" t="s">
        <v>469</v>
      </c>
      <c r="B59" s="12" t="s">
        <v>618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>
        <v>5045.2681999999995</v>
      </c>
      <c r="U59" s="12">
        <v>5045.2681999999995</v>
      </c>
      <c r="V59" s="12">
        <v>5045.2681999999995</v>
      </c>
      <c r="W59" s="12">
        <v>5045.2681999999995</v>
      </c>
      <c r="X59" t="s">
        <v>5</v>
      </c>
      <c r="Y59" t="s">
        <v>26</v>
      </c>
      <c r="AA59" s="12"/>
      <c r="AB59" s="12"/>
      <c r="AC59" s="276"/>
    </row>
    <row r="60" spans="1:29">
      <c r="A60" t="s">
        <v>470</v>
      </c>
      <c r="B60" s="12" t="s">
        <v>618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>
        <v>229.14099999999999</v>
      </c>
      <c r="U60" s="12">
        <v>229.14099999999999</v>
      </c>
      <c r="V60" s="12">
        <v>229.14099999999999</v>
      </c>
      <c r="W60" s="12">
        <v>229.14099999999999</v>
      </c>
      <c r="X60" t="s">
        <v>5</v>
      </c>
      <c r="Y60" t="s">
        <v>26</v>
      </c>
      <c r="AA60" s="12"/>
      <c r="AB60" s="12"/>
      <c r="AC60" s="276"/>
    </row>
    <row r="61" spans="1:29">
      <c r="A61" t="s">
        <v>471</v>
      </c>
      <c r="B61" s="12" t="s">
        <v>618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>
        <v>-41662</v>
      </c>
      <c r="U61" s="12">
        <v>-41662</v>
      </c>
      <c r="V61" s="12">
        <v>-41662</v>
      </c>
      <c r="W61" s="12">
        <v>-41662</v>
      </c>
      <c r="X61" t="s">
        <v>5</v>
      </c>
      <c r="Y61" t="s">
        <v>26</v>
      </c>
      <c r="AA61" s="12"/>
      <c r="AB61" s="12"/>
      <c r="AC61" s="276"/>
    </row>
    <row r="62" spans="1:29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AA62" s="12"/>
      <c r="AB62" s="12"/>
    </row>
    <row r="63" spans="1:29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AA63" s="12"/>
      <c r="AB63" s="12"/>
    </row>
    <row r="64" spans="1:29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AA64" s="12"/>
      <c r="AB64" s="12"/>
    </row>
    <row r="65" spans="1:29">
      <c r="A65" s="18" t="s">
        <v>6</v>
      </c>
      <c r="B65" s="21"/>
      <c r="C65" s="21">
        <f t="shared" ref="C65:T65" si="0">SUM(C9:C64)</f>
        <v>3411681.2579689091</v>
      </c>
      <c r="D65" s="21">
        <f t="shared" si="0"/>
        <v>3225448.5594297396</v>
      </c>
      <c r="E65" s="21">
        <f t="shared" si="0"/>
        <v>3225448.5594297396</v>
      </c>
      <c r="F65" s="21">
        <f t="shared" si="0"/>
        <v>3225448.5594297391</v>
      </c>
      <c r="G65" s="21">
        <f t="shared" si="0"/>
        <v>3468551.2717425255</v>
      </c>
      <c r="H65" s="21">
        <f t="shared" si="0"/>
        <v>3210312.18271029</v>
      </c>
      <c r="I65" s="21">
        <f t="shared" si="0"/>
        <v>3210312.18271029</v>
      </c>
      <c r="J65" s="21">
        <f t="shared" si="0"/>
        <v>3210312.18271029</v>
      </c>
      <c r="K65" s="21">
        <f t="shared" si="0"/>
        <v>3147262.3997916635</v>
      </c>
      <c r="L65" s="21">
        <f t="shared" si="0"/>
        <v>3092865.1433476061</v>
      </c>
      <c r="M65" s="21">
        <f t="shared" si="0"/>
        <v>2976902.1512522702</v>
      </c>
      <c r="N65" s="21">
        <f t="shared" si="0"/>
        <v>2820201.6280327979</v>
      </c>
      <c r="O65" s="21">
        <f t="shared" si="0"/>
        <v>3112848.2857930851</v>
      </c>
      <c r="P65" s="21">
        <f t="shared" si="0"/>
        <v>3143257.2144160853</v>
      </c>
      <c r="Q65" s="21">
        <f t="shared" si="0"/>
        <v>3278558.7664345312</v>
      </c>
      <c r="R65" s="21">
        <f t="shared" si="0"/>
        <v>3278558.7664345312</v>
      </c>
      <c r="S65" s="21">
        <f t="shared" si="0"/>
        <v>3248125.797749531</v>
      </c>
      <c r="T65" s="21">
        <f t="shared" si="0"/>
        <v>3679531.5726121305</v>
      </c>
      <c r="U65" s="21">
        <f>SUM(U9:U64)</f>
        <v>3729880.2799629099</v>
      </c>
      <c r="V65" s="21">
        <f>SUM(V9:V64)</f>
        <v>3729880.2799629099</v>
      </c>
      <c r="W65" s="21">
        <f>SUM(W9:W64)</f>
        <v>3685892.5377000882</v>
      </c>
      <c r="X65" s="15"/>
      <c r="AA65" s="21"/>
      <c r="AB65" s="12"/>
    </row>
    <row r="66" spans="1:29">
      <c r="AB66" s="12"/>
    </row>
    <row r="67" spans="1:29">
      <c r="A67" s="18" t="s">
        <v>7</v>
      </c>
      <c r="AB67" s="12"/>
    </row>
    <row r="68" spans="1:29">
      <c r="A68" t="s">
        <v>20</v>
      </c>
      <c r="B68" s="12" t="s">
        <v>440</v>
      </c>
      <c r="C68" s="12">
        <v>2460.8645955489001</v>
      </c>
      <c r="D68" s="12">
        <v>2460.8645955489001</v>
      </c>
      <c r="E68" s="12">
        <v>2460.8645955489001</v>
      </c>
      <c r="F68" s="12">
        <v>2460.8645955489001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3065.9919002135998</v>
      </c>
      <c r="O68" s="12">
        <v>3065.9919002135998</v>
      </c>
      <c r="P68" s="12">
        <v>3065.9919002135998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t="s">
        <v>5</v>
      </c>
      <c r="Y68" t="s">
        <v>24</v>
      </c>
      <c r="AA68" s="12"/>
      <c r="AB68" s="12"/>
      <c r="AC68" s="276"/>
    </row>
    <row r="69" spans="1:29">
      <c r="A69" t="s">
        <v>21</v>
      </c>
      <c r="B69" s="12" t="s">
        <v>440</v>
      </c>
      <c r="C69" s="12">
        <v>7842.9966589774358</v>
      </c>
      <c r="D69" s="12">
        <v>7842.9966589774358</v>
      </c>
      <c r="E69" s="12">
        <v>7842.9966589774358</v>
      </c>
      <c r="F69" s="12">
        <v>7842.9966589774358</v>
      </c>
      <c r="G69" s="12">
        <v>7578.9246840164033</v>
      </c>
      <c r="H69" s="12">
        <v>7578.9246840164033</v>
      </c>
      <c r="I69" s="12">
        <v>7578.9246840164033</v>
      </c>
      <c r="J69" s="12">
        <v>7578.9246840164033</v>
      </c>
      <c r="K69" s="12">
        <v>7575.7133050282164</v>
      </c>
      <c r="L69" s="12">
        <v>7575.7133050282164</v>
      </c>
      <c r="M69" s="12">
        <v>6782.9873780056369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t="s">
        <v>5</v>
      </c>
      <c r="Y69" t="s">
        <v>24</v>
      </c>
      <c r="AA69" s="12"/>
      <c r="AB69" s="12"/>
      <c r="AC69" s="276"/>
    </row>
    <row r="70" spans="1:29">
      <c r="A70" t="s">
        <v>109</v>
      </c>
      <c r="B70" s="12" t="s">
        <v>627</v>
      </c>
      <c r="C70" s="12">
        <v>0</v>
      </c>
      <c r="D70" s="12">
        <v>0</v>
      </c>
      <c r="E70" s="12">
        <v>0</v>
      </c>
      <c r="F70" s="12">
        <v>0</v>
      </c>
      <c r="G70" s="12">
        <v>-18242.264576517904</v>
      </c>
      <c r="H70" s="12">
        <v>-18242.264576517904</v>
      </c>
      <c r="I70" s="12">
        <v>-18242.264576517904</v>
      </c>
      <c r="J70" s="12">
        <v>-18242.264576517904</v>
      </c>
      <c r="K70" s="12">
        <v>-10363.512138304784</v>
      </c>
      <c r="L70" s="12">
        <v>-10363.512138304784</v>
      </c>
      <c r="M70" s="12">
        <v>-10098.269566881992</v>
      </c>
      <c r="N70" s="12">
        <v>-9628.1291666901761</v>
      </c>
      <c r="O70" s="12">
        <v>-10421.975347421361</v>
      </c>
      <c r="P70" s="12">
        <v>-10421.975347421361</v>
      </c>
      <c r="Q70" s="12">
        <v>-9229.3669170651228</v>
      </c>
      <c r="R70" s="12">
        <v>-9229.3669170651228</v>
      </c>
      <c r="S70" s="12">
        <v>-9229.3669170651228</v>
      </c>
      <c r="T70" s="12">
        <v>-8217.2473647965744</v>
      </c>
      <c r="U70" s="12">
        <v>-8217.2473647965744</v>
      </c>
      <c r="V70" s="12">
        <v>-8217.2473647965744</v>
      </c>
      <c r="W70" s="12">
        <v>-8217.2473647965744</v>
      </c>
      <c r="X70" t="s">
        <v>5</v>
      </c>
      <c r="Y70" t="s">
        <v>24</v>
      </c>
      <c r="AA70" s="12"/>
      <c r="AB70" s="12"/>
      <c r="AC70" s="276"/>
    </row>
    <row r="71" spans="1:29">
      <c r="A71" t="s">
        <v>110</v>
      </c>
      <c r="B71" s="12" t="s">
        <v>628</v>
      </c>
      <c r="C71" s="12">
        <v>0</v>
      </c>
      <c r="D71" s="12">
        <v>0</v>
      </c>
      <c r="E71" s="12">
        <v>0</v>
      </c>
      <c r="F71" s="12">
        <v>0</v>
      </c>
      <c r="G71" s="12">
        <v>13838.708958752715</v>
      </c>
      <c r="H71" s="12">
        <v>13838.708958752715</v>
      </c>
      <c r="I71" s="12">
        <v>13838.708958752715</v>
      </c>
      <c r="J71" s="12">
        <v>13838.708958752715</v>
      </c>
      <c r="K71" s="12">
        <v>11822.733650287277</v>
      </c>
      <c r="L71" s="12">
        <v>11822.733650287277</v>
      </c>
      <c r="M71" s="12">
        <v>14749.202182647461</v>
      </c>
      <c r="N71" s="12">
        <v>17874.03602115027</v>
      </c>
      <c r="O71" s="12">
        <v>18549.958611841474</v>
      </c>
      <c r="P71" s="12">
        <v>18549.958611841474</v>
      </c>
      <c r="Q71" s="12">
        <v>15737.903139376944</v>
      </c>
      <c r="R71" s="12">
        <v>15737.903139376944</v>
      </c>
      <c r="S71" s="12">
        <v>15737.903139376944</v>
      </c>
      <c r="T71" s="12">
        <v>14532.780425580537</v>
      </c>
      <c r="U71" s="12">
        <v>14532.780425580537</v>
      </c>
      <c r="V71" s="12">
        <v>14532.780425580537</v>
      </c>
      <c r="W71" s="12">
        <v>14532.780425580537</v>
      </c>
      <c r="X71" t="s">
        <v>5</v>
      </c>
      <c r="Y71" t="s">
        <v>24</v>
      </c>
      <c r="AA71" s="12"/>
      <c r="AB71" s="12"/>
      <c r="AC71" s="276"/>
    </row>
    <row r="72" spans="1:29">
      <c r="A72" t="s">
        <v>111</v>
      </c>
      <c r="B72" s="12" t="s">
        <v>629</v>
      </c>
      <c r="C72" s="12">
        <v>0</v>
      </c>
      <c r="D72" s="12">
        <v>0</v>
      </c>
      <c r="E72" s="12">
        <v>0</v>
      </c>
      <c r="F72" s="12">
        <v>0</v>
      </c>
      <c r="G72" s="12">
        <v>297.65388165463486</v>
      </c>
      <c r="H72" s="12">
        <v>297.65388165463486</v>
      </c>
      <c r="I72" s="12">
        <v>297.65388165463486</v>
      </c>
      <c r="J72" s="12">
        <v>297.65388165463486</v>
      </c>
      <c r="K72" s="12">
        <v>2717.1226761587423</v>
      </c>
      <c r="L72" s="12">
        <v>2717.1226761587423</v>
      </c>
      <c r="M72" s="12">
        <v>3521.4260113924061</v>
      </c>
      <c r="N72" s="12">
        <v>3442.8771572392989</v>
      </c>
      <c r="O72" s="12">
        <v>3619.679406389409</v>
      </c>
      <c r="P72" s="12">
        <v>3619.679406389409</v>
      </c>
      <c r="Q72" s="12">
        <v>3464.1058374170839</v>
      </c>
      <c r="R72" s="12">
        <v>3464.1058374170839</v>
      </c>
      <c r="S72" s="12">
        <v>3464.1058374170839</v>
      </c>
      <c r="T72" s="12">
        <v>3178.120409211077</v>
      </c>
      <c r="U72" s="12">
        <v>3178.120409211077</v>
      </c>
      <c r="V72" s="12">
        <v>3178.120409211077</v>
      </c>
      <c r="W72" s="12">
        <v>3178.120409211077</v>
      </c>
      <c r="X72" t="s">
        <v>5</v>
      </c>
      <c r="Y72" t="s">
        <v>24</v>
      </c>
      <c r="AA72" s="12"/>
      <c r="AB72" s="12"/>
      <c r="AC72" s="276"/>
    </row>
    <row r="73" spans="1:29">
      <c r="A73" t="s">
        <v>113</v>
      </c>
      <c r="B73" s="12" t="s">
        <v>628</v>
      </c>
      <c r="C73" s="12">
        <v>0</v>
      </c>
      <c r="D73" s="12">
        <v>0</v>
      </c>
      <c r="E73" s="12">
        <v>0</v>
      </c>
      <c r="F73" s="12">
        <v>0</v>
      </c>
      <c r="G73" s="12">
        <v>916.84931421797876</v>
      </c>
      <c r="H73" s="12">
        <v>916.84931421797876</v>
      </c>
      <c r="I73" s="12">
        <v>916.84931421797876</v>
      </c>
      <c r="J73" s="12">
        <v>916.84931421797876</v>
      </c>
      <c r="K73" s="12">
        <v>223.70722107676906</v>
      </c>
      <c r="L73" s="12">
        <v>223.70722107676906</v>
      </c>
      <c r="M73" s="12">
        <v>224.82059047319851</v>
      </c>
      <c r="N73" s="12">
        <v>222.196486445505</v>
      </c>
      <c r="O73" s="12">
        <v>228.67458897609933</v>
      </c>
      <c r="P73" s="12">
        <v>228.67458897609933</v>
      </c>
      <c r="Q73" s="12">
        <v>222.3452238648876</v>
      </c>
      <c r="R73" s="12">
        <v>222.3452238648876</v>
      </c>
      <c r="S73" s="12">
        <v>222.3452238648876</v>
      </c>
      <c r="T73" s="12">
        <v>196.82219103401869</v>
      </c>
      <c r="U73" s="12">
        <v>196.82219103401869</v>
      </c>
      <c r="V73" s="12">
        <v>196.82219103401869</v>
      </c>
      <c r="W73" s="12">
        <v>196.82219103401869</v>
      </c>
      <c r="X73" t="s">
        <v>5</v>
      </c>
      <c r="Y73" t="s">
        <v>24</v>
      </c>
      <c r="AA73" s="12"/>
      <c r="AB73" s="12"/>
      <c r="AC73" s="276"/>
    </row>
    <row r="74" spans="1:29">
      <c r="A74" t="s">
        <v>101</v>
      </c>
      <c r="B74" s="12" t="s">
        <v>440</v>
      </c>
      <c r="C74" s="12">
        <v>11774.82637087723</v>
      </c>
      <c r="D74" s="12">
        <v>11774.82637087723</v>
      </c>
      <c r="E74" s="12">
        <v>11774.82637087723</v>
      </c>
      <c r="F74" s="12">
        <v>11774.82637087723</v>
      </c>
      <c r="G74" s="12">
        <v>3849.8475114850912</v>
      </c>
      <c r="H74" s="12">
        <v>3849.8475114850912</v>
      </c>
      <c r="I74" s="12">
        <v>3849.8475114850912</v>
      </c>
      <c r="J74" s="12">
        <v>3849.8475114850912</v>
      </c>
      <c r="K74" s="12">
        <v>3707.071785513117</v>
      </c>
      <c r="L74" s="12">
        <v>3707.071785513117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t="s">
        <v>5</v>
      </c>
      <c r="Y74" t="s">
        <v>24</v>
      </c>
      <c r="AA74" s="12"/>
      <c r="AB74" s="12"/>
      <c r="AC74" s="276"/>
    </row>
    <row r="75" spans="1:29">
      <c r="A75" t="s">
        <v>23</v>
      </c>
      <c r="B75" s="12" t="s">
        <v>630</v>
      </c>
      <c r="C75" s="12">
        <v>5757.9420113573733</v>
      </c>
      <c r="D75" s="12">
        <v>6761.2327247173725</v>
      </c>
      <c r="E75" s="12">
        <v>6761.2327247173725</v>
      </c>
      <c r="F75" s="12">
        <v>6761.2327247173725</v>
      </c>
      <c r="G75" s="12">
        <v>4091.7015173161735</v>
      </c>
      <c r="H75" s="12">
        <v>4084.8366440600876</v>
      </c>
      <c r="I75" s="12">
        <v>4084.8366440600876</v>
      </c>
      <c r="J75" s="12">
        <v>5617.0971562606846</v>
      </c>
      <c r="K75" s="12">
        <v>7836.1328672590944</v>
      </c>
      <c r="L75" s="12">
        <v>7836.1328672590944</v>
      </c>
      <c r="M75" s="12">
        <v>11416.542000504454</v>
      </c>
      <c r="N75" s="12">
        <v>3285.8960466428071</v>
      </c>
      <c r="O75" s="12">
        <v>3285.8960466428071</v>
      </c>
      <c r="P75" s="12">
        <v>3642.5185187084066</v>
      </c>
      <c r="Q75" s="12">
        <v>8080.4813254924293</v>
      </c>
      <c r="R75" s="12">
        <v>8080.4813254924293</v>
      </c>
      <c r="S75" s="12">
        <v>7716.0574128604312</v>
      </c>
      <c r="T75" s="12">
        <v>5954.2815355503835</v>
      </c>
      <c r="U75" s="12">
        <v>5954.2815355503835</v>
      </c>
      <c r="V75" s="12">
        <v>5954.2815355503835</v>
      </c>
      <c r="W75" s="12">
        <v>5954.2815355503835</v>
      </c>
      <c r="X75" t="s">
        <v>5</v>
      </c>
      <c r="Y75" t="s">
        <v>24</v>
      </c>
      <c r="AA75" s="12"/>
      <c r="AB75" s="12"/>
      <c r="AC75" s="276"/>
    </row>
    <row r="76" spans="1:29">
      <c r="A76" s="410" t="s">
        <v>434</v>
      </c>
      <c r="B76" s="12" t="s">
        <v>631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9151.8938528029503</v>
      </c>
      <c r="K76" s="12">
        <v>9150.7938542165066</v>
      </c>
      <c r="L76" s="12">
        <v>9150.7938542165066</v>
      </c>
      <c r="M76" s="12">
        <v>0</v>
      </c>
      <c r="N76" s="12">
        <v>0</v>
      </c>
      <c r="O76" s="12">
        <v>0</v>
      </c>
      <c r="P76" s="12">
        <v>0</v>
      </c>
      <c r="Q76" s="12">
        <v>1911.1177514729998</v>
      </c>
      <c r="R76" s="12">
        <v>1911.1177514729998</v>
      </c>
      <c r="S76" s="12">
        <v>1911.1177514729998</v>
      </c>
      <c r="T76" s="12">
        <v>0</v>
      </c>
      <c r="U76" s="12">
        <v>0</v>
      </c>
      <c r="V76" s="12">
        <v>0</v>
      </c>
      <c r="W76" s="12">
        <v>0</v>
      </c>
      <c r="X76" t="s">
        <v>5</v>
      </c>
      <c r="Y76" t="s">
        <v>24</v>
      </c>
      <c r="AA76" s="12"/>
      <c r="AB76" s="12"/>
      <c r="AC76" s="276"/>
    </row>
    <row r="77" spans="1:29">
      <c r="A77" t="s">
        <v>346</v>
      </c>
      <c r="B77" s="12" t="s">
        <v>632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19553.413197438818</v>
      </c>
      <c r="N77" s="12">
        <v>6630.1442245618264</v>
      </c>
      <c r="O77" s="12">
        <v>6947.6822545118957</v>
      </c>
      <c r="P77" s="12">
        <v>6947.6822545118957</v>
      </c>
      <c r="Q77" s="12">
        <v>6753.3473998666186</v>
      </c>
      <c r="R77" s="12">
        <v>6753.3473998666186</v>
      </c>
      <c r="S77" s="12">
        <v>6753.3473998666186</v>
      </c>
      <c r="T77" s="12">
        <v>6543.1721669204471</v>
      </c>
      <c r="U77" s="12">
        <v>6543.1721669204471</v>
      </c>
      <c r="V77" s="12">
        <v>6543.1721669204471</v>
      </c>
      <c r="W77" s="12">
        <v>6543.1721669204471</v>
      </c>
      <c r="X77" t="s">
        <v>5</v>
      </c>
      <c r="Y77" t="s">
        <v>24</v>
      </c>
      <c r="AA77" s="12"/>
      <c r="AB77" s="12"/>
      <c r="AC77" s="276"/>
    </row>
    <row r="78" spans="1:29">
      <c r="A78" s="410" t="s">
        <v>232</v>
      </c>
      <c r="B78" s="12" t="s">
        <v>440</v>
      </c>
      <c r="C78" s="12">
        <v>0</v>
      </c>
      <c r="D78" s="12">
        <v>0</v>
      </c>
      <c r="E78" s="12">
        <v>0</v>
      </c>
      <c r="F78" s="12">
        <v>0</v>
      </c>
      <c r="G78" s="12">
        <v>-333.56654586959996</v>
      </c>
      <c r="H78" s="12">
        <v>-333.56654586959996</v>
      </c>
      <c r="I78" s="12">
        <v>-333.56654586959996</v>
      </c>
      <c r="J78" s="12">
        <v>-333.56654586959996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t="s">
        <v>5</v>
      </c>
      <c r="Y78" t="s">
        <v>26</v>
      </c>
      <c r="AA78" s="12"/>
      <c r="AB78" s="12"/>
      <c r="AC78" s="276"/>
    </row>
    <row r="79" spans="1:29">
      <c r="A79" s="410" t="s">
        <v>233</v>
      </c>
      <c r="B79" s="12" t="s">
        <v>618</v>
      </c>
      <c r="C79" s="12">
        <v>0</v>
      </c>
      <c r="D79" s="12">
        <v>0</v>
      </c>
      <c r="E79" s="12">
        <v>0</v>
      </c>
      <c r="F79" s="12">
        <v>0</v>
      </c>
      <c r="G79" s="12">
        <v>62042.099340000001</v>
      </c>
      <c r="H79" s="12">
        <v>62042.099340000001</v>
      </c>
      <c r="I79" s="12">
        <v>62042.099340000001</v>
      </c>
      <c r="J79" s="12">
        <v>62042.099340000001</v>
      </c>
      <c r="K79" s="12">
        <v>97834.232665999996</v>
      </c>
      <c r="L79" s="12">
        <v>97834.232665999996</v>
      </c>
      <c r="M79" s="12">
        <v>96619.676042399995</v>
      </c>
      <c r="N79" s="12">
        <v>85598.38471649999</v>
      </c>
      <c r="O79" s="12">
        <v>85598.38471649999</v>
      </c>
      <c r="P79" s="12">
        <v>85598.38471649999</v>
      </c>
      <c r="Q79" s="12">
        <v>-7088.5662644999993</v>
      </c>
      <c r="R79" s="12">
        <v>-7088.5662644999993</v>
      </c>
      <c r="S79" s="12">
        <v>-7088.5662644999993</v>
      </c>
      <c r="T79" s="12">
        <v>-47214.503049999999</v>
      </c>
      <c r="U79" s="12">
        <v>-47214.503049999999</v>
      </c>
      <c r="V79" s="12">
        <v>-47214.503049999999</v>
      </c>
      <c r="W79" s="12">
        <v>-47214.503049999999</v>
      </c>
      <c r="X79" t="s">
        <v>5</v>
      </c>
      <c r="Y79" t="s">
        <v>26</v>
      </c>
      <c r="AA79" s="12"/>
      <c r="AB79" s="12"/>
      <c r="AC79" s="276"/>
    </row>
    <row r="80" spans="1:29">
      <c r="A80" t="s">
        <v>28</v>
      </c>
      <c r="B80" s="12" t="s">
        <v>618</v>
      </c>
      <c r="C80" s="12">
        <v>14304.957620399999</v>
      </c>
      <c r="D80" s="12">
        <v>14304.957620399999</v>
      </c>
      <c r="E80" s="12">
        <v>14304.957620399999</v>
      </c>
      <c r="F80" s="12">
        <v>14304.957620399999</v>
      </c>
      <c r="G80" s="12">
        <v>14618.280596999999</v>
      </c>
      <c r="H80" s="12">
        <v>14618.280596999999</v>
      </c>
      <c r="I80" s="12">
        <v>14618.280596999999</v>
      </c>
      <c r="J80" s="12">
        <v>14618.280596999999</v>
      </c>
      <c r="K80" s="12">
        <v>12263.7715892</v>
      </c>
      <c r="L80" s="12">
        <v>12263.7715892</v>
      </c>
      <c r="M80" s="12">
        <v>11368.8515814</v>
      </c>
      <c r="N80" s="12">
        <v>10448.595024299999</v>
      </c>
      <c r="O80" s="12">
        <v>10448.595024299999</v>
      </c>
      <c r="P80" s="12">
        <v>10448.595024299999</v>
      </c>
      <c r="Q80" s="12">
        <v>7863.1481354999987</v>
      </c>
      <c r="R80" s="12">
        <v>7863.1481354999987</v>
      </c>
      <c r="S80" s="12">
        <v>7863.1481354999987</v>
      </c>
      <c r="T80" s="12">
        <v>2976.7498999999998</v>
      </c>
      <c r="U80" s="12">
        <v>2976.7498999999998</v>
      </c>
      <c r="V80" s="12">
        <v>2976.7498999999998</v>
      </c>
      <c r="W80" s="12">
        <v>2976.7498999999998</v>
      </c>
      <c r="X80" t="s">
        <v>5</v>
      </c>
      <c r="Y80" t="s">
        <v>26</v>
      </c>
      <c r="AA80" s="12"/>
      <c r="AB80" s="12"/>
      <c r="AC80" s="276"/>
    </row>
    <row r="81" spans="1:29">
      <c r="A81" t="s">
        <v>29</v>
      </c>
      <c r="B81" s="12" t="s">
        <v>618</v>
      </c>
      <c r="C81" s="12">
        <v>-6227.0347865999993</v>
      </c>
      <c r="D81" s="12">
        <v>-6227.0347865999993</v>
      </c>
      <c r="E81" s="12">
        <v>-6227.0347865999993</v>
      </c>
      <c r="F81" s="12">
        <v>-6227.0347865999993</v>
      </c>
      <c r="G81" s="12">
        <v>2817.8318027999999</v>
      </c>
      <c r="H81" s="12">
        <v>2817.8318027999999</v>
      </c>
      <c r="I81" s="12">
        <v>2817.8318027999999</v>
      </c>
      <c r="J81" s="12">
        <v>2817.8318027999999</v>
      </c>
      <c r="K81" s="12">
        <v>-12060.447343600001</v>
      </c>
      <c r="L81" s="12">
        <v>-12060.447343600001</v>
      </c>
      <c r="M81" s="12">
        <v>-63.2870913</v>
      </c>
      <c r="N81" s="12">
        <v>1908.7884732863999</v>
      </c>
      <c r="O81" s="12">
        <v>1908.7884732863999</v>
      </c>
      <c r="P81" s="12">
        <v>1908.7884732863999</v>
      </c>
      <c r="Q81" s="12">
        <v>681.13365599999997</v>
      </c>
      <c r="R81" s="12">
        <v>681.13365599999997</v>
      </c>
      <c r="S81" s="12">
        <v>681.13365599999997</v>
      </c>
      <c r="T81" s="12">
        <v>-1985.1942999999999</v>
      </c>
      <c r="U81" s="12">
        <v>-1985.1942999999999</v>
      </c>
      <c r="V81" s="12">
        <v>-1985.1942999999999</v>
      </c>
      <c r="W81" s="12">
        <v>-1985.1942999999999</v>
      </c>
      <c r="X81" t="s">
        <v>5</v>
      </c>
      <c r="Y81" t="s">
        <v>26</v>
      </c>
      <c r="AA81" s="12"/>
      <c r="AB81" s="12"/>
      <c r="AC81" s="276"/>
    </row>
    <row r="82" spans="1:29">
      <c r="A82" t="s">
        <v>32</v>
      </c>
      <c r="B82" s="12" t="s">
        <v>440</v>
      </c>
      <c r="C82" s="12">
        <v>111.01178309999999</v>
      </c>
      <c r="D82" s="12">
        <v>111.01178309999999</v>
      </c>
      <c r="E82" s="12">
        <v>111.01178309999999</v>
      </c>
      <c r="F82" s="12">
        <v>111.01178309999999</v>
      </c>
      <c r="G82" s="12">
        <v>108.9367965</v>
      </c>
      <c r="H82" s="12">
        <v>108.9367965</v>
      </c>
      <c r="I82" s="12">
        <v>108.9367965</v>
      </c>
      <c r="J82" s="12">
        <v>108.9367965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t="s">
        <v>5</v>
      </c>
      <c r="Y82" t="s">
        <v>26</v>
      </c>
      <c r="AA82" s="12"/>
      <c r="AB82" s="12"/>
      <c r="AC82" s="276"/>
    </row>
    <row r="83" spans="1:29">
      <c r="A83" t="s">
        <v>33</v>
      </c>
      <c r="B83" s="12" t="s">
        <v>440</v>
      </c>
      <c r="C83" s="12">
        <v>3717.3384938999998</v>
      </c>
      <c r="D83" s="12">
        <v>3717.3384938999998</v>
      </c>
      <c r="E83" s="12">
        <v>3717.3384938999998</v>
      </c>
      <c r="F83" s="12">
        <v>3717.3384938999998</v>
      </c>
      <c r="G83" s="12">
        <v>3739.1258531999997</v>
      </c>
      <c r="H83" s="12">
        <v>3739.1258531999997</v>
      </c>
      <c r="I83" s="12">
        <v>3739.1258531999997</v>
      </c>
      <c r="J83" s="12">
        <v>3739.1258531999997</v>
      </c>
      <c r="K83" s="12">
        <v>3376.6347929999997</v>
      </c>
      <c r="L83" s="12">
        <v>3376.6347929999997</v>
      </c>
      <c r="M83" s="12">
        <v>1615.3770680999999</v>
      </c>
      <c r="N83" s="12">
        <v>-631.83341969999992</v>
      </c>
      <c r="O83" s="12">
        <v>-631.83341969999992</v>
      </c>
      <c r="P83" s="12">
        <v>-631.83341969999992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t="s">
        <v>5</v>
      </c>
      <c r="Y83" t="s">
        <v>26</v>
      </c>
      <c r="AA83" s="12"/>
      <c r="AB83" s="12"/>
      <c r="AC83" s="276"/>
    </row>
    <row r="84" spans="1:29">
      <c r="A84" t="s">
        <v>312</v>
      </c>
      <c r="B84" s="12" t="s">
        <v>440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420.13428299999998</v>
      </c>
      <c r="L84" s="12">
        <v>420.13428299999998</v>
      </c>
      <c r="M84" s="12">
        <v>3.1124798999999999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t="s">
        <v>5</v>
      </c>
      <c r="Y84" t="s">
        <v>26</v>
      </c>
      <c r="AA84" s="12"/>
      <c r="AB84" s="12"/>
      <c r="AC84" s="276"/>
    </row>
    <row r="85" spans="1:29">
      <c r="A85" t="s">
        <v>313</v>
      </c>
      <c r="B85" s="12" t="s">
        <v>618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17012.84504</v>
      </c>
      <c r="L85" s="12">
        <v>17012.84504</v>
      </c>
      <c r="M85" s="12">
        <v>17014.89012</v>
      </c>
      <c r="N85" s="12">
        <v>60589.608719999997</v>
      </c>
      <c r="O85" s="12">
        <v>60589.608719999997</v>
      </c>
      <c r="P85" s="12">
        <v>60589.608719999997</v>
      </c>
      <c r="Q85" s="12">
        <v>-37379.285999999993</v>
      </c>
      <c r="R85" s="12">
        <v>-37379.285999999993</v>
      </c>
      <c r="S85" s="12">
        <v>-37379.285999999993</v>
      </c>
      <c r="T85" s="12">
        <v>-12498.6</v>
      </c>
      <c r="U85" s="12">
        <v>-12498.6</v>
      </c>
      <c r="V85" s="12">
        <v>-12498.6</v>
      </c>
      <c r="W85" s="12">
        <v>-12498.6</v>
      </c>
      <c r="X85" t="s">
        <v>5</v>
      </c>
      <c r="Y85" t="s">
        <v>26</v>
      </c>
      <c r="AA85" s="12"/>
      <c r="AB85" s="12"/>
      <c r="AC85" s="276"/>
    </row>
    <row r="86" spans="1:29">
      <c r="A86" s="13" t="s">
        <v>35</v>
      </c>
      <c r="B86" s="12" t="s">
        <v>618</v>
      </c>
      <c r="C86" s="12">
        <v>8196.1970700000002</v>
      </c>
      <c r="D86" s="12">
        <v>8196.1970700000002</v>
      </c>
      <c r="E86" s="12">
        <v>8196.1970700000002</v>
      </c>
      <c r="F86" s="12">
        <v>8196.1970700000002</v>
      </c>
      <c r="G86" s="12">
        <v>7148.328837</v>
      </c>
      <c r="H86" s="12">
        <v>7148.328837</v>
      </c>
      <c r="I86" s="12">
        <v>7148.328837</v>
      </c>
      <c r="J86" s="12">
        <v>7148.328837</v>
      </c>
      <c r="K86" s="12">
        <v>12956.733813999999</v>
      </c>
      <c r="L86" s="12">
        <v>12956.733813999999</v>
      </c>
      <c r="M86" s="12">
        <v>18197.632482000001</v>
      </c>
      <c r="N86" s="12">
        <v>17949.671583299998</v>
      </c>
      <c r="O86" s="12">
        <v>17949.671583299998</v>
      </c>
      <c r="P86" s="12">
        <v>17949.671583299998</v>
      </c>
      <c r="Q86" s="12">
        <v>22809.670967999999</v>
      </c>
      <c r="R86" s="12">
        <v>22809.670967999999</v>
      </c>
      <c r="S86" s="12">
        <v>22809.670967999999</v>
      </c>
      <c r="T86" s="12">
        <v>18076.10025</v>
      </c>
      <c r="U86" s="12">
        <v>18076.10025</v>
      </c>
      <c r="V86" s="12">
        <v>18076.10025</v>
      </c>
      <c r="W86" s="12">
        <v>18076.10025</v>
      </c>
      <c r="X86" t="s">
        <v>5</v>
      </c>
      <c r="Y86" t="s">
        <v>26</v>
      </c>
      <c r="AA86" s="12"/>
      <c r="AB86" s="12"/>
      <c r="AC86" s="276"/>
    </row>
    <row r="87" spans="1:29">
      <c r="A87" s="13" t="s">
        <v>36</v>
      </c>
      <c r="B87" s="12" t="s">
        <v>618</v>
      </c>
      <c r="C87" s="12">
        <v>2384.1596033999999</v>
      </c>
      <c r="D87" s="12">
        <v>2384.1596033999999</v>
      </c>
      <c r="E87" s="12">
        <v>2384.1596033999999</v>
      </c>
      <c r="F87" s="12">
        <v>2384.1596033999999</v>
      </c>
      <c r="G87" s="12">
        <v>2386.23459</v>
      </c>
      <c r="H87" s="12">
        <v>2386.23459</v>
      </c>
      <c r="I87" s="12">
        <v>2386.23459</v>
      </c>
      <c r="J87" s="12">
        <v>2386.23459</v>
      </c>
      <c r="K87" s="12">
        <v>2480.3483225999998</v>
      </c>
      <c r="L87" s="12">
        <v>2480.3483225999998</v>
      </c>
      <c r="M87" s="12">
        <v>756.33261570000002</v>
      </c>
      <c r="N87" s="12">
        <v>599.67112739999993</v>
      </c>
      <c r="O87" s="12">
        <v>599.67112739999993</v>
      </c>
      <c r="P87" s="12">
        <v>599.67112739999993</v>
      </c>
      <c r="Q87" s="12">
        <v>1971.7573364999998</v>
      </c>
      <c r="R87" s="12">
        <v>1971.7573364999998</v>
      </c>
      <c r="S87" s="12">
        <v>1971.7573364999998</v>
      </c>
      <c r="T87" s="12">
        <v>2620.5398</v>
      </c>
      <c r="U87" s="12">
        <v>2620.5398</v>
      </c>
      <c r="V87" s="12">
        <v>2620.5398</v>
      </c>
      <c r="W87" s="12">
        <v>2620.5398</v>
      </c>
      <c r="X87" t="s">
        <v>5</v>
      </c>
      <c r="Y87" t="s">
        <v>26</v>
      </c>
      <c r="AA87" s="12"/>
      <c r="AB87" s="12"/>
      <c r="AC87" s="276"/>
    </row>
    <row r="88" spans="1:29">
      <c r="A88" s="13" t="s">
        <v>37</v>
      </c>
      <c r="B88" s="12" t="s">
        <v>440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t="s">
        <v>5</v>
      </c>
      <c r="Y88" t="s">
        <v>26</v>
      </c>
      <c r="AA88" s="12"/>
      <c r="AB88" s="12"/>
      <c r="AC88" s="276"/>
    </row>
    <row r="89" spans="1:29">
      <c r="A89" s="416" t="s">
        <v>242</v>
      </c>
      <c r="B89" s="12" t="s">
        <v>618</v>
      </c>
      <c r="C89" s="12">
        <v>0</v>
      </c>
      <c r="D89" s="12">
        <v>0</v>
      </c>
      <c r="E89" s="12">
        <v>0</v>
      </c>
      <c r="F89" s="12">
        <v>0</v>
      </c>
      <c r="G89" s="12">
        <v>-274.93572449999999</v>
      </c>
      <c r="H89" s="12">
        <v>-274.93572449999999</v>
      </c>
      <c r="I89" s="12">
        <v>-274.93572449999999</v>
      </c>
      <c r="J89" s="12">
        <v>-274.93572449999999</v>
      </c>
      <c r="K89" s="12">
        <v>597.52431360000003</v>
      </c>
      <c r="L89" s="12">
        <v>597.52431360000003</v>
      </c>
      <c r="M89" s="12">
        <v>-18.674879399999998</v>
      </c>
      <c r="N89" s="12">
        <v>179.48634089999999</v>
      </c>
      <c r="O89" s="12">
        <v>179.48634089999999</v>
      </c>
      <c r="P89" s="12">
        <v>179.48634089999999</v>
      </c>
      <c r="Q89" s="12">
        <v>-354.06490349999996</v>
      </c>
      <c r="R89" s="12">
        <v>-354.06490349999996</v>
      </c>
      <c r="S89" s="12">
        <v>-354.06490349999996</v>
      </c>
      <c r="T89" s="12">
        <v>428.07704999999999</v>
      </c>
      <c r="U89" s="12">
        <v>428.07704999999999</v>
      </c>
      <c r="V89" s="12">
        <v>428.07704999999999</v>
      </c>
      <c r="W89" s="12">
        <v>428.07704999999999</v>
      </c>
      <c r="X89" t="s">
        <v>5</v>
      </c>
      <c r="Y89" t="s">
        <v>26</v>
      </c>
      <c r="AA89" s="12"/>
      <c r="AB89" s="12"/>
      <c r="AC89" s="276"/>
    </row>
    <row r="90" spans="1:29">
      <c r="A90" s="416" t="s">
        <v>243</v>
      </c>
      <c r="B90" s="12" t="s">
        <v>618</v>
      </c>
      <c r="C90" s="12">
        <v>0</v>
      </c>
      <c r="D90" s="12">
        <v>0</v>
      </c>
      <c r="E90" s="12">
        <v>0</v>
      </c>
      <c r="F90" s="12">
        <v>0</v>
      </c>
      <c r="G90" s="12">
        <v>-283.2356709</v>
      </c>
      <c r="H90" s="12">
        <v>-283.2356709</v>
      </c>
      <c r="I90" s="12">
        <v>-283.2356709</v>
      </c>
      <c r="J90" s="12">
        <v>-283.2356709</v>
      </c>
      <c r="K90" s="12">
        <v>-1.675350289</v>
      </c>
      <c r="L90" s="12">
        <v>-1.675350289</v>
      </c>
      <c r="M90" s="12">
        <v>0</v>
      </c>
      <c r="N90" s="12">
        <v>-3.1124798999999999</v>
      </c>
      <c r="O90" s="12">
        <v>-3.1124798999999999</v>
      </c>
      <c r="P90" s="12">
        <v>-3.1124798999999999</v>
      </c>
      <c r="Q90" s="12">
        <v>-2649.7760519999997</v>
      </c>
      <c r="R90" s="12">
        <v>-2649.7760519999997</v>
      </c>
      <c r="S90" s="12">
        <v>-2649.7760519999997</v>
      </c>
      <c r="T90" s="12">
        <v>-31.246499999999997</v>
      </c>
      <c r="U90" s="12">
        <v>-31.246499999999997</v>
      </c>
      <c r="V90" s="12">
        <v>-31.246499999999997</v>
      </c>
      <c r="W90" s="12">
        <v>-31.246499999999997</v>
      </c>
      <c r="X90" t="s">
        <v>5</v>
      </c>
      <c r="Y90" t="s">
        <v>26</v>
      </c>
      <c r="AA90" s="12"/>
      <c r="AB90" s="12"/>
      <c r="AC90" s="276"/>
    </row>
    <row r="91" spans="1:29">
      <c r="A91" s="13" t="s">
        <v>38</v>
      </c>
      <c r="B91" s="12" t="s">
        <v>440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t="s">
        <v>5</v>
      </c>
      <c r="Y91" t="s">
        <v>26</v>
      </c>
      <c r="AA91" s="12"/>
      <c r="AB91" s="12"/>
      <c r="AC91" s="276"/>
    </row>
    <row r="92" spans="1:29">
      <c r="A92" s="13" t="s">
        <v>205</v>
      </c>
      <c r="B92" s="12" t="s">
        <v>440</v>
      </c>
      <c r="C92" s="12">
        <v>-1769.9635698</v>
      </c>
      <c r="D92" s="12">
        <v>-1769.9635698</v>
      </c>
      <c r="E92" s="12">
        <v>-1769.9635698</v>
      </c>
      <c r="F92" s="12">
        <v>-1769.9635698</v>
      </c>
      <c r="G92" s="12">
        <v>0</v>
      </c>
      <c r="H92" s="12">
        <v>0</v>
      </c>
      <c r="I92" s="12">
        <v>0</v>
      </c>
      <c r="J92" s="12">
        <v>0</v>
      </c>
      <c r="K92" s="12">
        <v>147.47958175619999</v>
      </c>
      <c r="L92" s="12">
        <v>147.47958175619999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t="s">
        <v>5</v>
      </c>
      <c r="Y92" t="s">
        <v>26</v>
      </c>
      <c r="AA92" s="12"/>
      <c r="AB92" s="12"/>
      <c r="AC92" s="276"/>
    </row>
    <row r="93" spans="1:29">
      <c r="A93" s="13" t="s">
        <v>304</v>
      </c>
      <c r="B93" s="12" t="s">
        <v>618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2258.3514421999998</v>
      </c>
      <c r="L93" s="12">
        <v>2258.3514421999998</v>
      </c>
      <c r="M93" s="12">
        <v>5482.1145971999995</v>
      </c>
      <c r="N93" s="12">
        <v>70662.631169699991</v>
      </c>
      <c r="O93" s="12">
        <v>70662.631169699991</v>
      </c>
      <c r="P93" s="12">
        <v>70662.631169699991</v>
      </c>
      <c r="Q93" s="12">
        <v>753.8156009999999</v>
      </c>
      <c r="R93" s="12">
        <v>753.8156009999999</v>
      </c>
      <c r="S93" s="12">
        <v>753.8156009999999</v>
      </c>
      <c r="T93" s="12">
        <v>-15275.372299999999</v>
      </c>
      <c r="U93" s="12">
        <v>-15275.372299999999</v>
      </c>
      <c r="V93" s="12">
        <v>-15275.372299999999</v>
      </c>
      <c r="W93" s="12">
        <v>-15275.372299999999</v>
      </c>
      <c r="X93" t="s">
        <v>5</v>
      </c>
      <c r="Y93" t="s">
        <v>26</v>
      </c>
      <c r="AA93" s="12"/>
      <c r="AB93" s="12"/>
      <c r="AC93" s="276"/>
    </row>
    <row r="94" spans="1:29">
      <c r="A94" s="13" t="s">
        <v>318</v>
      </c>
      <c r="B94" s="12" t="s">
        <v>618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1324.7225299000002</v>
      </c>
      <c r="L94" s="12">
        <v>1324.7225299000002</v>
      </c>
      <c r="M94" s="12">
        <v>3295.5037456</v>
      </c>
      <c r="N94" s="12">
        <v>11326.775926599999</v>
      </c>
      <c r="O94" s="12">
        <v>11326.775926599999</v>
      </c>
      <c r="P94" s="12">
        <v>11326.775926599999</v>
      </c>
      <c r="Q94" s="12">
        <v>120.517607</v>
      </c>
      <c r="R94" s="12">
        <v>120.517607</v>
      </c>
      <c r="S94" s="12">
        <v>120.517607</v>
      </c>
      <c r="T94" s="12">
        <v>-2448.3431</v>
      </c>
      <c r="U94" s="12">
        <v>-2448.3431</v>
      </c>
      <c r="V94" s="12">
        <v>-2448.3431</v>
      </c>
      <c r="W94" s="12">
        <v>-2448.3431</v>
      </c>
      <c r="X94" t="s">
        <v>3</v>
      </c>
      <c r="Y94" t="s">
        <v>26</v>
      </c>
      <c r="AA94" s="12"/>
      <c r="AB94" s="12"/>
      <c r="AC94" s="276"/>
    </row>
    <row r="95" spans="1:29">
      <c r="A95" t="s">
        <v>311</v>
      </c>
      <c r="B95" s="12" t="s">
        <v>618</v>
      </c>
      <c r="C95" s="12">
        <v>959.50170479999997</v>
      </c>
      <c r="D95" s="12">
        <v>959.50170479999997</v>
      </c>
      <c r="E95" s="12">
        <v>959.50170479999997</v>
      </c>
      <c r="F95" s="12">
        <v>959.50170479999997</v>
      </c>
      <c r="G95" s="12">
        <v>824.88806899999997</v>
      </c>
      <c r="H95" s="12">
        <v>824.88806899999997</v>
      </c>
      <c r="I95" s="12">
        <v>824.88806899999997</v>
      </c>
      <c r="J95" s="12">
        <v>824.88806899999997</v>
      </c>
      <c r="K95" s="12">
        <v>955.3384784000001</v>
      </c>
      <c r="L95" s="12">
        <v>955.3384784000001</v>
      </c>
      <c r="M95" s="12">
        <v>-173.07467459999998</v>
      </c>
      <c r="N95" s="12">
        <v>282.38499539999998</v>
      </c>
      <c r="O95" s="12">
        <v>282.38499539999998</v>
      </c>
      <c r="P95" s="12">
        <v>282.38499539999998</v>
      </c>
      <c r="Q95" s="12">
        <v>-166.09149200000002</v>
      </c>
      <c r="R95" s="12">
        <v>-166.09149200000002</v>
      </c>
      <c r="S95" s="12">
        <v>-166.09149200000002</v>
      </c>
      <c r="T95" s="12">
        <v>0</v>
      </c>
      <c r="U95" s="12">
        <v>0</v>
      </c>
      <c r="V95" s="12">
        <v>0</v>
      </c>
      <c r="W95" s="12">
        <v>0</v>
      </c>
      <c r="X95" t="s">
        <v>3</v>
      </c>
      <c r="Y95" t="s">
        <v>26</v>
      </c>
      <c r="AA95" s="12"/>
      <c r="AB95" s="12"/>
      <c r="AC95" s="276"/>
    </row>
    <row r="96" spans="1:29">
      <c r="A96" t="s">
        <v>22</v>
      </c>
      <c r="B96" s="12" t="s">
        <v>633</v>
      </c>
      <c r="C96" s="12">
        <v>10384.438789999989</v>
      </c>
      <c r="D96" s="12">
        <v>10384.438789999989</v>
      </c>
      <c r="E96" s="12">
        <v>10384.438789999989</v>
      </c>
      <c r="F96" s="12">
        <v>10384.438789999989</v>
      </c>
      <c r="G96" s="12">
        <v>14512.247960000124</v>
      </c>
      <c r="H96" s="12">
        <v>14512.247960000124</v>
      </c>
      <c r="I96" s="12">
        <v>14512.247960000124</v>
      </c>
      <c r="J96" s="12">
        <v>14512.247960000124</v>
      </c>
      <c r="K96" s="12">
        <v>13108.984509999978</v>
      </c>
      <c r="L96" s="12">
        <v>13108.984509999978</v>
      </c>
      <c r="M96" s="12">
        <v>17468.285040000002</v>
      </c>
      <c r="N96" s="12">
        <v>21772.850630000012</v>
      </c>
      <c r="O96" s="12">
        <v>21772.850630000012</v>
      </c>
      <c r="P96" s="12">
        <v>21772.850630000012</v>
      </c>
      <c r="Q96" s="12">
        <v>23803.573559999997</v>
      </c>
      <c r="R96" s="12">
        <v>23803.573559999997</v>
      </c>
      <c r="S96" s="12">
        <v>23803.573559999997</v>
      </c>
      <c r="T96" s="12">
        <v>0</v>
      </c>
      <c r="U96" s="12">
        <v>0</v>
      </c>
      <c r="V96" s="12">
        <v>0</v>
      </c>
      <c r="W96" s="12">
        <v>0</v>
      </c>
      <c r="X96" t="s">
        <v>5</v>
      </c>
      <c r="Y96" t="s">
        <v>24</v>
      </c>
      <c r="AA96" s="12"/>
      <c r="AB96" s="12"/>
      <c r="AC96" s="276"/>
    </row>
    <row r="97" spans="1:29">
      <c r="A97" s="13" t="s">
        <v>539</v>
      </c>
      <c r="B97" s="12" t="s">
        <v>634</v>
      </c>
      <c r="C97" s="12">
        <v>-1006.6484500001117</v>
      </c>
      <c r="D97" s="12">
        <v>-1006.6484500001117</v>
      </c>
      <c r="E97" s="12">
        <v>-1006.6484500001117</v>
      </c>
      <c r="F97" s="12">
        <v>-1006.6484500001117</v>
      </c>
      <c r="G97" s="12">
        <v>-2412.1108600000562</v>
      </c>
      <c r="H97" s="12">
        <v>-2412.1108600000562</v>
      </c>
      <c r="I97" s="12">
        <v>-2412.1108600000562</v>
      </c>
      <c r="J97" s="12">
        <v>-2412.1108600000562</v>
      </c>
      <c r="K97" s="12">
        <v>-2771.0864299999776</v>
      </c>
      <c r="L97" s="12">
        <v>-2771.0864299999776</v>
      </c>
      <c r="M97" s="12">
        <v>-1178.0985599999967</v>
      </c>
      <c r="N97" s="12">
        <v>-1423.5695200000023</v>
      </c>
      <c r="O97" s="12">
        <v>-1423.5695200000023</v>
      </c>
      <c r="P97" s="12">
        <v>-1423.5695200000023</v>
      </c>
      <c r="Q97" s="12">
        <v>-1046.2193100000015</v>
      </c>
      <c r="R97" s="12">
        <v>-1046.2193100000015</v>
      </c>
      <c r="S97" s="12">
        <v>-1046.2193100000015</v>
      </c>
      <c r="T97" s="12">
        <v>-891.81047999999998</v>
      </c>
      <c r="U97" s="12">
        <v>-891.81047999999998</v>
      </c>
      <c r="V97" s="12">
        <v>-891.81047999999998</v>
      </c>
      <c r="W97" s="12">
        <v>-891.81047999999998</v>
      </c>
      <c r="X97" t="s">
        <v>3</v>
      </c>
      <c r="Y97" t="s">
        <v>24</v>
      </c>
      <c r="AA97" s="12"/>
      <c r="AB97" s="12"/>
      <c r="AC97" s="276"/>
    </row>
    <row r="98" spans="1:29">
      <c r="A98" s="13" t="s">
        <v>44</v>
      </c>
      <c r="B98" s="12" t="s">
        <v>634</v>
      </c>
      <c r="C98" s="12">
        <v>23000.546209997989</v>
      </c>
      <c r="D98" s="12">
        <v>23000.546209997989</v>
      </c>
      <c r="E98" s="12">
        <v>23000.546209997989</v>
      </c>
      <c r="F98" s="12">
        <v>23000.546209997989</v>
      </c>
      <c r="G98" s="12">
        <v>6461.6487400032402</v>
      </c>
      <c r="H98" s="12">
        <v>6461.6487400032402</v>
      </c>
      <c r="I98" s="12">
        <v>6461.6487400032402</v>
      </c>
      <c r="J98" s="12">
        <v>6461.6487400032402</v>
      </c>
      <c r="K98" s="12">
        <v>-9516.3053999996482</v>
      </c>
      <c r="L98" s="12">
        <v>-9516.3053999996482</v>
      </c>
      <c r="M98" s="12">
        <v>8785.1610399999317</v>
      </c>
      <c r="N98" s="12">
        <v>7929.8560599999728</v>
      </c>
      <c r="O98" s="12">
        <v>7929.8560599999728</v>
      </c>
      <c r="P98" s="12">
        <v>7929.8560599999728</v>
      </c>
      <c r="Q98" s="12">
        <v>2801.1993099999727</v>
      </c>
      <c r="R98" s="12">
        <v>2801.1993099999727</v>
      </c>
      <c r="S98" s="12">
        <v>2801.1993099999727</v>
      </c>
      <c r="T98" s="12">
        <v>3082.6530000000598</v>
      </c>
      <c r="U98" s="12">
        <v>3082.6530000000598</v>
      </c>
      <c r="V98" s="12">
        <v>3082.6530000000598</v>
      </c>
      <c r="W98" s="12">
        <v>3082.6530000000598</v>
      </c>
      <c r="X98" t="s">
        <v>3</v>
      </c>
      <c r="Y98" t="s">
        <v>24</v>
      </c>
      <c r="AA98" s="12"/>
      <c r="AB98" s="12"/>
      <c r="AC98" s="276"/>
    </row>
    <row r="99" spans="1:29">
      <c r="A99" s="13" t="s">
        <v>45</v>
      </c>
      <c r="B99" s="12" t="s">
        <v>635</v>
      </c>
      <c r="C99" s="12">
        <v>191.3576699999968</v>
      </c>
      <c r="D99" s="12">
        <v>191.3576699999968</v>
      </c>
      <c r="E99" s="12">
        <v>191.3576699999968</v>
      </c>
      <c r="F99" s="12">
        <v>191.3576699999968</v>
      </c>
      <c r="G99" s="12">
        <v>52.435750000001498</v>
      </c>
      <c r="H99" s="12">
        <v>52.435750000001498</v>
      </c>
      <c r="I99" s="12">
        <v>52.435750000001498</v>
      </c>
      <c r="J99" s="12">
        <v>52.435750000001498</v>
      </c>
      <c r="K99" s="12">
        <v>924.59608999999921</v>
      </c>
      <c r="L99" s="12">
        <v>924.59608999999921</v>
      </c>
      <c r="M99" s="12">
        <v>455.58558000001125</v>
      </c>
      <c r="N99" s="12">
        <v>329.55970000000065</v>
      </c>
      <c r="O99" s="12">
        <v>329.55970000000065</v>
      </c>
      <c r="P99" s="12">
        <v>329.55970000000065</v>
      </c>
      <c r="Q99" s="12">
        <v>184.03196999999997</v>
      </c>
      <c r="R99" s="12">
        <v>184.03196999999997</v>
      </c>
      <c r="S99" s="12">
        <v>184.03196999999997</v>
      </c>
      <c r="T99" s="12">
        <v>154.52138000000036</v>
      </c>
      <c r="U99" s="12">
        <v>154.52138000000036</v>
      </c>
      <c r="V99" s="12">
        <v>154.52138000000036</v>
      </c>
      <c r="W99" s="12">
        <v>154.52138000000036</v>
      </c>
      <c r="X99" t="s">
        <v>3</v>
      </c>
      <c r="Y99" t="s">
        <v>24</v>
      </c>
      <c r="AA99" s="12"/>
      <c r="AB99" s="12"/>
      <c r="AC99" s="276"/>
    </row>
    <row r="100" spans="1:29">
      <c r="A100" s="13" t="s">
        <v>46</v>
      </c>
      <c r="B100" s="12" t="s">
        <v>633</v>
      </c>
      <c r="C100" s="12">
        <v>-106.41925999997184</v>
      </c>
      <c r="D100" s="12">
        <v>-106.41925999997184</v>
      </c>
      <c r="E100" s="12">
        <v>-106.41925999997184</v>
      </c>
      <c r="F100" s="12">
        <v>-106.41925999997184</v>
      </c>
      <c r="G100" s="12">
        <v>317.79030000004639</v>
      </c>
      <c r="H100" s="12">
        <v>317.79030000004639</v>
      </c>
      <c r="I100" s="12">
        <v>317.79030000004639</v>
      </c>
      <c r="J100" s="12">
        <v>317.79030000004639</v>
      </c>
      <c r="K100" s="12">
        <v>-290.2039800000079</v>
      </c>
      <c r="L100" s="12">
        <v>-290.2039800000079</v>
      </c>
      <c r="M100" s="12">
        <v>103.88005999999493</v>
      </c>
      <c r="N100" s="12">
        <v>1346.6115899999961</v>
      </c>
      <c r="O100" s="12">
        <v>1346.6115899999961</v>
      </c>
      <c r="P100" s="12">
        <v>1346.6115899999961</v>
      </c>
      <c r="Q100" s="12">
        <v>1756.5771699999907</v>
      </c>
      <c r="R100" s="12">
        <v>1756.5771699999907</v>
      </c>
      <c r="S100" s="12">
        <v>1756.5771699999907</v>
      </c>
      <c r="T100" s="12">
        <v>0</v>
      </c>
      <c r="U100" s="12">
        <v>0</v>
      </c>
      <c r="V100" s="12">
        <v>0</v>
      </c>
      <c r="W100" s="12">
        <v>0</v>
      </c>
      <c r="X100" t="s">
        <v>3</v>
      </c>
      <c r="Y100" t="s">
        <v>24</v>
      </c>
      <c r="AA100" s="12"/>
      <c r="AB100" s="12"/>
      <c r="AC100" s="276"/>
    </row>
    <row r="101" spans="1:29">
      <c r="A101" s="14" t="s">
        <v>47</v>
      </c>
      <c r="B101" s="12" t="s">
        <v>636</v>
      </c>
      <c r="C101" s="12">
        <v>-218.36895000001789</v>
      </c>
      <c r="D101" s="12">
        <v>-218.36895000001789</v>
      </c>
      <c r="E101" s="12">
        <v>-218.36895000001789</v>
      </c>
      <c r="F101" s="12">
        <v>-218.36895000001789</v>
      </c>
      <c r="G101" s="12">
        <v>615.40979000003267</v>
      </c>
      <c r="H101" s="12">
        <v>615.40979000003267</v>
      </c>
      <c r="I101" s="12">
        <v>615.40979000003267</v>
      </c>
      <c r="J101" s="12">
        <v>615.40979000003267</v>
      </c>
      <c r="K101" s="12">
        <v>418.28167999988051</v>
      </c>
      <c r="L101" s="12">
        <v>418.28167999988051</v>
      </c>
      <c r="M101" s="12">
        <v>1447.6496099999938</v>
      </c>
      <c r="N101" s="12">
        <v>477.35870999999997</v>
      </c>
      <c r="O101" s="12">
        <v>477.35870999999997</v>
      </c>
      <c r="P101" s="12">
        <v>477.35870999999997</v>
      </c>
      <c r="Q101" s="12">
        <v>293.14443999999946</v>
      </c>
      <c r="R101" s="12">
        <v>293.14443999999946</v>
      </c>
      <c r="S101" s="12">
        <v>293.14443999999946</v>
      </c>
      <c r="T101" s="12">
        <v>258.09344999999928</v>
      </c>
      <c r="U101" s="12">
        <v>258.09344999999928</v>
      </c>
      <c r="V101" s="12">
        <v>258.09344999999928</v>
      </c>
      <c r="W101" s="12">
        <v>258.09344999999928</v>
      </c>
      <c r="X101" t="s">
        <v>3</v>
      </c>
      <c r="Y101" t="s">
        <v>24</v>
      </c>
      <c r="AA101" s="12"/>
      <c r="AB101" s="12"/>
      <c r="AC101" s="276"/>
    </row>
    <row r="102" spans="1:29">
      <c r="A102" s="14" t="s">
        <v>48</v>
      </c>
      <c r="B102" s="12" t="s">
        <v>636</v>
      </c>
      <c r="C102" s="12">
        <v>14155.425600007415</v>
      </c>
      <c r="D102" s="12">
        <v>14155.425600007415</v>
      </c>
      <c r="E102" s="12">
        <v>14155.425600007415</v>
      </c>
      <c r="F102" s="12">
        <v>14155.425600007415</v>
      </c>
      <c r="G102" s="12">
        <v>7976.6311100022194</v>
      </c>
      <c r="H102" s="12">
        <v>7976.6311100022194</v>
      </c>
      <c r="I102" s="12">
        <v>7976.6311100022194</v>
      </c>
      <c r="J102" s="12">
        <v>7976.6311100022194</v>
      </c>
      <c r="K102" s="12">
        <v>3865.5688600117564</v>
      </c>
      <c r="L102" s="12">
        <v>3865.5688600117564</v>
      </c>
      <c r="M102" s="12">
        <v>5532.6434999999701</v>
      </c>
      <c r="N102" s="12">
        <v>1773.2363299999981</v>
      </c>
      <c r="O102" s="12">
        <v>1773.2363299999981</v>
      </c>
      <c r="P102" s="12">
        <v>1773.2363299999981</v>
      </c>
      <c r="Q102" s="12">
        <v>1877.2533700000047</v>
      </c>
      <c r="R102" s="12">
        <v>1877.2533700000047</v>
      </c>
      <c r="S102" s="12">
        <v>1877.2533700000047</v>
      </c>
      <c r="T102" s="12">
        <v>897.11634000000356</v>
      </c>
      <c r="U102" s="12">
        <v>897.11634000000356</v>
      </c>
      <c r="V102" s="12">
        <v>897.11634000000356</v>
      </c>
      <c r="W102" s="12">
        <v>897.11634000000356</v>
      </c>
      <c r="X102" t="s">
        <v>3</v>
      </c>
      <c r="Y102" t="s">
        <v>24</v>
      </c>
      <c r="AA102" s="12"/>
      <c r="AB102" s="12"/>
      <c r="AC102" s="276"/>
    </row>
    <row r="103" spans="1:29">
      <c r="A103" s="14" t="s">
        <v>49</v>
      </c>
      <c r="B103" s="12" t="s">
        <v>636</v>
      </c>
      <c r="C103" s="12">
        <v>14.466140000000014</v>
      </c>
      <c r="D103" s="12">
        <v>14.466140000000014</v>
      </c>
      <c r="E103" s="12">
        <v>14.466140000000014</v>
      </c>
      <c r="F103" s="12">
        <v>14.466140000000014</v>
      </c>
      <c r="G103" s="12">
        <v>5.1695499999999885</v>
      </c>
      <c r="H103" s="12">
        <v>5.1695499999999885</v>
      </c>
      <c r="I103" s="12">
        <v>5.1695499999999885</v>
      </c>
      <c r="J103" s="12">
        <v>5.1695499999999885</v>
      </c>
      <c r="K103" s="12">
        <v>5.3989899999999329</v>
      </c>
      <c r="L103" s="12">
        <v>5.3989899999999329</v>
      </c>
      <c r="M103" s="12">
        <v>22.662190000000002</v>
      </c>
      <c r="N103" s="12">
        <v>9.902400000000009</v>
      </c>
      <c r="O103" s="12">
        <v>9.902400000000009</v>
      </c>
      <c r="P103" s="12">
        <v>9.902400000000009</v>
      </c>
      <c r="Q103" s="12">
        <v>6.0792299999999964</v>
      </c>
      <c r="R103" s="12">
        <v>6.0792299999999964</v>
      </c>
      <c r="S103" s="12">
        <v>6.0792299999999964</v>
      </c>
      <c r="T103" s="12">
        <v>4.1390800000000016</v>
      </c>
      <c r="U103" s="12">
        <v>4.1390800000000016</v>
      </c>
      <c r="V103" s="12">
        <v>4.1390800000000016</v>
      </c>
      <c r="W103" s="12">
        <v>4.1390800000000016</v>
      </c>
      <c r="X103" t="s">
        <v>3</v>
      </c>
      <c r="Y103" t="s">
        <v>24</v>
      </c>
      <c r="AA103" s="12"/>
      <c r="AB103" s="12"/>
      <c r="AC103" s="276"/>
    </row>
    <row r="104" spans="1:29">
      <c r="A104" s="14" t="s">
        <v>54</v>
      </c>
      <c r="B104" s="12" t="s">
        <v>440</v>
      </c>
      <c r="C104" s="12">
        <v>-2901.6067196047434</v>
      </c>
      <c r="D104" s="12">
        <v>-2901.6067196047434</v>
      </c>
      <c r="E104" s="12">
        <v>-2901.6067196047434</v>
      </c>
      <c r="F104" s="12">
        <v>-2901.6067196047434</v>
      </c>
      <c r="G104" s="12">
        <v>-2901.6067196047434</v>
      </c>
      <c r="H104" s="12">
        <v>-1656.5705868665918</v>
      </c>
      <c r="I104" s="12">
        <v>-1656.5705868665918</v>
      </c>
      <c r="J104" s="12">
        <v>-1656.5705868665918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t="s">
        <v>98</v>
      </c>
      <c r="Y104" t="s">
        <v>24</v>
      </c>
      <c r="AA104" s="12"/>
      <c r="AB104" s="12"/>
      <c r="AC104" s="276"/>
    </row>
    <row r="105" spans="1:29">
      <c r="A105" s="14" t="s">
        <v>55</v>
      </c>
      <c r="B105" s="12" t="s">
        <v>612</v>
      </c>
      <c r="C105" s="12">
        <v>-87310.418381812095</v>
      </c>
      <c r="D105" s="12">
        <v>-87310.418381812095</v>
      </c>
      <c r="E105" s="12">
        <v>-87310.418381812095</v>
      </c>
      <c r="F105" s="12">
        <v>-87310.418381812095</v>
      </c>
      <c r="G105" s="12">
        <v>-87310.418381812095</v>
      </c>
      <c r="H105" s="12">
        <v>-93536.339217096684</v>
      </c>
      <c r="I105" s="12">
        <v>-93536.339217096684</v>
      </c>
      <c r="J105" s="12">
        <v>-93536.339217096684</v>
      </c>
      <c r="K105" s="12">
        <v>-190908.3696552389</v>
      </c>
      <c r="L105" s="12">
        <v>-190908.3696552389</v>
      </c>
      <c r="M105" s="12">
        <v>-182489.27020956861</v>
      </c>
      <c r="N105" s="12">
        <v>-232593.89170328664</v>
      </c>
      <c r="O105" s="12">
        <v>-232593.89170328664</v>
      </c>
      <c r="P105" s="12">
        <v>-232593.89170328664</v>
      </c>
      <c r="Q105" s="12">
        <v>-246532.22998150348</v>
      </c>
      <c r="R105" s="12">
        <v>-246532.22998150348</v>
      </c>
      <c r="S105" s="12">
        <v>-246532.22998150348</v>
      </c>
      <c r="T105" s="12">
        <v>-149108.549279297</v>
      </c>
      <c r="U105" s="12">
        <v>-149108.549279297</v>
      </c>
      <c r="V105" s="12">
        <v>-149108.549279297</v>
      </c>
      <c r="W105" s="12">
        <v>-149108.549279297</v>
      </c>
      <c r="X105" t="s">
        <v>98</v>
      </c>
      <c r="Y105" t="s">
        <v>24</v>
      </c>
      <c r="AA105" s="12"/>
      <c r="AB105" s="12"/>
      <c r="AC105" s="276"/>
    </row>
    <row r="106" spans="1:29">
      <c r="A106" t="s">
        <v>265</v>
      </c>
      <c r="B106" s="12" t="s">
        <v>630</v>
      </c>
      <c r="C106" s="12">
        <v>115112.231</v>
      </c>
      <c r="D106" s="12">
        <v>115112.231</v>
      </c>
      <c r="E106" s="12">
        <v>115112.231</v>
      </c>
      <c r="F106" s="12">
        <v>115112.231</v>
      </c>
      <c r="G106" s="12">
        <v>128081.288</v>
      </c>
      <c r="H106" s="12">
        <v>128081.288</v>
      </c>
      <c r="I106" s="12">
        <v>128081.288</v>
      </c>
      <c r="J106" s="12">
        <v>128081.288</v>
      </c>
      <c r="K106" s="12">
        <v>144870.24400000001</v>
      </c>
      <c r="L106" s="12">
        <v>144870.24400000001</v>
      </c>
      <c r="M106" s="12">
        <v>186051.41</v>
      </c>
      <c r="N106" s="12">
        <v>220326.85200000001</v>
      </c>
      <c r="O106" s="12">
        <v>220326.85200000001</v>
      </c>
      <c r="P106" s="12">
        <v>220326.85200000001</v>
      </c>
      <c r="Q106" s="12">
        <v>210348.519</v>
      </c>
      <c r="R106" s="12">
        <v>210348.519</v>
      </c>
      <c r="S106" s="12">
        <v>210348.519</v>
      </c>
      <c r="T106" s="12">
        <v>193071.75790999999</v>
      </c>
      <c r="U106" s="12">
        <v>193071.75790999999</v>
      </c>
      <c r="V106" s="12">
        <v>193071.75790999999</v>
      </c>
      <c r="W106" s="12">
        <v>193071.75790999999</v>
      </c>
      <c r="X106" t="s">
        <v>99</v>
      </c>
      <c r="Y106" t="s">
        <v>24</v>
      </c>
      <c r="AA106" s="12"/>
      <c r="AB106" s="12"/>
      <c r="AC106" s="276"/>
    </row>
    <row r="107" spans="1:29">
      <c r="A107" t="s">
        <v>61</v>
      </c>
      <c r="B107" s="12" t="s">
        <v>637</v>
      </c>
      <c r="C107" s="12">
        <v>15145.043</v>
      </c>
      <c r="D107" s="12">
        <v>15145.043</v>
      </c>
      <c r="E107" s="12">
        <v>15145.043</v>
      </c>
      <c r="F107" s="12">
        <v>15145.043</v>
      </c>
      <c r="G107" s="12">
        <v>0</v>
      </c>
      <c r="H107" s="12">
        <v>0</v>
      </c>
      <c r="I107" s="12">
        <v>0</v>
      </c>
      <c r="J107" s="12">
        <v>0</v>
      </c>
      <c r="K107" s="12">
        <v>4191.1350000000002</v>
      </c>
      <c r="L107" s="12">
        <v>4191.1350000000002</v>
      </c>
      <c r="M107" s="12">
        <v>14728.338</v>
      </c>
      <c r="N107" s="12">
        <v>16389.363000000001</v>
      </c>
      <c r="O107" s="12">
        <v>16389.363000000001</v>
      </c>
      <c r="P107" s="12">
        <v>16389.363000000001</v>
      </c>
      <c r="Q107" s="12">
        <v>17427.594000000001</v>
      </c>
      <c r="R107" s="12">
        <v>17427.594000000001</v>
      </c>
      <c r="S107" s="12">
        <v>17427.594000000001</v>
      </c>
      <c r="T107" s="12">
        <v>18190.332999999999</v>
      </c>
      <c r="U107" s="12">
        <v>18190.332999999999</v>
      </c>
      <c r="V107" s="12">
        <v>18190.332999999999</v>
      </c>
      <c r="W107" s="12">
        <v>18190.332999999999</v>
      </c>
      <c r="X107" t="s">
        <v>99</v>
      </c>
      <c r="Y107" t="s">
        <v>24</v>
      </c>
      <c r="AA107" s="12"/>
      <c r="AB107" s="12"/>
      <c r="AC107" s="276"/>
    </row>
    <row r="108" spans="1:29">
      <c r="A108" t="s">
        <v>410</v>
      </c>
      <c r="B108" s="12" t="s">
        <v>637</v>
      </c>
      <c r="C108" s="12">
        <v>84166.665600000008</v>
      </c>
      <c r="D108" s="12">
        <v>84166.665600000008</v>
      </c>
      <c r="E108" s="12">
        <v>84166.665600000008</v>
      </c>
      <c r="F108" s="12">
        <v>84166.665600000008</v>
      </c>
      <c r="G108" s="12">
        <v>77750.887799999997</v>
      </c>
      <c r="H108" s="12">
        <v>77750.887799999997</v>
      </c>
      <c r="I108" s="12">
        <v>77750.887799999997</v>
      </c>
      <c r="J108" s="12">
        <v>77750.887799999997</v>
      </c>
      <c r="K108" s="12">
        <v>80275.317999999999</v>
      </c>
      <c r="L108" s="12">
        <v>80275.317999999999</v>
      </c>
      <c r="M108" s="12">
        <v>117574.094</v>
      </c>
      <c r="N108" s="12">
        <v>56297.355000000003</v>
      </c>
      <c r="O108" s="12">
        <v>56297.355000000003</v>
      </c>
      <c r="P108" s="12">
        <v>56297.355000000003</v>
      </c>
      <c r="Q108" s="12">
        <v>48660.707999999999</v>
      </c>
      <c r="R108" s="12">
        <v>48660.707999999999</v>
      </c>
      <c r="S108" s="12">
        <v>48660.707999999999</v>
      </c>
      <c r="T108" s="12">
        <v>47815.004000000001</v>
      </c>
      <c r="U108" s="12">
        <v>47815.004000000001</v>
      </c>
      <c r="V108" s="12">
        <v>47815.004000000001</v>
      </c>
      <c r="W108" s="12">
        <v>47815.004000000001</v>
      </c>
      <c r="X108" t="s">
        <v>99</v>
      </c>
      <c r="Y108" t="s">
        <v>24</v>
      </c>
      <c r="AA108" s="12"/>
      <c r="AB108" s="12"/>
      <c r="AC108" s="276"/>
    </row>
    <row r="109" spans="1:29">
      <c r="A109" t="s">
        <v>62</v>
      </c>
      <c r="B109" s="12" t="s">
        <v>637</v>
      </c>
      <c r="C109" s="12">
        <v>16280</v>
      </c>
      <c r="D109" s="12">
        <v>16280</v>
      </c>
      <c r="E109" s="12">
        <v>16280</v>
      </c>
      <c r="F109" s="12">
        <v>16280</v>
      </c>
      <c r="G109" s="12">
        <v>13024</v>
      </c>
      <c r="H109" s="12">
        <v>13024</v>
      </c>
      <c r="I109" s="12">
        <v>13024</v>
      </c>
      <c r="J109" s="12">
        <v>13024</v>
      </c>
      <c r="K109" s="12">
        <v>19157.599999999995</v>
      </c>
      <c r="L109" s="12">
        <v>19157.599999999995</v>
      </c>
      <c r="M109" s="12">
        <v>16279.999999999998</v>
      </c>
      <c r="N109" s="12">
        <v>16279.999999999998</v>
      </c>
      <c r="O109" s="12">
        <v>16279.999999999998</v>
      </c>
      <c r="P109" s="12">
        <v>16279.999999999998</v>
      </c>
      <c r="Q109" s="12">
        <v>16279.999999999998</v>
      </c>
      <c r="R109" s="12">
        <v>16279.999999999998</v>
      </c>
      <c r="S109" s="12">
        <v>16279.999999999998</v>
      </c>
      <c r="T109" s="12">
        <v>13024</v>
      </c>
      <c r="U109" s="12">
        <v>13024</v>
      </c>
      <c r="V109" s="12">
        <v>13024</v>
      </c>
      <c r="W109" s="12">
        <v>13024</v>
      </c>
      <c r="X109" t="s">
        <v>99</v>
      </c>
      <c r="Y109" t="s">
        <v>24</v>
      </c>
      <c r="AA109" s="12"/>
      <c r="AB109" s="12"/>
      <c r="AC109" s="276"/>
    </row>
    <row r="110" spans="1:29">
      <c r="A110" t="s">
        <v>63</v>
      </c>
      <c r="B110" s="12" t="s">
        <v>630</v>
      </c>
      <c r="C110" s="12">
        <v>2601.8919999999998</v>
      </c>
      <c r="D110" s="12">
        <v>2601.8919999999998</v>
      </c>
      <c r="E110" s="12">
        <v>2601.8919999999998</v>
      </c>
      <c r="F110" s="12">
        <v>2601.8919999999998</v>
      </c>
      <c r="G110" s="12">
        <v>3458</v>
      </c>
      <c r="H110" s="12">
        <v>3458</v>
      </c>
      <c r="I110" s="12">
        <v>3458</v>
      </c>
      <c r="J110" s="12">
        <v>3458</v>
      </c>
      <c r="K110" s="12">
        <v>4414.4930000000004</v>
      </c>
      <c r="L110" s="12">
        <v>4414.4930000000004</v>
      </c>
      <c r="M110" s="12">
        <v>4783.058</v>
      </c>
      <c r="N110" s="12">
        <v>5102.9219999999996</v>
      </c>
      <c r="O110" s="12">
        <v>5102.9219999999996</v>
      </c>
      <c r="P110" s="12">
        <v>5102.9219999999996</v>
      </c>
      <c r="Q110" s="12">
        <v>4267.1790000000001</v>
      </c>
      <c r="R110" s="12">
        <v>4267.1790000000001</v>
      </c>
      <c r="S110" s="12">
        <v>4267.1790000000001</v>
      </c>
      <c r="T110" s="12">
        <v>5723.9434700000002</v>
      </c>
      <c r="U110" s="12">
        <v>5723.9434700000002</v>
      </c>
      <c r="V110" s="12">
        <v>5723.9434700000002</v>
      </c>
      <c r="W110" s="12">
        <v>5723.9434700000002</v>
      </c>
      <c r="X110" t="s">
        <v>99</v>
      </c>
      <c r="Y110" t="s">
        <v>24</v>
      </c>
      <c r="AA110" s="12"/>
      <c r="AB110" s="12"/>
      <c r="AC110" s="276"/>
    </row>
    <row r="111" spans="1:29">
      <c r="A111" t="s">
        <v>64</v>
      </c>
      <c r="B111" s="12" t="s">
        <v>440</v>
      </c>
      <c r="C111" s="12">
        <v>0</v>
      </c>
      <c r="D111" s="12">
        <v>26759.200000000001</v>
      </c>
      <c r="E111" s="12">
        <v>26759.200000000001</v>
      </c>
      <c r="F111" s="12">
        <v>26759.200000000001</v>
      </c>
      <c r="G111" s="12">
        <v>20069.400000000001</v>
      </c>
      <c r="H111" s="12">
        <v>20069.400000000001</v>
      </c>
      <c r="I111" s="12">
        <v>20069.400000000001</v>
      </c>
      <c r="J111" s="12">
        <v>20069.400000000001</v>
      </c>
      <c r="K111" s="12">
        <v>20069.400000000001</v>
      </c>
      <c r="L111" s="12">
        <v>20069.400000000001</v>
      </c>
      <c r="M111" s="12">
        <v>20069.400000000001</v>
      </c>
      <c r="N111" s="12">
        <v>22022.400000000001</v>
      </c>
      <c r="O111" s="12">
        <v>22022.400000000001</v>
      </c>
      <c r="P111" s="12">
        <v>22022.400000000001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t="s">
        <v>99</v>
      </c>
      <c r="Y111" t="s">
        <v>24</v>
      </c>
      <c r="AA111" s="12"/>
      <c r="AB111" s="12"/>
      <c r="AC111" s="276"/>
    </row>
    <row r="112" spans="1:29">
      <c r="A112" t="s">
        <v>65</v>
      </c>
      <c r="B112" s="12" t="s">
        <v>637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t="s">
        <v>99</v>
      </c>
      <c r="Y112" t="s">
        <v>24</v>
      </c>
      <c r="AA112" s="12"/>
      <c r="AB112" s="12"/>
      <c r="AC112" s="276"/>
    </row>
    <row r="113" spans="1:29">
      <c r="A113" t="s">
        <v>66</v>
      </c>
      <c r="B113" s="12" t="s">
        <v>637</v>
      </c>
      <c r="C113" s="12">
        <v>32.645000000000003</v>
      </c>
      <c r="D113" s="12">
        <v>32.645000000000003</v>
      </c>
      <c r="E113" s="12">
        <v>32.645000000000003</v>
      </c>
      <c r="F113" s="12">
        <v>32.645000000000003</v>
      </c>
      <c r="G113" s="12">
        <v>31</v>
      </c>
      <c r="H113" s="12">
        <v>31</v>
      </c>
      <c r="I113" s="12">
        <v>31</v>
      </c>
      <c r="J113" s="12">
        <v>31</v>
      </c>
      <c r="K113" s="12">
        <v>41.46</v>
      </c>
      <c r="L113" s="12">
        <v>41.46</v>
      </c>
      <c r="M113" s="12">
        <v>35.700000000000003</v>
      </c>
      <c r="N113" s="12">
        <v>32</v>
      </c>
      <c r="O113" s="12">
        <v>32</v>
      </c>
      <c r="P113" s="12">
        <v>32</v>
      </c>
      <c r="Q113" s="12">
        <v>32</v>
      </c>
      <c r="R113" s="12">
        <v>32</v>
      </c>
      <c r="S113" s="12">
        <v>32</v>
      </c>
      <c r="T113" s="12">
        <v>32</v>
      </c>
      <c r="U113" s="12">
        <v>32</v>
      </c>
      <c r="V113" s="12">
        <v>32</v>
      </c>
      <c r="W113" s="12">
        <v>32</v>
      </c>
      <c r="X113" t="s">
        <v>99</v>
      </c>
      <c r="Y113" t="s">
        <v>24</v>
      </c>
      <c r="AA113" s="12"/>
      <c r="AB113" s="12"/>
      <c r="AC113" s="276"/>
    </row>
    <row r="114" spans="1:29">
      <c r="A114" t="s">
        <v>236</v>
      </c>
      <c r="B114" s="12" t="s">
        <v>637</v>
      </c>
      <c r="C114" s="12">
        <v>0</v>
      </c>
      <c r="D114" s="12">
        <v>0</v>
      </c>
      <c r="E114" s="12">
        <v>0</v>
      </c>
      <c r="F114" s="12">
        <v>0</v>
      </c>
      <c r="G114" s="12">
        <v>2079</v>
      </c>
      <c r="H114" s="12">
        <v>2079</v>
      </c>
      <c r="I114" s="12">
        <v>2079</v>
      </c>
      <c r="J114" s="12">
        <v>2079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t="s">
        <v>99</v>
      </c>
      <c r="Y114" t="s">
        <v>24</v>
      </c>
      <c r="AA114" s="12"/>
      <c r="AB114" s="12"/>
      <c r="AC114" s="276"/>
    </row>
    <row r="115" spans="1:29">
      <c r="A115" t="s">
        <v>237</v>
      </c>
      <c r="B115" s="12" t="s">
        <v>637</v>
      </c>
      <c r="C115" s="12">
        <v>0</v>
      </c>
      <c r="D115" s="12">
        <v>0</v>
      </c>
      <c r="E115" s="12">
        <v>0</v>
      </c>
      <c r="F115" s="12">
        <v>0</v>
      </c>
      <c r="G115" s="12">
        <v>1464</v>
      </c>
      <c r="H115" s="12">
        <v>1464</v>
      </c>
      <c r="I115" s="12">
        <v>1464</v>
      </c>
      <c r="J115" s="12">
        <v>1464</v>
      </c>
      <c r="K115" s="12">
        <v>1100</v>
      </c>
      <c r="L115" s="12">
        <v>1100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t="s">
        <v>99</v>
      </c>
      <c r="Y115" t="s">
        <v>24</v>
      </c>
      <c r="AA115" s="12"/>
      <c r="AB115" s="12"/>
      <c r="AC115" s="276"/>
    </row>
    <row r="116" spans="1:29">
      <c r="A116" t="s">
        <v>302</v>
      </c>
      <c r="B116" s="12" t="s">
        <v>637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40867.582000000002</v>
      </c>
      <c r="K116" s="12">
        <v>62899.071711428565</v>
      </c>
      <c r="L116" s="12">
        <v>62899.071711428565</v>
      </c>
      <c r="M116" s="12">
        <v>18884.133900000001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t="s">
        <v>99</v>
      </c>
      <c r="Y116" t="s">
        <v>24</v>
      </c>
      <c r="AA116" s="12"/>
      <c r="AB116" s="12"/>
      <c r="AC116" s="276"/>
    </row>
    <row r="117" spans="1:29">
      <c r="A117" t="s">
        <v>308</v>
      </c>
      <c r="B117" s="12" t="s">
        <v>637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t="s">
        <v>99</v>
      </c>
      <c r="Y117" t="s">
        <v>24</v>
      </c>
      <c r="AA117" s="12"/>
      <c r="AB117" s="12"/>
      <c r="AC117" s="276"/>
    </row>
    <row r="118" spans="1:29">
      <c r="A118" t="s">
        <v>309</v>
      </c>
      <c r="B118" s="12" t="s">
        <v>637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2400</v>
      </c>
      <c r="L118" s="12">
        <v>2400</v>
      </c>
      <c r="M118" s="12">
        <v>3200</v>
      </c>
      <c r="N118" s="12">
        <v>0</v>
      </c>
      <c r="O118" s="12">
        <v>0</v>
      </c>
      <c r="P118" s="12">
        <v>0</v>
      </c>
      <c r="Q118" s="12">
        <v>4400</v>
      </c>
      <c r="R118" s="12">
        <v>4400</v>
      </c>
      <c r="S118" s="12">
        <v>4400</v>
      </c>
      <c r="T118" s="12">
        <v>0</v>
      </c>
      <c r="U118" s="12">
        <v>0</v>
      </c>
      <c r="V118" s="12">
        <v>0</v>
      </c>
      <c r="W118" s="12">
        <v>0</v>
      </c>
      <c r="X118" t="s">
        <v>99</v>
      </c>
      <c r="Y118" t="s">
        <v>24</v>
      </c>
      <c r="AA118" s="12"/>
      <c r="AB118" s="12"/>
      <c r="AC118" s="276"/>
    </row>
    <row r="119" spans="1:29">
      <c r="A119" t="s">
        <v>310</v>
      </c>
      <c r="B119" s="12" t="s">
        <v>637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237.21700000000001</v>
      </c>
      <c r="L119" s="12">
        <v>237.21700000000001</v>
      </c>
      <c r="M119" s="12">
        <v>192</v>
      </c>
      <c r="N119" s="12">
        <v>503</v>
      </c>
      <c r="O119" s="12">
        <v>503</v>
      </c>
      <c r="P119" s="12">
        <v>503</v>
      </c>
      <c r="Q119" s="12">
        <v>553.29999999999995</v>
      </c>
      <c r="R119" s="12">
        <v>553.29999999999995</v>
      </c>
      <c r="S119" s="12">
        <v>553.29999999999995</v>
      </c>
      <c r="T119" s="12">
        <v>610</v>
      </c>
      <c r="U119" s="12">
        <v>610</v>
      </c>
      <c r="V119" s="12">
        <v>610</v>
      </c>
      <c r="W119" s="12">
        <v>610</v>
      </c>
      <c r="X119" t="s">
        <v>99</v>
      </c>
      <c r="Y119" t="s">
        <v>24</v>
      </c>
      <c r="AA119" s="12"/>
      <c r="AB119" s="12"/>
      <c r="AC119" s="276"/>
    </row>
    <row r="120" spans="1:29">
      <c r="A120" t="s">
        <v>303</v>
      </c>
      <c r="B120" s="12" t="s">
        <v>637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5987.7629999999999</v>
      </c>
      <c r="L120" s="12">
        <v>5987.7629999999999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t="s">
        <v>99</v>
      </c>
      <c r="Y120" t="s">
        <v>24</v>
      </c>
      <c r="AA120" s="12"/>
      <c r="AB120" s="12"/>
      <c r="AC120" s="276"/>
    </row>
    <row r="121" spans="1:29">
      <c r="A121" t="s">
        <v>345</v>
      </c>
      <c r="B121" s="12" t="s">
        <v>475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300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t="s">
        <v>99</v>
      </c>
      <c r="Y121" t="s">
        <v>26</v>
      </c>
      <c r="AA121" s="12"/>
      <c r="AB121" s="12"/>
      <c r="AC121" s="276"/>
    </row>
    <row r="122" spans="1:29">
      <c r="A122" t="s">
        <v>238</v>
      </c>
      <c r="B122" s="12" t="s">
        <v>637</v>
      </c>
      <c r="C122" s="12">
        <v>0</v>
      </c>
      <c r="D122" s="12">
        <v>0</v>
      </c>
      <c r="E122" s="12">
        <v>0</v>
      </c>
      <c r="F122" s="12">
        <v>0</v>
      </c>
      <c r="G122" s="12">
        <v>286.30700000000002</v>
      </c>
      <c r="H122" s="12">
        <v>286.30700000000002</v>
      </c>
      <c r="I122" s="12">
        <v>286.30700000000002</v>
      </c>
      <c r="J122" s="12">
        <v>286.30700000000002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t="s">
        <v>99</v>
      </c>
      <c r="Y122" t="s">
        <v>24</v>
      </c>
      <c r="AA122" s="12"/>
      <c r="AB122" s="12"/>
      <c r="AC122" s="276"/>
    </row>
    <row r="123" spans="1:29">
      <c r="A123" t="s">
        <v>201</v>
      </c>
      <c r="B123" s="12" t="s">
        <v>638</v>
      </c>
      <c r="C123" s="786"/>
      <c r="D123" s="786"/>
      <c r="E123" s="786"/>
      <c r="F123" s="786"/>
      <c r="G123" s="786"/>
      <c r="H123" s="786"/>
      <c r="I123" s="786"/>
      <c r="J123" s="786"/>
      <c r="K123" s="786"/>
      <c r="L123" s="786"/>
      <c r="M123" s="786"/>
      <c r="N123" s="786"/>
      <c r="O123" s="786"/>
      <c r="P123" s="786"/>
      <c r="Q123" s="786"/>
      <c r="R123" s="786"/>
      <c r="S123" s="786"/>
      <c r="T123" s="786"/>
      <c r="U123" s="786"/>
      <c r="V123" s="786"/>
      <c r="W123" s="786"/>
      <c r="X123" t="s">
        <v>99</v>
      </c>
      <c r="Y123" t="s">
        <v>24</v>
      </c>
      <c r="AA123" s="12"/>
      <c r="AB123" s="12"/>
      <c r="AC123" s="276"/>
    </row>
    <row r="124" spans="1:29">
      <c r="A124" t="s">
        <v>67</v>
      </c>
      <c r="B124" s="12" t="s">
        <v>475</v>
      </c>
      <c r="C124" s="12">
        <v>9000</v>
      </c>
      <c r="D124" s="12">
        <v>9000</v>
      </c>
      <c r="E124" s="12">
        <v>9000</v>
      </c>
      <c r="F124" s="12">
        <v>9000</v>
      </c>
      <c r="G124" s="12">
        <v>2000</v>
      </c>
      <c r="H124" s="12">
        <v>2000</v>
      </c>
      <c r="I124" s="12">
        <v>2000</v>
      </c>
      <c r="J124" s="12">
        <v>2000</v>
      </c>
      <c r="K124" s="12">
        <v>34000</v>
      </c>
      <c r="L124" s="12">
        <v>34000</v>
      </c>
      <c r="M124" s="12">
        <v>79000</v>
      </c>
      <c r="N124" s="12">
        <v>39000</v>
      </c>
      <c r="O124" s="12">
        <v>39000</v>
      </c>
      <c r="P124" s="12">
        <v>39000</v>
      </c>
      <c r="Q124" s="12">
        <v>-14000</v>
      </c>
      <c r="R124" s="12">
        <v>-14000</v>
      </c>
      <c r="S124" s="12">
        <v>-14000</v>
      </c>
      <c r="T124" s="12">
        <v>-38186.000090000001</v>
      </c>
      <c r="U124" s="12">
        <v>-38186.000090000001</v>
      </c>
      <c r="V124" s="12">
        <v>-38186.000090000001</v>
      </c>
      <c r="W124" s="12">
        <v>-38186.000090000001</v>
      </c>
      <c r="X124" t="s">
        <v>99</v>
      </c>
      <c r="Y124" t="s">
        <v>26</v>
      </c>
      <c r="AA124" s="12"/>
      <c r="AB124" s="12"/>
      <c r="AC124" s="276"/>
    </row>
    <row r="125" spans="1:29">
      <c r="A125" t="s">
        <v>68</v>
      </c>
      <c r="B125" s="12" t="s">
        <v>475</v>
      </c>
      <c r="C125" s="12">
        <v>-2000</v>
      </c>
      <c r="D125" s="12">
        <v>-2000</v>
      </c>
      <c r="E125" s="12">
        <v>-2000</v>
      </c>
      <c r="F125" s="12">
        <v>-2000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-8500</v>
      </c>
      <c r="O125" s="12">
        <v>-8500</v>
      </c>
      <c r="P125" s="12">
        <v>-8500</v>
      </c>
      <c r="Q125" s="12">
        <v>-1000</v>
      </c>
      <c r="R125" s="12">
        <v>-1000</v>
      </c>
      <c r="S125" s="12">
        <v>-1000</v>
      </c>
      <c r="T125" s="12">
        <v>-3200</v>
      </c>
      <c r="U125" s="12">
        <v>-3200</v>
      </c>
      <c r="V125" s="12">
        <v>-3200</v>
      </c>
      <c r="W125" s="12">
        <v>-3200</v>
      </c>
      <c r="X125" t="s">
        <v>99</v>
      </c>
      <c r="Y125" t="s">
        <v>26</v>
      </c>
      <c r="AA125" s="12"/>
      <c r="AB125" s="12"/>
      <c r="AC125" s="276"/>
    </row>
    <row r="126" spans="1:29">
      <c r="A126" t="s">
        <v>69</v>
      </c>
      <c r="B126" s="12" t="s">
        <v>475</v>
      </c>
      <c r="C126" s="12">
        <v>-13000</v>
      </c>
      <c r="D126" s="12">
        <v>-13000</v>
      </c>
      <c r="E126" s="12">
        <v>-13000</v>
      </c>
      <c r="F126" s="12">
        <v>-13000</v>
      </c>
      <c r="G126" s="12">
        <v>-33500</v>
      </c>
      <c r="H126" s="12">
        <v>-33500</v>
      </c>
      <c r="I126" s="12">
        <v>-33500</v>
      </c>
      <c r="J126" s="12">
        <v>-33500</v>
      </c>
      <c r="K126" s="12">
        <v>-45440</v>
      </c>
      <c r="L126" s="12">
        <v>-45440</v>
      </c>
      <c r="M126" s="12">
        <v>0</v>
      </c>
      <c r="N126" s="12">
        <v>-31000</v>
      </c>
      <c r="O126" s="12">
        <v>-31000</v>
      </c>
      <c r="P126" s="12">
        <v>-31000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t="s">
        <v>99</v>
      </c>
      <c r="Y126" t="s">
        <v>26</v>
      </c>
      <c r="AA126" s="12"/>
      <c r="AB126" s="12"/>
      <c r="AC126" s="276"/>
    </row>
    <row r="127" spans="1:29">
      <c r="A127" t="s">
        <v>70</v>
      </c>
      <c r="B127" s="12" t="s">
        <v>475</v>
      </c>
      <c r="C127" s="12">
        <v>0</v>
      </c>
      <c r="D127" s="12">
        <v>0</v>
      </c>
      <c r="E127" s="12">
        <v>0</v>
      </c>
      <c r="F127" s="12">
        <v>0</v>
      </c>
      <c r="G127" s="12">
        <v>-928.26216999999997</v>
      </c>
      <c r="H127" s="12">
        <v>-928.26216999999997</v>
      </c>
      <c r="I127" s="12">
        <v>-928.26216999999997</v>
      </c>
      <c r="J127" s="12">
        <v>-928.26216999999997</v>
      </c>
      <c r="K127" s="12">
        <v>-10396.87976</v>
      </c>
      <c r="L127" s="12">
        <v>-10396.87976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t="s">
        <v>99</v>
      </c>
      <c r="Y127" t="s">
        <v>26</v>
      </c>
      <c r="AA127" s="12"/>
      <c r="AB127" s="12"/>
      <c r="AC127" s="276"/>
    </row>
    <row r="128" spans="1:29">
      <c r="A128" t="s">
        <v>71</v>
      </c>
      <c r="B128" s="12" t="s">
        <v>475</v>
      </c>
      <c r="C128" s="12">
        <v>221</v>
      </c>
      <c r="D128" s="12">
        <v>221</v>
      </c>
      <c r="E128" s="12">
        <v>221</v>
      </c>
      <c r="F128" s="12">
        <v>221</v>
      </c>
      <c r="G128" s="12">
        <v>1203</v>
      </c>
      <c r="H128" s="12">
        <v>1203</v>
      </c>
      <c r="I128" s="12">
        <v>1203</v>
      </c>
      <c r="J128" s="12">
        <v>1203</v>
      </c>
      <c r="K128" s="12">
        <v>514.08761000000038</v>
      </c>
      <c r="L128" s="12">
        <v>514.08761000000038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t="s">
        <v>99</v>
      </c>
      <c r="Y128" t="s">
        <v>26</v>
      </c>
      <c r="AA128" s="12"/>
      <c r="AB128" s="12"/>
      <c r="AC128" s="276"/>
    </row>
    <row r="129" spans="1:29">
      <c r="A129" t="s">
        <v>72</v>
      </c>
      <c r="B129" s="12" t="s">
        <v>475</v>
      </c>
      <c r="C129" s="12">
        <v>223</v>
      </c>
      <c r="D129" s="12">
        <v>223</v>
      </c>
      <c r="E129" s="12">
        <v>223</v>
      </c>
      <c r="F129" s="12">
        <v>223</v>
      </c>
      <c r="G129" s="12">
        <v>671</v>
      </c>
      <c r="H129" s="12">
        <v>671</v>
      </c>
      <c r="I129" s="12">
        <v>671</v>
      </c>
      <c r="J129" s="12">
        <v>671</v>
      </c>
      <c r="K129" s="12">
        <v>1300</v>
      </c>
      <c r="L129" s="12">
        <v>1300</v>
      </c>
      <c r="M129" s="12">
        <v>1000</v>
      </c>
      <c r="N129" s="12">
        <v>0</v>
      </c>
      <c r="O129" s="12">
        <v>0</v>
      </c>
      <c r="P129" s="12">
        <v>0</v>
      </c>
      <c r="Q129" s="12">
        <v>-800</v>
      </c>
      <c r="R129" s="12">
        <v>-800</v>
      </c>
      <c r="S129" s="12">
        <v>-800</v>
      </c>
      <c r="T129" s="12">
        <v>1383.57547</v>
      </c>
      <c r="U129" s="12">
        <v>1383.57547</v>
      </c>
      <c r="V129" s="12">
        <v>1383.57547</v>
      </c>
      <c r="W129" s="12">
        <v>1383.57547</v>
      </c>
      <c r="X129" t="s">
        <v>99</v>
      </c>
      <c r="Y129" t="s">
        <v>26</v>
      </c>
      <c r="AA129" s="12"/>
      <c r="AB129" s="12"/>
      <c r="AC129" s="276"/>
    </row>
    <row r="130" spans="1:29">
      <c r="A130" t="s">
        <v>73</v>
      </c>
      <c r="B130" s="12" t="s">
        <v>475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30.905999999999999</v>
      </c>
      <c r="L130" s="12">
        <v>30.905999999999999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t="s">
        <v>99</v>
      </c>
      <c r="Y130" t="s">
        <v>26</v>
      </c>
      <c r="AA130" s="12"/>
      <c r="AB130" s="12"/>
      <c r="AC130" s="276"/>
    </row>
    <row r="131" spans="1:29">
      <c r="A131" t="s">
        <v>74</v>
      </c>
      <c r="B131" s="12" t="s">
        <v>440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t="s">
        <v>99</v>
      </c>
      <c r="Y131" t="s">
        <v>26</v>
      </c>
      <c r="AA131" s="12"/>
      <c r="AB131" s="12"/>
      <c r="AC131" s="276"/>
    </row>
    <row r="132" spans="1:29">
      <c r="A132" t="s">
        <v>75</v>
      </c>
      <c r="B132" s="12" t="s">
        <v>475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-9942.5857699999997</v>
      </c>
      <c r="O132" s="12">
        <v>-9942.5857699999997</v>
      </c>
      <c r="P132" s="12">
        <v>-9942.5857699999997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t="s">
        <v>99</v>
      </c>
      <c r="Y132" t="s">
        <v>26</v>
      </c>
      <c r="AA132" s="12"/>
      <c r="AB132" s="12"/>
      <c r="AC132" s="276"/>
    </row>
    <row r="133" spans="1:29">
      <c r="A133" t="s">
        <v>76</v>
      </c>
      <c r="B133" s="12" t="s">
        <v>475</v>
      </c>
      <c r="C133" s="12">
        <v>14</v>
      </c>
      <c r="D133" s="12">
        <v>14</v>
      </c>
      <c r="E133" s="12">
        <v>14</v>
      </c>
      <c r="F133" s="12">
        <v>14</v>
      </c>
      <c r="G133" s="12">
        <v>22</v>
      </c>
      <c r="H133" s="12">
        <v>22</v>
      </c>
      <c r="I133" s="12">
        <v>22</v>
      </c>
      <c r="J133" s="12">
        <v>22</v>
      </c>
      <c r="K133" s="12">
        <v>12</v>
      </c>
      <c r="L133" s="12">
        <v>12</v>
      </c>
      <c r="M133" s="12">
        <v>11</v>
      </c>
      <c r="N133" s="12">
        <v>31</v>
      </c>
      <c r="O133" s="12">
        <v>31</v>
      </c>
      <c r="P133" s="12">
        <v>31</v>
      </c>
      <c r="Q133" s="12">
        <v>10</v>
      </c>
      <c r="R133" s="12">
        <v>10</v>
      </c>
      <c r="S133" s="12">
        <v>10</v>
      </c>
      <c r="T133" s="12">
        <v>0</v>
      </c>
      <c r="U133" s="12">
        <v>0</v>
      </c>
      <c r="V133" s="12">
        <v>0</v>
      </c>
      <c r="W133" s="12">
        <v>0</v>
      </c>
      <c r="X133" t="s">
        <v>99</v>
      </c>
      <c r="Y133" t="s">
        <v>26</v>
      </c>
      <c r="AA133" s="12"/>
      <c r="AB133" s="12"/>
      <c r="AC133" s="276"/>
    </row>
    <row r="134" spans="1:29">
      <c r="A134" s="410" t="s">
        <v>239</v>
      </c>
      <c r="B134" s="12" t="s">
        <v>475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-411.07335</v>
      </c>
      <c r="O134" s="12">
        <v>-411.07335</v>
      </c>
      <c r="P134" s="12">
        <v>-411.07335</v>
      </c>
      <c r="Q134" s="12">
        <v>1.0186340659856796E-13</v>
      </c>
      <c r="R134" s="12">
        <v>1.0186340659856796E-13</v>
      </c>
      <c r="S134" s="12">
        <v>1.0186340659856796E-13</v>
      </c>
      <c r="T134" s="12">
        <v>0</v>
      </c>
      <c r="U134" s="12">
        <v>0</v>
      </c>
      <c r="V134" s="12">
        <v>0</v>
      </c>
      <c r="W134" s="12">
        <v>0</v>
      </c>
      <c r="X134" t="s">
        <v>99</v>
      </c>
      <c r="Y134" t="s">
        <v>26</v>
      </c>
      <c r="AA134" s="12"/>
      <c r="AB134" s="12"/>
      <c r="AC134" s="276"/>
    </row>
    <row r="135" spans="1:29">
      <c r="A135" s="410" t="s">
        <v>240</v>
      </c>
      <c r="B135" s="12" t="s">
        <v>475</v>
      </c>
      <c r="C135" s="12">
        <v>0</v>
      </c>
      <c r="D135" s="12">
        <v>0</v>
      </c>
      <c r="E135" s="12">
        <v>0</v>
      </c>
      <c r="F135" s="12">
        <v>0</v>
      </c>
      <c r="G135" s="12">
        <v>1430</v>
      </c>
      <c r="H135" s="12">
        <v>1430</v>
      </c>
      <c r="I135" s="12">
        <v>1430</v>
      </c>
      <c r="J135" s="12">
        <v>1430</v>
      </c>
      <c r="K135" s="12">
        <v>320</v>
      </c>
      <c r="L135" s="12">
        <v>320</v>
      </c>
      <c r="M135" s="12">
        <v>-985.40700000000004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t="s">
        <v>99</v>
      </c>
      <c r="Y135" t="s">
        <v>26</v>
      </c>
      <c r="AA135" s="12"/>
      <c r="AB135" s="12"/>
      <c r="AC135" s="276"/>
    </row>
    <row r="136" spans="1:29">
      <c r="A136" s="410" t="s">
        <v>241</v>
      </c>
      <c r="B136" s="12" t="s">
        <v>475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400</v>
      </c>
      <c r="R136" s="12">
        <v>400</v>
      </c>
      <c r="S136" s="12">
        <v>400</v>
      </c>
      <c r="T136" s="12">
        <v>-100</v>
      </c>
      <c r="U136" s="12">
        <v>-100</v>
      </c>
      <c r="V136" s="12">
        <v>-100</v>
      </c>
      <c r="W136" s="12">
        <v>-100</v>
      </c>
      <c r="X136" t="s">
        <v>99</v>
      </c>
      <c r="Y136" t="s">
        <v>26</v>
      </c>
      <c r="AA136" s="12"/>
      <c r="AB136" s="12"/>
      <c r="AC136" s="276"/>
    </row>
    <row r="137" spans="1:29">
      <c r="A137" s="410" t="s">
        <v>314</v>
      </c>
      <c r="B137" s="12" t="s">
        <v>475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3200</v>
      </c>
      <c r="L137" s="12">
        <v>3200</v>
      </c>
      <c r="M137" s="12">
        <v>6700</v>
      </c>
      <c r="N137" s="12">
        <v>8100</v>
      </c>
      <c r="O137" s="12">
        <v>8100</v>
      </c>
      <c r="P137" s="12">
        <v>8100</v>
      </c>
      <c r="Q137" s="12">
        <v>27000</v>
      </c>
      <c r="R137" s="12">
        <v>27000</v>
      </c>
      <c r="S137" s="12">
        <v>27000</v>
      </c>
      <c r="T137" s="12">
        <v>28700</v>
      </c>
      <c r="U137" s="12">
        <v>28700</v>
      </c>
      <c r="V137" s="12">
        <v>28700</v>
      </c>
      <c r="W137" s="12">
        <v>28700</v>
      </c>
      <c r="X137" t="s">
        <v>99</v>
      </c>
      <c r="Y137" t="s">
        <v>26</v>
      </c>
      <c r="AA137" s="12"/>
      <c r="AB137" s="12"/>
      <c r="AC137" s="276"/>
    </row>
    <row r="138" spans="1:29">
      <c r="A138" s="410" t="s">
        <v>315</v>
      </c>
      <c r="B138" s="12" t="s">
        <v>475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600</v>
      </c>
      <c r="N138" s="12">
        <v>-300</v>
      </c>
      <c r="O138" s="12">
        <v>-300</v>
      </c>
      <c r="P138" s="12">
        <v>-300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t="s">
        <v>99</v>
      </c>
      <c r="Y138" t="s">
        <v>26</v>
      </c>
      <c r="AA138" s="12"/>
      <c r="AB138" s="12"/>
      <c r="AC138" s="276"/>
    </row>
    <row r="139" spans="1:29">
      <c r="A139" s="410" t="s">
        <v>316</v>
      </c>
      <c r="B139" s="12" t="s">
        <v>475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2900</v>
      </c>
      <c r="O139" s="12">
        <v>2900</v>
      </c>
      <c r="P139" s="12">
        <v>2900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t="s">
        <v>99</v>
      </c>
      <c r="Y139" t="s">
        <v>26</v>
      </c>
      <c r="AA139" s="12"/>
      <c r="AB139" s="12"/>
      <c r="AC139" s="276"/>
    </row>
    <row r="140" spans="1:29">
      <c r="A140" s="410" t="s">
        <v>317</v>
      </c>
      <c r="B140" s="12" t="s">
        <v>475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340</v>
      </c>
      <c r="L140" s="12">
        <v>340</v>
      </c>
      <c r="M140" s="12">
        <v>140</v>
      </c>
      <c r="N140" s="12">
        <v>430</v>
      </c>
      <c r="O140" s="12">
        <v>430</v>
      </c>
      <c r="P140" s="12">
        <v>430</v>
      </c>
      <c r="Q140" s="12">
        <v>700</v>
      </c>
      <c r="R140" s="12">
        <v>700</v>
      </c>
      <c r="S140" s="12">
        <v>700</v>
      </c>
      <c r="T140" s="12">
        <v>480</v>
      </c>
      <c r="U140" s="12">
        <v>480</v>
      </c>
      <c r="V140" s="12">
        <v>480</v>
      </c>
      <c r="W140" s="12">
        <v>480</v>
      </c>
      <c r="X140" t="s">
        <v>99</v>
      </c>
      <c r="Y140" t="s">
        <v>26</v>
      </c>
      <c r="AA140" s="12"/>
      <c r="AB140" s="12"/>
      <c r="AC140" s="276"/>
    </row>
    <row r="141" spans="1:29">
      <c r="A141" t="s">
        <v>202</v>
      </c>
      <c r="B141" s="12" t="s">
        <v>475</v>
      </c>
      <c r="C141" s="12">
        <v>21354.984</v>
      </c>
      <c r="D141" s="12">
        <v>21354.984</v>
      </c>
      <c r="E141" s="12">
        <v>21354.984</v>
      </c>
      <c r="F141" s="12">
        <v>21354.984</v>
      </c>
      <c r="G141" s="12">
        <v>2170.9180000000001</v>
      </c>
      <c r="H141" s="12">
        <v>2170.9180000000001</v>
      </c>
      <c r="I141" s="12">
        <v>2170.9180000000001</v>
      </c>
      <c r="J141" s="12">
        <v>2170.9180000000001</v>
      </c>
      <c r="K141" s="12">
        <v>9362.7150000000001</v>
      </c>
      <c r="L141" s="12">
        <v>9362.7150000000001</v>
      </c>
      <c r="M141" s="12">
        <v>18725.337</v>
      </c>
      <c r="N141" s="12">
        <v>-37450.673999999999</v>
      </c>
      <c r="O141" s="12">
        <v>-37450.673999999999</v>
      </c>
      <c r="P141" s="12">
        <v>-37450.673999999999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t="s">
        <v>99</v>
      </c>
      <c r="Y141" t="s">
        <v>26</v>
      </c>
      <c r="AA141" s="12"/>
      <c r="AB141" s="12"/>
      <c r="AC141" s="276"/>
    </row>
    <row r="142" spans="1:29">
      <c r="A142" t="s">
        <v>77</v>
      </c>
      <c r="B142" s="12" t="s">
        <v>639</v>
      </c>
      <c r="C142" s="12">
        <v>60000</v>
      </c>
      <c r="D142" s="12">
        <v>60000</v>
      </c>
      <c r="E142" s="12">
        <v>60000</v>
      </c>
      <c r="F142" s="12">
        <v>60000</v>
      </c>
      <c r="G142" s="12">
        <v>80000</v>
      </c>
      <c r="H142" s="12">
        <v>80000</v>
      </c>
      <c r="I142" s="12">
        <v>80000</v>
      </c>
      <c r="J142" s="12">
        <v>80000</v>
      </c>
      <c r="K142" s="12">
        <v>80000</v>
      </c>
      <c r="L142" s="12">
        <v>80000</v>
      </c>
      <c r="M142" s="12">
        <v>1000</v>
      </c>
      <c r="N142" s="12">
        <v>9000</v>
      </c>
      <c r="O142" s="12">
        <v>9000</v>
      </c>
      <c r="P142" s="12">
        <v>9000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t="s">
        <v>78</v>
      </c>
      <c r="Y142" t="s">
        <v>26</v>
      </c>
      <c r="AA142" s="12"/>
      <c r="AB142" s="12"/>
      <c r="AC142" s="276"/>
    </row>
    <row r="143" spans="1:29">
      <c r="A143" t="s">
        <v>344</v>
      </c>
      <c r="B143" s="12" t="s">
        <v>618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67.437064499999991</v>
      </c>
      <c r="N143" s="12">
        <v>376.61006789999999</v>
      </c>
      <c r="O143" s="12">
        <v>376.61006789999999</v>
      </c>
      <c r="P143" s="12">
        <v>376.61006789999999</v>
      </c>
      <c r="Q143" s="12">
        <v>115.25279849999998</v>
      </c>
      <c r="R143" s="12">
        <v>115.25279849999998</v>
      </c>
      <c r="S143" s="12">
        <v>115.25279849999998</v>
      </c>
      <c r="T143" s="12">
        <v>0</v>
      </c>
      <c r="U143" s="12">
        <v>0</v>
      </c>
      <c r="V143" s="12">
        <v>0</v>
      </c>
      <c r="W143" s="12">
        <v>0</v>
      </c>
      <c r="X143" t="s">
        <v>5</v>
      </c>
      <c r="Y143" t="s">
        <v>26</v>
      </c>
      <c r="AA143" s="12"/>
      <c r="AB143" s="12"/>
      <c r="AC143" s="276"/>
    </row>
    <row r="144" spans="1:29">
      <c r="A144" t="s">
        <v>342</v>
      </c>
      <c r="B144" s="12" t="s">
        <v>638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336</v>
      </c>
      <c r="N144" s="12">
        <v>379.5</v>
      </c>
      <c r="O144" s="12">
        <v>379.5</v>
      </c>
      <c r="P144" s="12">
        <v>379.5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t="s">
        <v>99</v>
      </c>
      <c r="Y144" t="s">
        <v>24</v>
      </c>
      <c r="AA144" s="12"/>
      <c r="AB144" s="12"/>
      <c r="AC144" s="276"/>
    </row>
    <row r="145" spans="1:29">
      <c r="A145" t="s">
        <v>343</v>
      </c>
      <c r="B145" s="12" t="s">
        <v>638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295.5</v>
      </c>
      <c r="N145" s="12">
        <v>325.5</v>
      </c>
      <c r="O145" s="12">
        <v>325.5</v>
      </c>
      <c r="P145" s="12">
        <v>325.5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t="s">
        <v>99</v>
      </c>
      <c r="Y145" t="s">
        <v>24</v>
      </c>
      <c r="AA145" s="12"/>
      <c r="AB145" s="12"/>
      <c r="AC145" s="276"/>
    </row>
    <row r="146" spans="1:29">
      <c r="A146" t="s">
        <v>368</v>
      </c>
      <c r="B146" s="12" t="s">
        <v>475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400</v>
      </c>
      <c r="O146" s="12">
        <v>400</v>
      </c>
      <c r="P146" s="12">
        <v>400</v>
      </c>
      <c r="Q146" s="12">
        <v>700</v>
      </c>
      <c r="R146" s="12">
        <v>700</v>
      </c>
      <c r="S146" s="12">
        <v>700</v>
      </c>
      <c r="T146" s="12">
        <v>3500</v>
      </c>
      <c r="U146" s="12">
        <v>3500</v>
      </c>
      <c r="V146" s="12">
        <v>3500</v>
      </c>
      <c r="W146" s="12">
        <v>3500</v>
      </c>
      <c r="X146" t="s">
        <v>99</v>
      </c>
      <c r="Y146" t="s">
        <v>26</v>
      </c>
      <c r="AA146" s="12"/>
      <c r="AB146" s="12"/>
      <c r="AC146" s="276"/>
    </row>
    <row r="147" spans="1:29">
      <c r="A147" t="s">
        <v>369</v>
      </c>
      <c r="B147" s="12" t="s">
        <v>475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300</v>
      </c>
      <c r="O147" s="12">
        <v>300</v>
      </c>
      <c r="P147" s="12">
        <v>300</v>
      </c>
      <c r="Q147" s="12">
        <v>500</v>
      </c>
      <c r="R147" s="12">
        <v>500</v>
      </c>
      <c r="S147" s="12">
        <v>500</v>
      </c>
      <c r="T147" s="12">
        <v>400</v>
      </c>
      <c r="U147" s="12">
        <v>400</v>
      </c>
      <c r="V147" s="12">
        <v>400</v>
      </c>
      <c r="W147" s="12">
        <v>400</v>
      </c>
      <c r="X147" t="s">
        <v>99</v>
      </c>
      <c r="Y147" t="s">
        <v>26</v>
      </c>
      <c r="AA147" s="12"/>
      <c r="AB147" s="12"/>
      <c r="AC147" s="276"/>
    </row>
    <row r="148" spans="1:29">
      <c r="A148" t="s">
        <v>370</v>
      </c>
      <c r="B148" s="12" t="s">
        <v>475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t="s">
        <v>99</v>
      </c>
      <c r="Y148" t="s">
        <v>26</v>
      </c>
      <c r="AA148" s="12"/>
      <c r="AB148" s="12"/>
      <c r="AC148" s="276"/>
    </row>
    <row r="149" spans="1:29">
      <c r="A149" t="s">
        <v>373</v>
      </c>
      <c r="B149" s="12" t="s">
        <v>618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248.998392</v>
      </c>
      <c r="O149" s="12">
        <v>248.998392</v>
      </c>
      <c r="P149" s="12">
        <v>248.998392</v>
      </c>
      <c r="Q149" s="12">
        <v>285.53621249999998</v>
      </c>
      <c r="R149" s="12">
        <v>285.53621249999998</v>
      </c>
      <c r="S149" s="12">
        <v>285.53621249999998</v>
      </c>
      <c r="T149" s="12">
        <v>346.83614999999998</v>
      </c>
      <c r="U149" s="12">
        <v>346.83614999999998</v>
      </c>
      <c r="V149" s="12">
        <v>346.83614999999998</v>
      </c>
      <c r="W149" s="12">
        <v>346.83614999999998</v>
      </c>
      <c r="X149" t="s">
        <v>5</v>
      </c>
      <c r="Y149" t="s">
        <v>26</v>
      </c>
      <c r="AA149" s="12"/>
      <c r="AB149" s="12"/>
      <c r="AC149" s="276"/>
    </row>
    <row r="150" spans="1:29">
      <c r="A150" t="s">
        <v>374</v>
      </c>
      <c r="B150" s="12" t="s">
        <v>618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7.2624531000000001</v>
      </c>
      <c r="O150" s="12">
        <v>7.2624531000000001</v>
      </c>
      <c r="P150" s="12">
        <v>7.2624531000000001</v>
      </c>
      <c r="Q150" s="12">
        <v>20.766269999999999</v>
      </c>
      <c r="R150" s="12">
        <v>20.766269999999999</v>
      </c>
      <c r="S150" s="12">
        <v>20.766269999999999</v>
      </c>
      <c r="T150" s="12">
        <v>30.20495</v>
      </c>
      <c r="U150" s="12">
        <v>30.20495</v>
      </c>
      <c r="V150" s="12">
        <v>30.20495</v>
      </c>
      <c r="W150" s="12">
        <v>30.20495</v>
      </c>
      <c r="X150" t="s">
        <v>5</v>
      </c>
      <c r="Y150" t="s">
        <v>26</v>
      </c>
      <c r="AA150" s="12"/>
      <c r="AB150" s="12"/>
      <c r="AC150" s="276"/>
    </row>
    <row r="151" spans="1:29" ht="14.1" customHeight="1">
      <c r="A151" t="s">
        <v>375</v>
      </c>
      <c r="B151" s="12" t="s">
        <v>618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43.574718599999997</v>
      </c>
      <c r="O151" s="12">
        <v>43.574718599999997</v>
      </c>
      <c r="P151" s="12">
        <v>43.574718599999997</v>
      </c>
      <c r="Q151" s="12">
        <v>61.260496499999995</v>
      </c>
      <c r="R151" s="12">
        <v>61.260496499999995</v>
      </c>
      <c r="S151" s="12">
        <v>61.260496499999995</v>
      </c>
      <c r="T151" s="12">
        <v>61.451450000000001</v>
      </c>
      <c r="U151" s="12">
        <v>61.451450000000001</v>
      </c>
      <c r="V151" s="12">
        <v>61.451450000000001</v>
      </c>
      <c r="W151" s="12">
        <v>61.451450000000001</v>
      </c>
      <c r="X151" t="s">
        <v>5</v>
      </c>
      <c r="Y151" t="s">
        <v>26</v>
      </c>
      <c r="AA151" s="12"/>
      <c r="AB151" s="12"/>
      <c r="AC151" s="276"/>
    </row>
    <row r="152" spans="1:29">
      <c r="A152" t="s">
        <v>418</v>
      </c>
      <c r="B152" s="12" t="s">
        <v>637</v>
      </c>
      <c r="C152" s="12">
        <v>0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9511.6319999999996</v>
      </c>
      <c r="Q152" s="12">
        <v>29165.073599999996</v>
      </c>
      <c r="R152" s="12">
        <v>29165.073599999996</v>
      </c>
      <c r="S152" s="12">
        <v>19653.441599999998</v>
      </c>
      <c r="T152" s="12">
        <v>21618.786</v>
      </c>
      <c r="U152" s="12">
        <v>21618.786</v>
      </c>
      <c r="V152" s="12">
        <v>21618.786</v>
      </c>
      <c r="W152" s="12">
        <v>21618.786</v>
      </c>
      <c r="X152" t="s">
        <v>99</v>
      </c>
      <c r="Y152" t="s">
        <v>24</v>
      </c>
      <c r="AA152" s="12"/>
      <c r="AB152" s="12"/>
      <c r="AC152" s="276"/>
    </row>
    <row r="153" spans="1:29">
      <c r="A153" t="s">
        <v>433</v>
      </c>
      <c r="B153" s="12" t="s">
        <v>640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60523</v>
      </c>
      <c r="R153" s="12">
        <v>60523</v>
      </c>
      <c r="S153" s="12">
        <v>60523</v>
      </c>
      <c r="T153" s="12">
        <v>34080.357556321556</v>
      </c>
      <c r="U153" s="12">
        <v>34080.357556321556</v>
      </c>
      <c r="V153" s="12">
        <v>34080.357556321556</v>
      </c>
      <c r="W153" s="12">
        <v>34080.357556321556</v>
      </c>
      <c r="X153" t="s">
        <v>99</v>
      </c>
      <c r="Y153" t="s">
        <v>24</v>
      </c>
      <c r="AA153" s="15"/>
      <c r="AB153" s="12"/>
      <c r="AC153" s="276"/>
    </row>
    <row r="154" spans="1:29">
      <c r="A154" t="s">
        <v>466</v>
      </c>
      <c r="B154" s="12" t="s">
        <v>637</v>
      </c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>
        <v>2966.7624920999997</v>
      </c>
      <c r="U154" s="12">
        <v>2966.7624920999997</v>
      </c>
      <c r="V154" s="12">
        <v>2966.7624920999997</v>
      </c>
      <c r="W154" s="12">
        <v>2966.7624920999997</v>
      </c>
      <c r="X154" t="s">
        <v>99</v>
      </c>
      <c r="Y154" t="s">
        <v>24</v>
      </c>
      <c r="AA154" s="15"/>
      <c r="AB154" s="12"/>
      <c r="AC154" s="276"/>
    </row>
    <row r="155" spans="1:29">
      <c r="A155" t="s">
        <v>467</v>
      </c>
      <c r="B155" s="12" t="s">
        <v>637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445">
        <v>2520</v>
      </c>
      <c r="R155" s="445">
        <v>2520</v>
      </c>
      <c r="S155" s="445">
        <v>2520</v>
      </c>
      <c r="T155" s="12">
        <v>6300</v>
      </c>
      <c r="U155" s="12">
        <v>6300</v>
      </c>
      <c r="V155" s="12">
        <v>6300</v>
      </c>
      <c r="W155" s="12">
        <v>6300</v>
      </c>
      <c r="X155" t="s">
        <v>99</v>
      </c>
      <c r="Y155" t="s">
        <v>24</v>
      </c>
      <c r="AA155" s="15"/>
      <c r="AB155" s="12"/>
      <c r="AC155" s="276"/>
    </row>
    <row r="156" spans="1:29">
      <c r="A156" t="s">
        <v>435</v>
      </c>
      <c r="B156" s="12" t="s">
        <v>475</v>
      </c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445"/>
      <c r="R156" s="445"/>
      <c r="S156" s="445"/>
      <c r="T156" s="12">
        <v>-1400</v>
      </c>
      <c r="U156" s="12">
        <v>-1400</v>
      </c>
      <c r="V156" s="12">
        <v>-1400</v>
      </c>
      <c r="W156" s="12">
        <v>-1400</v>
      </c>
      <c r="X156" t="s">
        <v>99</v>
      </c>
      <c r="Y156" t="s">
        <v>26</v>
      </c>
      <c r="AA156" s="15"/>
      <c r="AB156" s="12"/>
      <c r="AC156" s="276"/>
    </row>
    <row r="157" spans="1:29">
      <c r="A157" t="s">
        <v>74</v>
      </c>
      <c r="B157" s="12" t="s">
        <v>475</v>
      </c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445"/>
      <c r="R157" s="445"/>
      <c r="S157" s="445"/>
      <c r="T157" s="12">
        <v>1131.6690000000001</v>
      </c>
      <c r="U157" s="12">
        <v>1131.6690000000001</v>
      </c>
      <c r="V157" s="12">
        <v>1131.6690000000001</v>
      </c>
      <c r="W157" s="12">
        <v>1131.6690000000001</v>
      </c>
      <c r="X157" t="s">
        <v>99</v>
      </c>
      <c r="Y157" t="s">
        <v>26</v>
      </c>
      <c r="AA157" s="15"/>
      <c r="AB157" s="12"/>
      <c r="AC157" s="276"/>
    </row>
    <row r="158" spans="1:29">
      <c r="A158" t="s">
        <v>436</v>
      </c>
      <c r="B158" s="12" t="s">
        <v>641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445">
        <v>1959.0642899999996</v>
      </c>
      <c r="R158" s="445">
        <v>1959.0642899999996</v>
      </c>
      <c r="S158" s="445">
        <v>1959.0642899999996</v>
      </c>
      <c r="T158" s="12">
        <v>0</v>
      </c>
      <c r="U158" s="12">
        <v>0</v>
      </c>
      <c r="V158" s="12">
        <v>0</v>
      </c>
      <c r="W158" s="12">
        <v>0</v>
      </c>
      <c r="X158" t="s">
        <v>5</v>
      </c>
      <c r="Y158" t="s">
        <v>24</v>
      </c>
      <c r="AA158" s="15"/>
      <c r="AB158" s="12"/>
      <c r="AC158" s="276"/>
    </row>
    <row r="159" spans="1:29">
      <c r="A159" s="13" t="s">
        <v>437</v>
      </c>
      <c r="B159" s="12" t="s">
        <v>641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445">
        <v>824.16204999999979</v>
      </c>
      <c r="R159" s="445">
        <v>824.16204999999979</v>
      </c>
      <c r="S159" s="445">
        <v>824.16204999999979</v>
      </c>
      <c r="T159" s="12">
        <v>0</v>
      </c>
      <c r="U159" s="12">
        <v>0</v>
      </c>
      <c r="V159" s="12">
        <v>0</v>
      </c>
      <c r="W159" s="12">
        <v>0</v>
      </c>
      <c r="X159" t="s">
        <v>3</v>
      </c>
      <c r="Y159" t="s">
        <v>24</v>
      </c>
      <c r="AA159" s="15"/>
      <c r="AB159" s="12"/>
      <c r="AC159" s="276"/>
    </row>
    <row r="160" spans="1:29">
      <c r="A160" s="13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AA160" s="15"/>
      <c r="AB160" s="12"/>
      <c r="AC160" s="276"/>
    </row>
    <row r="161" spans="1:29">
      <c r="A161" s="13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AA161" s="15"/>
      <c r="AB161" s="12"/>
      <c r="AC161" s="276"/>
    </row>
    <row r="162" spans="1:29">
      <c r="A162" s="18" t="s">
        <v>8</v>
      </c>
      <c r="B162" s="21"/>
      <c r="C162" s="21">
        <f t="shared" ref="C162:S162" si="1">SUM(C68:C161)</f>
        <v>314867.0308045494</v>
      </c>
      <c r="D162" s="21">
        <f t="shared" si="1"/>
        <v>342629.52151790942</v>
      </c>
      <c r="E162" s="21">
        <f t="shared" si="1"/>
        <v>342629.52151790942</v>
      </c>
      <c r="F162" s="21">
        <f t="shared" si="1"/>
        <v>342629.52151790942</v>
      </c>
      <c r="G162" s="21">
        <f t="shared" si="1"/>
        <v>341755.14510374423</v>
      </c>
      <c r="H162" s="21">
        <f t="shared" si="1"/>
        <v>336767.3955279417</v>
      </c>
      <c r="I162" s="21">
        <f t="shared" si="1"/>
        <v>336767.3955279417</v>
      </c>
      <c r="J162" s="21">
        <f t="shared" si="1"/>
        <v>388319.13189294533</v>
      </c>
      <c r="K162" s="21">
        <f t="shared" si="1"/>
        <v>405959.15260720375</v>
      </c>
      <c r="L162" s="21">
        <f t="shared" si="1"/>
        <v>405959.15260720375</v>
      </c>
      <c r="M162" s="21">
        <f t="shared" si="1"/>
        <v>539385.07509551116</v>
      </c>
      <c r="N162" s="21">
        <f t="shared" si="1"/>
        <v>394317.98355566274</v>
      </c>
      <c r="O162" s="21">
        <f t="shared" si="1"/>
        <v>394700.8783472536</v>
      </c>
      <c r="P162" s="21">
        <f t="shared" si="1"/>
        <v>404569.13281931909</v>
      </c>
      <c r="Q162" s="21">
        <f t="shared" si="1"/>
        <v>207599.01782842237</v>
      </c>
      <c r="R162" s="21">
        <f t="shared" si="1"/>
        <v>207599.01782842237</v>
      </c>
      <c r="S162" s="21">
        <f t="shared" si="1"/>
        <v>197722.96191579037</v>
      </c>
      <c r="T162" s="21">
        <f>SUM(T68:T161)</f>
        <v>157812.98196262447</v>
      </c>
      <c r="U162" s="21">
        <f>SUM(U68:U161)</f>
        <v>157812.98196262447</v>
      </c>
      <c r="V162" s="21">
        <f>SUM(V68:V161)</f>
        <v>157812.98196262447</v>
      </c>
      <c r="W162" s="21">
        <f>SUM(W68:W161)</f>
        <v>157812.98196262447</v>
      </c>
      <c r="AA162" s="21"/>
      <c r="AB162" s="12"/>
      <c r="AC162" s="276"/>
    </row>
    <row r="163" spans="1:29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AA163" s="15"/>
      <c r="AB163" s="12"/>
      <c r="AC163" s="276"/>
    </row>
    <row r="164" spans="1:29">
      <c r="A164" s="18" t="s">
        <v>9</v>
      </c>
      <c r="AB164" s="12"/>
      <c r="AC164" s="276"/>
    </row>
    <row r="165" spans="1:29">
      <c r="A165" t="s">
        <v>83</v>
      </c>
      <c r="B165" s="12" t="s">
        <v>642</v>
      </c>
      <c r="C165" s="15">
        <v>868299.98992230475</v>
      </c>
      <c r="D165" s="15">
        <v>868299.98992230475</v>
      </c>
      <c r="E165" s="15">
        <v>868299.98992230475</v>
      </c>
      <c r="F165" s="15">
        <v>868299.98992230475</v>
      </c>
      <c r="G165" s="15">
        <v>1035770.6823141619</v>
      </c>
      <c r="H165" s="15">
        <v>1035770.6823141619</v>
      </c>
      <c r="I165" s="15">
        <v>1035770.6823141619</v>
      </c>
      <c r="J165" s="15">
        <v>1035770.6823141619</v>
      </c>
      <c r="K165" s="15">
        <v>1074297.3462269725</v>
      </c>
      <c r="L165" s="15">
        <v>1074297.3462269725</v>
      </c>
      <c r="M165" s="15">
        <v>1193257.0559192772</v>
      </c>
      <c r="N165" s="15">
        <v>1015801.8622927812</v>
      </c>
      <c r="O165" s="15">
        <v>1015801.8622927812</v>
      </c>
      <c r="P165" s="12">
        <v>1015801.8622927812</v>
      </c>
      <c r="Q165" s="12">
        <v>1015801.8622927812</v>
      </c>
      <c r="R165" s="12">
        <v>1241611.5256814267</v>
      </c>
      <c r="S165" s="12">
        <v>1241611.5256814267</v>
      </c>
      <c r="T165" s="12">
        <v>1313239.1758825849</v>
      </c>
      <c r="U165" s="12">
        <v>1313239.1758825849</v>
      </c>
      <c r="V165" s="12">
        <v>1201062.9194933525</v>
      </c>
      <c r="W165" s="12">
        <v>1201062.9194933525</v>
      </c>
      <c r="X165" t="s">
        <v>10</v>
      </c>
      <c r="Y165" t="s">
        <v>24</v>
      </c>
      <c r="AA165" s="15"/>
      <c r="AB165" s="12"/>
      <c r="AC165" s="276"/>
    </row>
    <row r="166" spans="1:29">
      <c r="A166" t="s">
        <v>84</v>
      </c>
      <c r="B166" s="12" t="s">
        <v>643</v>
      </c>
      <c r="C166" s="12">
        <v>-290446.64441818016</v>
      </c>
      <c r="D166" s="12">
        <v>-290446.64441818016</v>
      </c>
      <c r="E166" s="12">
        <v>-290446.64441818016</v>
      </c>
      <c r="F166" s="12">
        <v>-290446.64441818016</v>
      </c>
      <c r="G166" s="12">
        <v>-277683.71417458501</v>
      </c>
      <c r="H166" s="12">
        <v>-277683.71417458501</v>
      </c>
      <c r="I166" s="12">
        <v>-277683.71417458501</v>
      </c>
      <c r="J166" s="12">
        <v>-277683.71417458501</v>
      </c>
      <c r="K166" s="12">
        <v>-278898.97072907857</v>
      </c>
      <c r="L166" s="12">
        <v>-278898.97072907857</v>
      </c>
      <c r="M166" s="12">
        <v>-290681.11501687701</v>
      </c>
      <c r="N166" s="12">
        <v>-281192.87689030415</v>
      </c>
      <c r="O166" s="12">
        <v>-281192.87689030415</v>
      </c>
      <c r="P166" s="12">
        <v>-281192.87689030415</v>
      </c>
      <c r="Q166" s="12">
        <v>-338074.81254709855</v>
      </c>
      <c r="R166" s="12">
        <v>-338074.81254709855</v>
      </c>
      <c r="S166" s="12">
        <v>-338074.81254709855</v>
      </c>
      <c r="T166" s="12">
        <v>-165836.09206060256</v>
      </c>
      <c r="U166" s="12">
        <v>-165836.09206060256</v>
      </c>
      <c r="V166" s="12">
        <v>-165836.09206060256</v>
      </c>
      <c r="W166" s="12">
        <v>-165836.09206060256</v>
      </c>
      <c r="X166" t="s">
        <v>10</v>
      </c>
      <c r="Y166" t="s">
        <v>26</v>
      </c>
      <c r="AA166" s="12"/>
      <c r="AB166" s="12"/>
      <c r="AC166" s="276"/>
    </row>
    <row r="167" spans="1:29">
      <c r="A167" t="s">
        <v>85</v>
      </c>
      <c r="B167" s="12" t="s">
        <v>644</v>
      </c>
      <c r="C167" s="12">
        <v>-19395.786457506467</v>
      </c>
      <c r="D167" s="12">
        <v>-19395.786457506467</v>
      </c>
      <c r="E167" s="12">
        <v>-19395.786457506467</v>
      </c>
      <c r="F167" s="12">
        <v>-19395.786457506467</v>
      </c>
      <c r="G167" s="12">
        <v>-21666.547322748575</v>
      </c>
      <c r="H167" s="12">
        <v>-21666.547322748575</v>
      </c>
      <c r="I167" s="12">
        <v>-21666.547322748575</v>
      </c>
      <c r="J167" s="12">
        <v>-21666.547322748575</v>
      </c>
      <c r="K167" s="12">
        <v>-22726.988940683394</v>
      </c>
      <c r="L167" s="12">
        <v>-22726.988940683394</v>
      </c>
      <c r="M167" s="12">
        <v>-42946.287503795225</v>
      </c>
      <c r="N167" s="12">
        <v>-49504.512347211225</v>
      </c>
      <c r="O167" s="12">
        <v>-49504.512347211225</v>
      </c>
      <c r="P167" s="12">
        <v>-49504.512347211225</v>
      </c>
      <c r="Q167" s="12">
        <v>-40831.286867283969</v>
      </c>
      <c r="R167" s="12">
        <v>-40831.286867283969</v>
      </c>
      <c r="S167" s="12">
        <v>-40831.286867283969</v>
      </c>
      <c r="T167" s="12">
        <v>-50636.770671978818</v>
      </c>
      <c r="U167" s="12">
        <v>-50636.770671978818</v>
      </c>
      <c r="V167" s="12">
        <v>-50636.770671978818</v>
      </c>
      <c r="W167" s="12">
        <v>-50636.770671978818</v>
      </c>
      <c r="X167" t="s">
        <v>10</v>
      </c>
      <c r="Y167" t="s">
        <v>26</v>
      </c>
      <c r="AA167" s="12"/>
      <c r="AB167" s="12"/>
      <c r="AC167" s="276"/>
    </row>
    <row r="168" spans="1:29">
      <c r="A168" t="s">
        <v>86</v>
      </c>
      <c r="B168" s="12" t="s">
        <v>645</v>
      </c>
      <c r="C168" s="12">
        <v>631.66948234935251</v>
      </c>
      <c r="D168" s="12">
        <v>631.66948234935251</v>
      </c>
      <c r="E168" s="12">
        <v>631.66948234935251</v>
      </c>
      <c r="F168" s="12">
        <v>631.66948234935251</v>
      </c>
      <c r="G168" s="12">
        <v>-245.06877306482485</v>
      </c>
      <c r="H168" s="12">
        <v>-245.06877306482485</v>
      </c>
      <c r="I168" s="12">
        <v>-245.06877306482485</v>
      </c>
      <c r="J168" s="12">
        <v>-245.06877306482485</v>
      </c>
      <c r="K168" s="12">
        <v>151.21123428324981</v>
      </c>
      <c r="L168" s="12">
        <v>151.21123428324981</v>
      </c>
      <c r="M168" s="12">
        <v>557.06449752135018</v>
      </c>
      <c r="N168" s="12">
        <v>141.01499621368913</v>
      </c>
      <c r="O168" s="12">
        <v>141.01499621368913</v>
      </c>
      <c r="P168" s="12">
        <v>141.01499621368913</v>
      </c>
      <c r="Q168" s="12">
        <v>178.76388774267036</v>
      </c>
      <c r="R168" s="12">
        <v>178.76388774267036</v>
      </c>
      <c r="S168" s="12">
        <v>178.76388774267036</v>
      </c>
      <c r="T168" s="12">
        <v>847.9793819286399</v>
      </c>
      <c r="U168" s="12">
        <v>847.9793819286399</v>
      </c>
      <c r="V168" s="12">
        <v>847.9793819286399</v>
      </c>
      <c r="W168" s="12">
        <v>847.9793819286399</v>
      </c>
      <c r="X168" t="s">
        <v>87</v>
      </c>
      <c r="Y168" t="s">
        <v>26</v>
      </c>
      <c r="AA168" s="12"/>
      <c r="AB168" s="12"/>
      <c r="AC168" s="276"/>
    </row>
    <row r="169" spans="1:29"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AA169" s="12"/>
    </row>
    <row r="170" spans="1:29"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AA170" s="15"/>
    </row>
    <row r="171" spans="1:29">
      <c r="A171" s="18" t="s">
        <v>11</v>
      </c>
      <c r="C171" s="21">
        <f t="shared" ref="C171:K171" si="2">SUM(C165:C170)</f>
        <v>559089.22852896748</v>
      </c>
      <c r="D171" s="21">
        <f t="shared" si="2"/>
        <v>559089.22852896748</v>
      </c>
      <c r="E171" s="21">
        <f t="shared" si="2"/>
        <v>559089.22852896748</v>
      </c>
      <c r="F171" s="21">
        <f t="shared" si="2"/>
        <v>559089.22852896748</v>
      </c>
      <c r="G171" s="21">
        <f t="shared" si="2"/>
        <v>736175.3520437635</v>
      </c>
      <c r="H171" s="21">
        <f t="shared" si="2"/>
        <v>736175.3520437635</v>
      </c>
      <c r="I171" s="21">
        <f t="shared" si="2"/>
        <v>736175.3520437635</v>
      </c>
      <c r="J171" s="21">
        <f t="shared" si="2"/>
        <v>736175.3520437635</v>
      </c>
      <c r="K171" s="21">
        <f t="shared" si="2"/>
        <v>772822.59779149375</v>
      </c>
      <c r="L171" s="21">
        <f t="shared" ref="L171:S171" si="3">SUM(L165:L170)</f>
        <v>772822.59779149375</v>
      </c>
      <c r="M171" s="21">
        <f t="shared" si="3"/>
        <v>860186.71789612644</v>
      </c>
      <c r="N171" s="21">
        <f t="shared" si="3"/>
        <v>685245.48805147957</v>
      </c>
      <c r="O171" s="21">
        <f t="shared" si="3"/>
        <v>685245.48805147957</v>
      </c>
      <c r="P171" s="21">
        <f t="shared" si="3"/>
        <v>685245.48805147957</v>
      </c>
      <c r="Q171" s="21">
        <f t="shared" si="3"/>
        <v>637074.52676614129</v>
      </c>
      <c r="R171" s="21">
        <f t="shared" si="3"/>
        <v>862884.1901547868</v>
      </c>
      <c r="S171" s="21">
        <f t="shared" si="3"/>
        <v>862884.1901547868</v>
      </c>
      <c r="T171" s="21">
        <f>SUM(T165:T170)</f>
        <v>1097614.2925319322</v>
      </c>
      <c r="U171" s="21">
        <f>SUM(U165:U170)</f>
        <v>1097614.2925319322</v>
      </c>
      <c r="V171" s="21">
        <f>SUM(V165:V170)</f>
        <v>985438.03614269989</v>
      </c>
      <c r="W171" s="21">
        <f>SUM(W165:W170)</f>
        <v>985438.03614269989</v>
      </c>
      <c r="AA171" s="21"/>
    </row>
    <row r="173" spans="1:29" ht="15.75" thickBot="1">
      <c r="A173" s="18" t="s">
        <v>12</v>
      </c>
      <c r="C173" s="180">
        <f t="shared" ref="C173:S173" si="4">C65+C162+C171</f>
        <v>4285637.5173024256</v>
      </c>
      <c r="D173" s="180">
        <f t="shared" si="4"/>
        <v>4127167.3094766168</v>
      </c>
      <c r="E173" s="180">
        <f t="shared" si="4"/>
        <v>4127167.3094766168</v>
      </c>
      <c r="F173" s="180">
        <f t="shared" si="4"/>
        <v>4127167.3094766163</v>
      </c>
      <c r="G173" s="180">
        <f t="shared" si="4"/>
        <v>4546481.7688900335</v>
      </c>
      <c r="H173" s="180">
        <f t="shared" si="4"/>
        <v>4283254.9302819949</v>
      </c>
      <c r="I173" s="180">
        <f t="shared" si="4"/>
        <v>4283254.9302819949</v>
      </c>
      <c r="J173" s="180">
        <f t="shared" si="4"/>
        <v>4334806.6666469984</v>
      </c>
      <c r="K173" s="180">
        <f t="shared" si="4"/>
        <v>4326044.1501903608</v>
      </c>
      <c r="L173" s="180">
        <f t="shared" si="4"/>
        <v>4271646.8937463034</v>
      </c>
      <c r="M173" s="180">
        <f t="shared" si="4"/>
        <v>4376473.9442439079</v>
      </c>
      <c r="N173" s="180">
        <f t="shared" si="4"/>
        <v>3899765.0996399405</v>
      </c>
      <c r="O173" s="180">
        <f t="shared" si="4"/>
        <v>4192794.6521918182</v>
      </c>
      <c r="P173" s="180">
        <f t="shared" si="4"/>
        <v>4233071.8352868836</v>
      </c>
      <c r="Q173" s="180">
        <f t="shared" si="4"/>
        <v>4123232.3110290947</v>
      </c>
      <c r="R173" s="180">
        <f t="shared" si="4"/>
        <v>4349041.9744177405</v>
      </c>
      <c r="S173" s="180">
        <f t="shared" si="4"/>
        <v>4308732.9498201087</v>
      </c>
      <c r="T173" s="180">
        <f>T65+T162+T171</f>
        <v>4934958.8471066877</v>
      </c>
      <c r="U173" s="180">
        <f>U65+U162+U171</f>
        <v>4985307.554457467</v>
      </c>
      <c r="V173" s="180">
        <f>V65+V162+V171</f>
        <v>4873131.2980682347</v>
      </c>
      <c r="W173" s="180">
        <f>W65+W162+W171</f>
        <v>4829143.5558054131</v>
      </c>
      <c r="X173" s="21"/>
      <c r="AA173" s="21"/>
    </row>
    <row r="174" spans="1:29" ht="15.75" thickTop="1">
      <c r="C174" s="277"/>
      <c r="D174" s="277"/>
      <c r="E174" s="277"/>
      <c r="F174" s="277"/>
      <c r="G174" s="277"/>
      <c r="H174" s="277"/>
      <c r="I174" s="277"/>
      <c r="J174" s="277"/>
      <c r="K174" s="277"/>
      <c r="L174" s="277"/>
      <c r="M174" s="277"/>
      <c r="N174" s="277"/>
      <c r="O174" s="277"/>
      <c r="P174" s="277"/>
      <c r="Q174" s="277"/>
      <c r="R174" s="277"/>
      <c r="S174" s="277"/>
      <c r="T174" s="277"/>
      <c r="U174" s="277"/>
      <c r="V174" s="277"/>
      <c r="W174" s="277"/>
      <c r="X174" s="25"/>
      <c r="AA174" s="15"/>
    </row>
    <row r="175" spans="1:29">
      <c r="L175" s="25"/>
      <c r="M175" s="2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AA175" s="25"/>
    </row>
    <row r="176" spans="1:29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411"/>
      <c r="R176" s="411"/>
      <c r="S176" s="411"/>
      <c r="T176" s="411"/>
      <c r="U176" s="411"/>
      <c r="V176" s="411"/>
      <c r="W176" s="411"/>
      <c r="AA176" s="15"/>
    </row>
    <row r="177" spans="1:27">
      <c r="A177" t="s">
        <v>13</v>
      </c>
      <c r="G177" s="216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AA177" s="15"/>
    </row>
    <row r="178" spans="1:27">
      <c r="A178" t="s">
        <v>464</v>
      </c>
      <c r="G178" s="13"/>
      <c r="H178" s="13"/>
      <c r="I178" s="13"/>
      <c r="J178" s="13"/>
      <c r="K178" s="13"/>
      <c r="L178" s="13"/>
      <c r="M178" s="13"/>
      <c r="N178" s="13"/>
      <c r="O178" s="13"/>
      <c r="AA178" s="13"/>
    </row>
    <row r="179" spans="1:27">
      <c r="AA179" s="23"/>
    </row>
    <row r="180" spans="1:27">
      <c r="AA180" s="23"/>
    </row>
    <row r="189" spans="1:27">
      <c r="AA189" s="23"/>
    </row>
  </sheetData>
  <autoFilter ref="A7:Y174" xr:uid="{58C69D28-87E3-445F-89CF-C3F304F54B9A}"/>
  <sortState xmlns:xlrd2="http://schemas.microsoft.com/office/spreadsheetml/2017/richdata2" ref="A69:X162">
    <sortCondition ref="X68"/>
  </sortState>
  <conditionalFormatting sqref="B1:B1048576">
    <cfRule type="containsText" dxfId="9" priority="13" operator="containsText" text="check">
      <formula>NOT(ISERROR(SEARCH("check",B1)))</formula>
    </cfRule>
  </conditionalFormatting>
  <conditionalFormatting sqref="B9:W159 B165:B168">
    <cfRule type="cellIs" dxfId="8" priority="4" operator="equal">
      <formula>"CHECK"</formula>
    </cfRule>
  </conditionalFormatting>
  <conditionalFormatting sqref="T165:W168">
    <cfRule type="cellIs" dxfId="7" priority="1" operator="equal">
      <formula>"CHECK"</formula>
    </cfRule>
  </conditionalFormatting>
  <dataValidations count="2">
    <dataValidation type="list" allowBlank="1" showInputMessage="1" showErrorMessage="1" sqref="A3" xr:uid="{DB5F5E39-FE89-471C-86A7-13DA06D0DE75}">
      <formula1>"Reporting Date: Quarter Ended March 31,Reporting Date: Quarter Ended June 30,Reporting Date: Quarter Ended September 30,Reporting Date: Quarter Ended December 31"</formula1>
    </dataValidation>
    <dataValidation type="list" allowBlank="1" showInputMessage="1" showErrorMessage="1" sqref="A2" xr:uid="{61C151F2-1073-4284-8E37-DF15FF566C8A}">
      <formula1>"Annual Period 2020,Annual Period 2021,Annual Period 2022,Annual Period 2023,Annual Period 2024, Annual Period 2025, Annual Period 2026"</formula1>
    </dataValidation>
  </dataValidations>
  <pageMargins left="0.7" right="0.7" top="0.75" bottom="0.75" header="0.3" footer="0.3"/>
  <pageSetup paperSize="5" scale="92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86F18-8C03-46B1-A3A4-34B73037874F}">
  <sheetPr codeName="Sheet7">
    <pageSetUpPr autoPageBreaks="0"/>
  </sheetPr>
  <dimension ref="A1:AD208"/>
  <sheetViews>
    <sheetView zoomScaleNormal="100" workbookViewId="0"/>
  </sheetViews>
  <sheetFormatPr defaultColWidth="8.85546875" defaultRowHeight="15"/>
  <cols>
    <col min="1" max="1" width="61.5703125" customWidth="1"/>
    <col min="2" max="2" width="39.42578125" bestFit="1" customWidth="1"/>
    <col min="3" max="3" width="38.42578125" customWidth="1"/>
    <col min="4" max="4" width="14.85546875" bestFit="1" customWidth="1"/>
    <col min="5" max="5" width="23" bestFit="1" customWidth="1"/>
    <col min="6" max="6" width="15.85546875" bestFit="1" customWidth="1"/>
    <col min="7" max="7" width="15.42578125" bestFit="1" customWidth="1"/>
    <col min="8" max="8" width="14.42578125" bestFit="1" customWidth="1"/>
    <col min="9" max="10" width="14.42578125" customWidth="1"/>
    <col min="11" max="11" width="23.42578125" style="12" customWidth="1"/>
    <col min="12" max="12" width="17.42578125" style="308" customWidth="1"/>
    <col min="13" max="13" width="10.42578125" customWidth="1"/>
    <col min="14" max="14" width="15" bestFit="1" customWidth="1"/>
    <col min="15" max="15" width="26.140625" bestFit="1" customWidth="1"/>
    <col min="16" max="16" width="14.140625" bestFit="1" customWidth="1"/>
    <col min="17" max="17" width="13.5703125" bestFit="1" customWidth="1"/>
    <col min="18" max="18" width="12.140625" bestFit="1" customWidth="1"/>
    <col min="19" max="19" width="14" customWidth="1"/>
    <col min="20" max="20" width="8.5703125" customWidth="1"/>
    <col min="21" max="21" width="14" customWidth="1"/>
    <col min="22" max="22" width="24" bestFit="1" customWidth="1"/>
    <col min="23" max="23" width="14" customWidth="1"/>
    <col min="24" max="24" width="7.5703125" bestFit="1" customWidth="1"/>
    <col min="25" max="25" width="1.42578125" customWidth="1"/>
    <col min="26" max="26" width="11.5703125" bestFit="1" customWidth="1"/>
    <col min="27" max="27" width="5.85546875" bestFit="1" customWidth="1"/>
    <col min="28" max="28" width="1.42578125" customWidth="1"/>
    <col min="29" max="29" width="11.5703125" bestFit="1" customWidth="1"/>
    <col min="30" max="30" width="5.85546875" bestFit="1" customWidth="1"/>
    <col min="31" max="32" width="9.140625" customWidth="1"/>
  </cols>
  <sheetData>
    <row r="1" spans="1:29" ht="18.75">
      <c r="A1" s="785" t="s">
        <v>646</v>
      </c>
      <c r="B1" s="784"/>
      <c r="C1" s="784"/>
      <c r="D1" s="784"/>
      <c r="E1" s="784"/>
      <c r="F1" s="784"/>
      <c r="G1" s="784"/>
      <c r="H1" s="784"/>
      <c r="I1" s="784"/>
      <c r="J1" s="784"/>
      <c r="K1" s="784"/>
      <c r="L1" s="784"/>
      <c r="M1" s="784"/>
      <c r="N1" s="784"/>
      <c r="O1" s="784"/>
      <c r="P1" s="784"/>
    </row>
    <row r="2" spans="1:29" ht="18.75">
      <c r="A2" s="785" t="s">
        <v>472</v>
      </c>
      <c r="B2" s="17"/>
    </row>
    <row r="3" spans="1:29" ht="18.75">
      <c r="A3" s="785" t="s">
        <v>593</v>
      </c>
      <c r="B3" s="17"/>
    </row>
    <row r="4" spans="1:29" ht="18.75">
      <c r="A4" s="785" t="s">
        <v>594</v>
      </c>
      <c r="B4" s="17"/>
    </row>
    <row r="5" spans="1:29">
      <c r="A5" s="18" t="s">
        <v>88</v>
      </c>
      <c r="B5" s="21">
        <f>D85</f>
        <v>4829143.5558054121</v>
      </c>
    </row>
    <row r="6" spans="1:29">
      <c r="A6" s="18" t="s">
        <v>89</v>
      </c>
      <c r="B6" s="386" t="str">
        <f>Summary!I2</f>
        <v>8/1/2026</v>
      </c>
    </row>
    <row r="7" spans="1:29" ht="32.25" customHeight="1">
      <c r="A7" s="836" t="s">
        <v>90</v>
      </c>
      <c r="B7" s="837"/>
      <c r="C7" s="837"/>
      <c r="D7" s="837"/>
      <c r="E7" s="837"/>
      <c r="F7" s="837"/>
      <c r="G7" s="837"/>
      <c r="H7" s="837"/>
      <c r="I7" s="837"/>
      <c r="J7" s="837"/>
      <c r="K7" s="837"/>
      <c r="L7" s="838"/>
      <c r="N7" s="832" t="s">
        <v>154</v>
      </c>
      <c r="O7" s="832"/>
      <c r="P7" s="832"/>
      <c r="Q7" s="832"/>
      <c r="R7" s="832"/>
      <c r="S7" s="832"/>
    </row>
    <row r="8" spans="1:29" ht="72" customHeight="1">
      <c r="A8" s="372" t="s">
        <v>0</v>
      </c>
      <c r="B8" s="150" t="s">
        <v>91</v>
      </c>
      <c r="C8" s="151" t="s">
        <v>4</v>
      </c>
      <c r="D8" s="151" t="s">
        <v>119</v>
      </c>
      <c r="E8" s="151" t="s">
        <v>1</v>
      </c>
      <c r="F8" s="833" t="s">
        <v>477</v>
      </c>
      <c r="G8" s="833"/>
      <c r="H8" s="833"/>
      <c r="I8" s="833"/>
      <c r="J8" s="465"/>
      <c r="K8" s="151" t="s">
        <v>92</v>
      </c>
      <c r="L8" s="483"/>
      <c r="N8" s="19"/>
      <c r="O8" s="31">
        <v>2026</v>
      </c>
      <c r="P8" s="31">
        <v>2027</v>
      </c>
      <c r="Q8" s="31">
        <v>2028</v>
      </c>
      <c r="R8" s="31">
        <v>2029</v>
      </c>
      <c r="S8" s="31">
        <v>2030</v>
      </c>
    </row>
    <row r="9" spans="1:29">
      <c r="A9" s="372" t="s">
        <v>2</v>
      </c>
      <c r="B9" s="19"/>
      <c r="C9" s="19"/>
      <c r="D9" s="446" t="str">
        <f>B6</f>
        <v>8/1/2026</v>
      </c>
      <c r="E9" s="150"/>
      <c r="F9" s="150">
        <v>2026</v>
      </c>
      <c r="G9" s="150">
        <v>2027</v>
      </c>
      <c r="H9" s="150">
        <v>2028</v>
      </c>
      <c r="I9" s="150">
        <v>2029</v>
      </c>
      <c r="J9" s="150">
        <v>2030</v>
      </c>
      <c r="K9" s="447"/>
      <c r="L9" s="484"/>
      <c r="M9" s="75"/>
      <c r="N9" s="75" t="s">
        <v>3</v>
      </c>
      <c r="O9" s="74">
        <f t="shared" ref="O9:O22" si="0">SUMIF($E$10:$E$84,$N9,F$10:F$84)</f>
        <v>585580.40111567883</v>
      </c>
      <c r="P9" s="74">
        <f t="shared" ref="P9:P22" si="1">SUMIF($E$10:$E$84,$N9,G$10:G$84)</f>
        <v>593961.70534753893</v>
      </c>
      <c r="Q9" s="74">
        <f t="shared" ref="Q9:Q22" si="2">SUMIF($E$10:$E$84,$N9,H$10:H$84)</f>
        <v>593914.30501875887</v>
      </c>
      <c r="R9" s="74">
        <f t="shared" ref="R9:R22" si="3">SUMIF($E$10:$E$84,$N9,I$10:I$84)</f>
        <v>593857.01988567889</v>
      </c>
      <c r="S9" s="74">
        <f t="shared" ref="S9:S22" si="4">SUMIF($E$10:$E$84,$N9,J$10:J$84)</f>
        <v>593857.01988567889</v>
      </c>
    </row>
    <row r="10" spans="1:29">
      <c r="A10" t="s">
        <v>93</v>
      </c>
      <c r="C10" s="23" t="str">
        <f>'Authorized Rev Req'!B9</f>
        <v>D.25-12-043, D.24-12-074, AL 4743-E</v>
      </c>
      <c r="D10" s="23">
        <f>F10</f>
        <v>2110024.0674999999</v>
      </c>
      <c r="E10" t="str">
        <f>'Authorized Rev Req'!X9</f>
        <v>Distribution</v>
      </c>
      <c r="F10" s="415">
        <f>'Authorized Rev Req'!W9</f>
        <v>2110024.0674999999</v>
      </c>
      <c r="G10" s="415">
        <v>2206400.7721000002</v>
      </c>
      <c r="H10" s="415">
        <f>G10</f>
        <v>2206400.7721000002</v>
      </c>
      <c r="I10" s="415">
        <f>H10</f>
        <v>2206400.7721000002</v>
      </c>
      <c r="J10" s="415">
        <f>I10</f>
        <v>2206400.7721000002</v>
      </c>
      <c r="K10" s="12" t="s">
        <v>94</v>
      </c>
      <c r="L10" s="387"/>
      <c r="M10" s="387"/>
      <c r="N10" s="75" t="s">
        <v>372</v>
      </c>
      <c r="O10" s="74">
        <f t="shared" si="0"/>
        <v>313.03090980522069</v>
      </c>
      <c r="P10" s="74">
        <f t="shared" si="1"/>
        <v>313.03090980522069</v>
      </c>
      <c r="Q10" s="74">
        <f t="shared" si="2"/>
        <v>313.03090980522069</v>
      </c>
      <c r="R10" s="74">
        <f t="shared" si="3"/>
        <v>313.03090980522069</v>
      </c>
      <c r="S10" s="74">
        <f t="shared" si="4"/>
        <v>313.03090980522069</v>
      </c>
      <c r="T10" s="25"/>
      <c r="AC10" s="25"/>
    </row>
    <row r="11" spans="1:29" ht="16.5" customHeight="1">
      <c r="A11" t="s">
        <v>93</v>
      </c>
      <c r="C11" s="23" t="str">
        <f>'Authorized Rev Req'!B10</f>
        <v>D.25-12-043, D.24-12-074, AL 4743-E</v>
      </c>
      <c r="D11" s="23">
        <f t="shared" ref="D11:D25" si="5">F11</f>
        <v>224821.89891000002</v>
      </c>
      <c r="E11" t="str">
        <f>'Authorized Rev Req'!X10</f>
        <v>Generation</v>
      </c>
      <c r="F11" s="415">
        <f>'Authorized Rev Req'!W10</f>
        <v>224821.89891000002</v>
      </c>
      <c r="G11" s="415">
        <v>233098.51768000002</v>
      </c>
      <c r="H11" s="415">
        <f t="shared" ref="G11:H22" si="6">G11</f>
        <v>233098.51768000002</v>
      </c>
      <c r="I11" s="415">
        <f t="shared" ref="I11:J81" si="7">H11</f>
        <v>233098.51768000002</v>
      </c>
      <c r="J11" s="415">
        <f t="shared" si="7"/>
        <v>233098.51768000002</v>
      </c>
      <c r="K11" s="12" t="s">
        <v>94</v>
      </c>
      <c r="L11" s="387"/>
      <c r="M11" s="387"/>
      <c r="N11" s="75" t="s">
        <v>59</v>
      </c>
      <c r="O11" s="74">
        <f t="shared" si="0"/>
        <v>171405.04534484091</v>
      </c>
      <c r="P11" s="74">
        <f t="shared" si="1"/>
        <v>171405.04534484091</v>
      </c>
      <c r="Q11" s="74">
        <f t="shared" si="2"/>
        <v>171405.04534484091</v>
      </c>
      <c r="R11" s="74">
        <f t="shared" si="3"/>
        <v>171405.04534484091</v>
      </c>
      <c r="S11" s="74">
        <f t="shared" si="4"/>
        <v>171405.04534484091</v>
      </c>
      <c r="T11" s="25"/>
    </row>
    <row r="12" spans="1:29">
      <c r="A12" t="s">
        <v>476</v>
      </c>
      <c r="C12" s="23" t="s">
        <v>596</v>
      </c>
      <c r="D12" s="23">
        <f>F12</f>
        <v>194105.69745544909</v>
      </c>
      <c r="E12" t="str">
        <f>'Authorized Rev Req'!X55</f>
        <v>Distribution</v>
      </c>
      <c r="F12" s="415">
        <f>'Authorized Rev Req'!W55</f>
        <v>194105.69745544909</v>
      </c>
      <c r="G12" s="415">
        <v>172801.18391571188</v>
      </c>
      <c r="H12" s="415">
        <v>177758.9619157119</v>
      </c>
      <c r="I12" s="415">
        <v>50347.99171827043</v>
      </c>
      <c r="J12" s="415"/>
      <c r="K12" s="12" t="s">
        <v>94</v>
      </c>
      <c r="M12" s="387"/>
      <c r="N12" s="75" t="s">
        <v>5</v>
      </c>
      <c r="O12" s="74">
        <f t="shared" si="0"/>
        <v>2480987.281511927</v>
      </c>
      <c r="P12" s="74">
        <f t="shared" si="1"/>
        <v>2521467.4966241918</v>
      </c>
      <c r="Q12" s="74">
        <f t="shared" si="2"/>
        <v>2524770.1584656271</v>
      </c>
      <c r="R12" s="74">
        <f t="shared" si="3"/>
        <v>2384696.4439832885</v>
      </c>
      <c r="S12" s="74">
        <f t="shared" si="4"/>
        <v>2334325.4627643544</v>
      </c>
      <c r="T12" s="25"/>
    </row>
    <row r="13" spans="1:29">
      <c r="A13" t="s">
        <v>366</v>
      </c>
      <c r="C13" s="23" t="str">
        <f>'Authorized Rev Req'!B18</f>
        <v>D.25-12-008</v>
      </c>
      <c r="D13" s="23">
        <f t="shared" si="5"/>
        <v>398611.61778033664</v>
      </c>
      <c r="E13" t="str">
        <f>'Authorized Rev Req'!X18</f>
        <v>Generation</v>
      </c>
      <c r="F13" s="415">
        <f>'Authorized Rev Req'!W18</f>
        <v>398611.61778033664</v>
      </c>
      <c r="G13" s="415">
        <f t="shared" si="6"/>
        <v>398611.61778033664</v>
      </c>
      <c r="H13" s="415">
        <f t="shared" si="6"/>
        <v>398611.61778033664</v>
      </c>
      <c r="I13" s="415">
        <f t="shared" si="7"/>
        <v>398611.61778033664</v>
      </c>
      <c r="J13" s="415">
        <f t="shared" si="7"/>
        <v>398611.61778033664</v>
      </c>
      <c r="K13" s="12" t="s">
        <v>94</v>
      </c>
      <c r="L13" s="387"/>
      <c r="M13" s="387"/>
      <c r="N13" s="75" t="s">
        <v>98</v>
      </c>
      <c r="O13" s="74">
        <f t="shared" si="0"/>
        <v>-149108.549279297</v>
      </c>
      <c r="P13" s="74">
        <f t="shared" si="1"/>
        <v>-149108.549279297</v>
      </c>
      <c r="Q13" s="74">
        <f t="shared" si="2"/>
        <v>-149108.549279297</v>
      </c>
      <c r="R13" s="74">
        <f t="shared" si="3"/>
        <v>-149108.549279297</v>
      </c>
      <c r="S13" s="74">
        <f t="shared" si="4"/>
        <v>-149108.549279297</v>
      </c>
      <c r="T13" s="25"/>
    </row>
    <row r="14" spans="1:29">
      <c r="A14" t="s">
        <v>14</v>
      </c>
      <c r="C14" s="23" t="str">
        <f>'Authorized Rev Req'!B41</f>
        <v>D.25-12-008</v>
      </c>
      <c r="D14" s="23">
        <f t="shared" si="5"/>
        <v>556.89772626709453</v>
      </c>
      <c r="E14" t="str">
        <f>'Authorized Rev Req'!X41</f>
        <v>CTC</v>
      </c>
      <c r="F14" s="415">
        <f>'Authorized Rev Req'!W41</f>
        <v>556.89772626709453</v>
      </c>
      <c r="G14" s="415">
        <f t="shared" si="6"/>
        <v>556.89772626709453</v>
      </c>
      <c r="H14" s="415">
        <f t="shared" si="6"/>
        <v>556.89772626709453</v>
      </c>
      <c r="I14" s="415">
        <f t="shared" si="7"/>
        <v>556.89772626709453</v>
      </c>
      <c r="J14" s="415">
        <f t="shared" si="7"/>
        <v>556.89772626709453</v>
      </c>
      <c r="K14" s="12" t="s">
        <v>94</v>
      </c>
      <c r="L14" s="387"/>
      <c r="M14" s="387"/>
      <c r="N14" s="75" t="s">
        <v>14</v>
      </c>
      <c r="O14" s="74">
        <f t="shared" si="0"/>
        <v>-1314.4084937329058</v>
      </c>
      <c r="P14" s="74">
        <f t="shared" si="1"/>
        <v>-1314.4084937329058</v>
      </c>
      <c r="Q14" s="74">
        <f t="shared" si="2"/>
        <v>-1314.4084937329058</v>
      </c>
      <c r="R14" s="74">
        <f t="shared" si="3"/>
        <v>-1314.4084937329058</v>
      </c>
      <c r="S14" s="74">
        <f t="shared" si="4"/>
        <v>-1314.4084937329058</v>
      </c>
      <c r="T14" s="25"/>
    </row>
    <row r="15" spans="1:29">
      <c r="A15" t="s">
        <v>59</v>
      </c>
      <c r="C15" s="23" t="str">
        <f>'Authorized Rev Req'!B43</f>
        <v>D.25-12-008</v>
      </c>
      <c r="D15" s="23">
        <f t="shared" si="5"/>
        <v>251070.6757248409</v>
      </c>
      <c r="E15" t="str">
        <f>'Authorized Rev Req'!X43</f>
        <v>LGC</v>
      </c>
      <c r="F15" s="415">
        <f>'Authorized Rev Req'!W43</f>
        <v>251070.6757248409</v>
      </c>
      <c r="G15" s="415">
        <f t="shared" si="6"/>
        <v>251070.6757248409</v>
      </c>
      <c r="H15" s="415">
        <f t="shared" si="6"/>
        <v>251070.6757248409</v>
      </c>
      <c r="I15" s="415">
        <f t="shared" si="7"/>
        <v>251070.6757248409</v>
      </c>
      <c r="J15" s="415">
        <f t="shared" si="7"/>
        <v>251070.6757248409</v>
      </c>
      <c r="K15" s="12" t="s">
        <v>94</v>
      </c>
      <c r="L15" s="387"/>
      <c r="M15" s="387"/>
      <c r="N15" s="75" t="s">
        <v>80</v>
      </c>
      <c r="O15" s="74">
        <f t="shared" si="0"/>
        <v>-64.002330000000001</v>
      </c>
      <c r="P15" s="74">
        <f t="shared" si="1"/>
        <v>-64.002330000000001</v>
      </c>
      <c r="Q15" s="74">
        <f t="shared" si="2"/>
        <v>-64.002330000000001</v>
      </c>
      <c r="R15" s="74">
        <f t="shared" si="3"/>
        <v>-64.002330000000001</v>
      </c>
      <c r="S15" s="74">
        <f t="shared" si="4"/>
        <v>-64.002330000000001</v>
      </c>
      <c r="T15" s="25"/>
    </row>
    <row r="16" spans="1:29">
      <c r="A16" t="s">
        <v>95</v>
      </c>
      <c r="C16" s="25" t="str">
        <f>'Authorized Rev Req'!B45</f>
        <v>N/A</v>
      </c>
      <c r="D16" s="23">
        <f t="shared" si="5"/>
        <v>0</v>
      </c>
      <c r="E16" t="str">
        <f>'Authorized Rev Req'!X45</f>
        <v>ND</v>
      </c>
      <c r="F16" s="737">
        <f>'Authorized Rev Req'!W45</f>
        <v>0</v>
      </c>
      <c r="G16" s="415">
        <f t="shared" si="6"/>
        <v>0</v>
      </c>
      <c r="H16" s="415">
        <f t="shared" si="6"/>
        <v>0</v>
      </c>
      <c r="I16" s="415">
        <f t="shared" si="7"/>
        <v>0</v>
      </c>
      <c r="J16" s="415">
        <f t="shared" si="7"/>
        <v>0</v>
      </c>
      <c r="K16" s="12" t="s">
        <v>94</v>
      </c>
      <c r="L16" s="485"/>
      <c r="M16" s="387"/>
      <c r="N16" s="76" t="s">
        <v>99</v>
      </c>
      <c r="O16" s="74">
        <f t="shared" si="0"/>
        <v>336142.18880842155</v>
      </c>
      <c r="P16" s="74">
        <f t="shared" si="1"/>
        <v>341152.22520391247</v>
      </c>
      <c r="Q16" s="74">
        <f t="shared" si="2"/>
        <v>313439.59083141247</v>
      </c>
      <c r="R16" s="74">
        <f t="shared" si="3"/>
        <v>313439.59083141247</v>
      </c>
      <c r="S16" s="74">
        <f t="shared" si="4"/>
        <v>313439.59083141247</v>
      </c>
      <c r="T16" s="25"/>
    </row>
    <row r="17" spans="1:28">
      <c r="A17" t="s">
        <v>96</v>
      </c>
      <c r="C17" s="25" t="str">
        <f>'Authorized Rev Req'!B38</f>
        <v>D.25-09-030, AL 4737-E, 4758-E</v>
      </c>
      <c r="D17" s="23">
        <f t="shared" si="5"/>
        <v>1420.24218</v>
      </c>
      <c r="E17" t="str">
        <f>'Authorized Rev Req'!X38</f>
        <v>Generation</v>
      </c>
      <c r="F17" s="415">
        <f>'Authorized Rev Req'!W38</f>
        <v>1420.24218</v>
      </c>
      <c r="G17" s="415">
        <f t="shared" si="6"/>
        <v>1420.24218</v>
      </c>
      <c r="H17" s="415">
        <f t="shared" si="6"/>
        <v>1420.24218</v>
      </c>
      <c r="I17" s="415">
        <f t="shared" si="7"/>
        <v>1420.24218</v>
      </c>
      <c r="J17" s="415">
        <f t="shared" si="7"/>
        <v>1420.24218</v>
      </c>
      <c r="K17" s="12" t="s">
        <v>94</v>
      </c>
      <c r="L17" s="387"/>
      <c r="M17" s="387"/>
      <c r="N17" s="75" t="s">
        <v>97</v>
      </c>
      <c r="O17" s="74">
        <f t="shared" si="0"/>
        <v>0</v>
      </c>
      <c r="P17" s="74">
        <f t="shared" si="1"/>
        <v>0</v>
      </c>
      <c r="Q17" s="74">
        <f t="shared" si="2"/>
        <v>0</v>
      </c>
      <c r="R17" s="74">
        <f t="shared" si="3"/>
        <v>0</v>
      </c>
      <c r="S17" s="74">
        <f t="shared" si="4"/>
        <v>0</v>
      </c>
      <c r="T17" s="25"/>
    </row>
    <row r="18" spans="1:28">
      <c r="A18" t="s">
        <v>221</v>
      </c>
      <c r="C18" s="25" t="str">
        <f>'Authorized Rev Req'!B48</f>
        <v>D.25-12-006</v>
      </c>
      <c r="D18" s="23">
        <f t="shared" si="5"/>
        <v>88541.557594423401</v>
      </c>
      <c r="E18" t="str">
        <f>'Authorized Rev Req'!X48</f>
        <v>Wildfire Fund NBC</v>
      </c>
      <c r="F18" s="737">
        <f>'Authorized Rev Req'!W48</f>
        <v>88541.557594423401</v>
      </c>
      <c r="G18" s="737">
        <f t="shared" si="6"/>
        <v>88541.557594423401</v>
      </c>
      <c r="H18" s="415">
        <f t="shared" si="6"/>
        <v>88541.557594423401</v>
      </c>
      <c r="I18" s="415">
        <f t="shared" si="7"/>
        <v>88541.557594423401</v>
      </c>
      <c r="J18" s="415">
        <f t="shared" si="7"/>
        <v>88541.557594423401</v>
      </c>
      <c r="K18" s="12" t="s">
        <v>94</v>
      </c>
      <c r="L18" s="485"/>
      <c r="M18" s="387"/>
      <c r="N18" s="75" t="s">
        <v>251</v>
      </c>
      <c r="O18" s="74">
        <f t="shared" si="0"/>
        <v>331222.97448064573</v>
      </c>
      <c r="P18" s="74">
        <f t="shared" si="1"/>
        <v>331222.97448064573</v>
      </c>
      <c r="Q18" s="74">
        <f t="shared" si="2"/>
        <v>331222.97448064573</v>
      </c>
      <c r="R18" s="74">
        <f t="shared" si="3"/>
        <v>331222.97448064573</v>
      </c>
      <c r="S18" s="74">
        <f t="shared" si="4"/>
        <v>331222.97448064573</v>
      </c>
      <c r="T18" s="25"/>
    </row>
    <row r="19" spans="1:28">
      <c r="A19" t="s">
        <v>319</v>
      </c>
      <c r="C19" s="25" t="str">
        <f>'Authorized Rev Req'!B21</f>
        <v>D.25-09-030, D.25-12-043, D.25-12-008, AL 4757-E</v>
      </c>
      <c r="D19" s="23">
        <f t="shared" si="5"/>
        <v>-107259.80250843288</v>
      </c>
      <c r="E19" t="str">
        <f>'Authorized Rev Req'!X21</f>
        <v>Generation</v>
      </c>
      <c r="F19" s="737">
        <f>'Authorized Rev Req'!W21</f>
        <v>-107259.80250843288</v>
      </c>
      <c r="G19" s="415">
        <f t="shared" si="6"/>
        <v>-107259.80250843288</v>
      </c>
      <c r="H19" s="415">
        <f t="shared" si="6"/>
        <v>-107259.80250843288</v>
      </c>
      <c r="I19" s="415">
        <f t="shared" si="7"/>
        <v>-107259.80250843288</v>
      </c>
      <c r="J19" s="415">
        <f t="shared" si="7"/>
        <v>-107259.80250843288</v>
      </c>
      <c r="K19" s="12" t="s">
        <v>94</v>
      </c>
      <c r="L19" s="485"/>
      <c r="M19" s="387"/>
      <c r="N19" s="75" t="s">
        <v>10</v>
      </c>
      <c r="O19" s="74">
        <f t="shared" si="0"/>
        <v>984590.0567607712</v>
      </c>
      <c r="P19" s="74">
        <f t="shared" si="1"/>
        <v>984590.0567607712</v>
      </c>
      <c r="Q19" s="74">
        <f t="shared" si="2"/>
        <v>984590.0567607712</v>
      </c>
      <c r="R19" s="74">
        <f t="shared" si="3"/>
        <v>984590.0567607712</v>
      </c>
      <c r="S19" s="74">
        <f t="shared" si="4"/>
        <v>984590.0567607712</v>
      </c>
      <c r="T19" s="25"/>
    </row>
    <row r="20" spans="1:28">
      <c r="A20" t="s">
        <v>322</v>
      </c>
      <c r="C20" s="25" t="str">
        <f>'Authorized Rev Req'!B26</f>
        <v>A.25-05-012, A.25-03-013, D.25-09-030, AL 4758-E</v>
      </c>
      <c r="D20" s="23">
        <f t="shared" si="5"/>
        <v>126235.72528989689</v>
      </c>
      <c r="E20" t="str">
        <f>'Authorized Rev Req'!X26</f>
        <v>PCIA</v>
      </c>
      <c r="F20" s="737">
        <f>'Authorized Rev Req'!W26</f>
        <v>126235.72528989689</v>
      </c>
      <c r="G20" s="415">
        <f t="shared" si="6"/>
        <v>126235.72528989689</v>
      </c>
      <c r="H20" s="415">
        <f t="shared" si="6"/>
        <v>126235.72528989689</v>
      </c>
      <c r="I20" s="415">
        <f t="shared" si="7"/>
        <v>126235.72528989689</v>
      </c>
      <c r="J20" s="415">
        <f t="shared" si="7"/>
        <v>126235.72528989689</v>
      </c>
      <c r="K20" s="12" t="s">
        <v>94</v>
      </c>
      <c r="L20" s="485"/>
      <c r="M20" s="387"/>
      <c r="N20" s="75" t="s">
        <v>87</v>
      </c>
      <c r="O20" s="74">
        <f t="shared" si="0"/>
        <v>847.9793819286399</v>
      </c>
      <c r="P20" s="74">
        <f t="shared" si="1"/>
        <v>847.9793819286399</v>
      </c>
      <c r="Q20" s="74">
        <f t="shared" si="2"/>
        <v>847.9793819286399</v>
      </c>
      <c r="R20" s="74">
        <f t="shared" si="3"/>
        <v>847.9793819286399</v>
      </c>
      <c r="S20" s="74">
        <f t="shared" si="4"/>
        <v>847.9793819286399</v>
      </c>
      <c r="T20" s="25"/>
    </row>
    <row r="21" spans="1:28">
      <c r="A21" t="s">
        <v>372</v>
      </c>
      <c r="C21" s="25" t="str">
        <f>'Authorized Rev Req'!B54</f>
        <v>D.25-12-008</v>
      </c>
      <c r="D21" s="23">
        <f t="shared" si="5"/>
        <v>313.03090980522069</v>
      </c>
      <c r="E21" t="str">
        <f>'Authorized Rev Req'!X54</f>
        <v>MCAM</v>
      </c>
      <c r="F21" s="737">
        <f>'Authorized Rev Req'!W54</f>
        <v>313.03090980522069</v>
      </c>
      <c r="G21" s="415">
        <f t="shared" si="6"/>
        <v>313.03090980522069</v>
      </c>
      <c r="H21" s="415">
        <f t="shared" si="6"/>
        <v>313.03090980522069</v>
      </c>
      <c r="I21" s="415">
        <f t="shared" si="7"/>
        <v>313.03090980522069</v>
      </c>
      <c r="J21" s="415">
        <f t="shared" si="7"/>
        <v>313.03090980522069</v>
      </c>
      <c r="K21" s="12" t="s">
        <v>94</v>
      </c>
      <c r="L21" s="485"/>
      <c r="M21" s="387"/>
      <c r="N21" s="75" t="s">
        <v>78</v>
      </c>
      <c r="O21" s="74">
        <f t="shared" si="0"/>
        <v>0</v>
      </c>
      <c r="P21" s="74">
        <f t="shared" si="1"/>
        <v>0</v>
      </c>
      <c r="Q21" s="74">
        <f t="shared" si="2"/>
        <v>0</v>
      </c>
      <c r="R21" s="74">
        <f t="shared" si="3"/>
        <v>0</v>
      </c>
      <c r="S21" s="74">
        <f t="shared" si="4"/>
        <v>0</v>
      </c>
      <c r="T21" s="25"/>
    </row>
    <row r="22" spans="1:28">
      <c r="A22" t="s">
        <v>409</v>
      </c>
      <c r="C22" s="25" t="str">
        <f>'Authorized Rev Req'!B30</f>
        <v>A.25-05-015, AL 4758-E, Resolution E-5217</v>
      </c>
      <c r="D22" s="23">
        <f t="shared" si="5"/>
        <v>0</v>
      </c>
      <c r="E22" t="str">
        <f>'Authorized Rev Req'!X30</f>
        <v>PCIA</v>
      </c>
      <c r="F22" s="737">
        <f>'Authorized Rev Req'!W30</f>
        <v>0</v>
      </c>
      <c r="G22" s="415">
        <f t="shared" si="6"/>
        <v>0</v>
      </c>
      <c r="H22" s="415">
        <f t="shared" si="6"/>
        <v>0</v>
      </c>
      <c r="I22" s="415">
        <f t="shared" si="7"/>
        <v>0</v>
      </c>
      <c r="J22" s="415">
        <f t="shared" si="7"/>
        <v>0</v>
      </c>
      <c r="K22" s="12" t="s">
        <v>94</v>
      </c>
      <c r="L22" s="289"/>
      <c r="M22" s="387"/>
      <c r="N22" s="75" t="s">
        <v>221</v>
      </c>
      <c r="O22" s="74">
        <f t="shared" si="0"/>
        <v>88541.557594423401</v>
      </c>
      <c r="P22" s="74">
        <f t="shared" si="1"/>
        <v>88541.557594423401</v>
      </c>
      <c r="Q22" s="74">
        <f t="shared" si="2"/>
        <v>88541.557594423401</v>
      </c>
      <c r="R22" s="74">
        <f t="shared" si="3"/>
        <v>88541.557594423401</v>
      </c>
      <c r="S22" s="74">
        <f t="shared" si="4"/>
        <v>88541.557594423401</v>
      </c>
      <c r="T22" s="25"/>
    </row>
    <row r="23" spans="1:28">
      <c r="A23" t="s">
        <v>27</v>
      </c>
      <c r="C23" s="25" t="str">
        <f>'Authorized Rev Req'!B32</f>
        <v>D.24-06-003</v>
      </c>
      <c r="D23" s="23">
        <f t="shared" si="5"/>
        <v>36596.138794175</v>
      </c>
      <c r="E23" s="33" t="str">
        <f>'Authorized Rev Req'!X32</f>
        <v>Distribution</v>
      </c>
      <c r="F23" s="737">
        <f>'Authorized Rev Req'!W32</f>
        <v>36596.138794175</v>
      </c>
      <c r="G23" s="415"/>
      <c r="H23" s="415"/>
      <c r="I23" s="415"/>
      <c r="J23" s="415"/>
      <c r="K23" s="12" t="s">
        <v>94</v>
      </c>
      <c r="L23" s="310"/>
      <c r="M23" s="387"/>
      <c r="N23" t="s">
        <v>112</v>
      </c>
      <c r="O23" s="12">
        <f>SUM(O9:O22)</f>
        <v>4829143.5558054121</v>
      </c>
      <c r="P23" s="12">
        <f>SUM(P9:P22)</f>
        <v>4883015.1115450272</v>
      </c>
      <c r="Q23" s="12">
        <f>SUM(Q9:Q22)</f>
        <v>4858557.7386851832</v>
      </c>
      <c r="R23" s="12">
        <f>SUM(R9:R22)</f>
        <v>4718426.7390697645</v>
      </c>
      <c r="S23" s="12">
        <f>SUM(S9:S22)</f>
        <v>4668055.7578508304</v>
      </c>
      <c r="T23" s="25"/>
      <c r="V23" s="12"/>
      <c r="W23" s="12"/>
      <c r="X23" s="12"/>
      <c r="Y23" s="12"/>
      <c r="Z23" s="12"/>
      <c r="AA23" s="12"/>
      <c r="AB23" s="12"/>
    </row>
    <row r="24" spans="1:28">
      <c r="A24" t="s">
        <v>332</v>
      </c>
      <c r="C24" s="25" t="str">
        <f>'Authorized Rev Req'!B56</f>
        <v>D.24-07-013</v>
      </c>
      <c r="D24" s="23">
        <f t="shared" si="5"/>
        <v>619.72225000000003</v>
      </c>
      <c r="E24" t="str">
        <f>'Authorized Rev Req'!X56</f>
        <v>Distribution</v>
      </c>
      <c r="F24" s="737">
        <f>'Authorized Rev Req'!W56</f>
        <v>619.72225000000003</v>
      </c>
      <c r="G24" s="737">
        <v>605.14054999999996</v>
      </c>
      <c r="H24" s="409"/>
      <c r="I24" s="415"/>
      <c r="J24" s="415"/>
      <c r="K24" s="12" t="s">
        <v>94</v>
      </c>
      <c r="L24" s="486"/>
      <c r="M24" s="387"/>
      <c r="N24" s="75" t="s">
        <v>245</v>
      </c>
      <c r="O24" s="222">
        <f>'SDG&amp;E INPUTS'!$S$14</f>
        <v>1E-3</v>
      </c>
      <c r="T24" s="25"/>
      <c r="U24" s="12"/>
      <c r="V24" s="12"/>
      <c r="W24" s="12"/>
      <c r="X24" s="12"/>
      <c r="Y24" s="12"/>
      <c r="Z24" s="12"/>
      <c r="AA24" s="12"/>
      <c r="AB24" s="12"/>
    </row>
    <row r="25" spans="1:28">
      <c r="A25" t="s">
        <v>458</v>
      </c>
      <c r="C25" s="183" t="str">
        <f>'Authorized Rev Req'!B57</f>
        <v>AL 4483-E/3325-G, AL 4757-E</v>
      </c>
      <c r="D25" s="23">
        <f t="shared" si="5"/>
        <v>-202.88650119643737</v>
      </c>
      <c r="E25" t="s">
        <v>5</v>
      </c>
      <c r="F25" s="737">
        <f>'Authorized Rev Req'!W57</f>
        <v>-202.88650119643737</v>
      </c>
      <c r="G25" s="737">
        <f>F25</f>
        <v>-202.88650119643737</v>
      </c>
      <c r="H25" s="737">
        <f>G25</f>
        <v>-202.88650119643737</v>
      </c>
      <c r="I25" s="737"/>
      <c r="J25" s="737"/>
      <c r="K25" s="12" t="s">
        <v>94</v>
      </c>
      <c r="L25" s="486"/>
      <c r="M25" s="387"/>
      <c r="N25" s="210"/>
      <c r="O25" s="211"/>
      <c r="P25" s="211"/>
      <c r="Q25" s="211"/>
      <c r="R25" s="211"/>
      <c r="S25" s="211"/>
      <c r="U25" s="26"/>
      <c r="V25" s="26"/>
      <c r="W25" s="26"/>
      <c r="X25" s="26"/>
      <c r="Y25" s="26"/>
      <c r="Z25" s="26"/>
      <c r="AA25" s="26"/>
      <c r="AB25" s="26"/>
    </row>
    <row r="26" spans="1:28">
      <c r="A26" t="s">
        <v>468</v>
      </c>
      <c r="C26" s="183" t="str">
        <f>'Authorized Rev Req'!B58</f>
        <v>D.25-09-006, AL 4757-E</v>
      </c>
      <c r="D26" s="23">
        <f>F26</f>
        <v>6151.3942999999999</v>
      </c>
      <c r="E26" t="s">
        <v>5</v>
      </c>
      <c r="F26" s="737">
        <f>'Authorized Rev Req'!W58</f>
        <v>6151.3942999999999</v>
      </c>
      <c r="G26" s="737"/>
      <c r="H26" s="737"/>
      <c r="I26" s="737"/>
      <c r="J26" s="737"/>
      <c r="K26" s="12" t="s">
        <v>94</v>
      </c>
      <c r="L26" s="310"/>
      <c r="M26" s="387"/>
      <c r="U26" s="23"/>
      <c r="V26" s="23"/>
      <c r="W26" s="23"/>
      <c r="X26" s="23"/>
      <c r="Y26" s="23"/>
      <c r="Z26" s="23"/>
      <c r="AA26" s="23"/>
      <c r="AB26" s="23"/>
    </row>
    <row r="27" spans="1:28">
      <c r="A27" t="s">
        <v>490</v>
      </c>
      <c r="C27" t="s">
        <v>454</v>
      </c>
      <c r="D27" s="23">
        <v>0</v>
      </c>
      <c r="E27" t="s">
        <v>5</v>
      </c>
      <c r="F27" s="737"/>
      <c r="G27" s="415">
        <v>744.70825000000002</v>
      </c>
      <c r="H27" s="737"/>
      <c r="I27" s="737"/>
      <c r="J27" s="737"/>
      <c r="K27" s="12" t="s">
        <v>94</v>
      </c>
      <c r="L27" s="310"/>
      <c r="M27" s="387"/>
      <c r="U27" s="23"/>
      <c r="V27" s="23"/>
      <c r="W27" s="23"/>
      <c r="X27" s="23"/>
      <c r="Y27" s="23"/>
      <c r="Z27" s="23"/>
      <c r="AA27" s="23"/>
      <c r="AB27" s="23"/>
    </row>
    <row r="28" spans="1:28">
      <c r="A28" t="s">
        <v>490</v>
      </c>
      <c r="C28" t="s">
        <v>454</v>
      </c>
      <c r="D28" s="23">
        <v>0</v>
      </c>
      <c r="E28" t="s">
        <v>3</v>
      </c>
      <c r="F28" s="737"/>
      <c r="G28" s="415">
        <v>50.795500000000004</v>
      </c>
      <c r="H28" s="737"/>
      <c r="I28" s="737"/>
      <c r="J28" s="737"/>
      <c r="K28" s="12" t="s">
        <v>94</v>
      </c>
      <c r="L28" s="310"/>
      <c r="M28" s="387"/>
      <c r="U28" s="23"/>
      <c r="V28" s="23"/>
      <c r="W28" s="23"/>
      <c r="X28" s="23"/>
      <c r="Y28" s="23"/>
      <c r="Z28" s="23"/>
      <c r="AA28" s="23"/>
      <c r="AB28" s="23"/>
    </row>
    <row r="29" spans="1:28">
      <c r="F29" s="409"/>
      <c r="G29" s="409"/>
      <c r="H29" s="409"/>
      <c r="I29" s="409"/>
      <c r="J29" s="409"/>
      <c r="M29" s="387"/>
      <c r="U29" s="23"/>
      <c r="V29" s="23"/>
      <c r="W29" s="23"/>
      <c r="X29" s="23"/>
      <c r="Y29" s="23"/>
      <c r="Z29" s="23"/>
      <c r="AA29" s="23"/>
      <c r="AB29" s="23"/>
    </row>
    <row r="30" spans="1:28">
      <c r="D30" s="415"/>
      <c r="F30" s="738"/>
      <c r="G30" s="415"/>
      <c r="H30" s="415"/>
      <c r="I30" s="415"/>
      <c r="J30" s="415"/>
      <c r="L30" s="310"/>
      <c r="M30" s="387"/>
      <c r="U30" s="23"/>
      <c r="V30" s="23"/>
      <c r="W30" s="23"/>
      <c r="X30" s="23"/>
      <c r="Y30" s="23"/>
      <c r="Z30" s="23"/>
      <c r="AA30" s="23"/>
      <c r="AB30" s="23"/>
    </row>
    <row r="31" spans="1:28">
      <c r="C31" s="25"/>
      <c r="D31" s="23"/>
      <c r="E31" s="302"/>
      <c r="F31" s="737"/>
      <c r="G31" s="415"/>
      <c r="H31" s="415"/>
      <c r="I31" s="415"/>
      <c r="J31" s="415"/>
      <c r="L31" s="485"/>
      <c r="M31" s="387"/>
      <c r="U31" s="23"/>
      <c r="V31" s="23"/>
      <c r="W31" s="23"/>
      <c r="X31" s="23"/>
      <c r="Y31" s="23"/>
      <c r="Z31" s="23"/>
      <c r="AA31" s="23"/>
      <c r="AB31" s="23"/>
    </row>
    <row r="32" spans="1:28">
      <c r="A32" s="18" t="s">
        <v>7</v>
      </c>
      <c r="B32" s="18"/>
      <c r="C32" s="181"/>
      <c r="D32" s="23"/>
      <c r="F32" s="738"/>
      <c r="G32" s="415"/>
      <c r="H32" s="415"/>
      <c r="I32" s="415"/>
      <c r="J32" s="415"/>
      <c r="L32" s="487"/>
      <c r="M32" s="387"/>
      <c r="U32" s="23"/>
      <c r="V32" s="23"/>
      <c r="W32" s="23"/>
      <c r="X32" s="23"/>
      <c r="Y32" s="23"/>
      <c r="Z32" s="23"/>
      <c r="AA32" s="23"/>
      <c r="AB32" s="23"/>
    </row>
    <row r="33" spans="1:28">
      <c r="A33" t="s">
        <v>98</v>
      </c>
      <c r="B33" s="18"/>
      <c r="C33" s="23" t="str">
        <f>'Authorized Rev Req'!B105</f>
        <v>D.25-12-008</v>
      </c>
      <c r="D33" s="23">
        <f t="shared" ref="D33:D56" si="8">F33</f>
        <v>-149108.549279297</v>
      </c>
      <c r="E33" t="str">
        <f>'Authorized Rev Req'!X104</f>
        <v>GHG Revenue</v>
      </c>
      <c r="F33" s="415">
        <f>'Authorized Rev Req'!W104+'Authorized Rev Req'!W105</f>
        <v>-149108.549279297</v>
      </c>
      <c r="G33" s="415">
        <f>F33</f>
        <v>-149108.549279297</v>
      </c>
      <c r="H33" s="415">
        <f>G33</f>
        <v>-149108.549279297</v>
      </c>
      <c r="I33" s="415">
        <f t="shared" si="7"/>
        <v>-149108.549279297</v>
      </c>
      <c r="J33" s="415">
        <f t="shared" si="7"/>
        <v>-149108.549279297</v>
      </c>
      <c r="K33" s="12" t="s">
        <v>94</v>
      </c>
      <c r="L33" s="387"/>
      <c r="M33" s="387"/>
      <c r="O33" s="383"/>
      <c r="U33" s="23"/>
      <c r="V33" s="23"/>
      <c r="W33" s="23"/>
      <c r="X33" s="23"/>
      <c r="Y33" s="23"/>
      <c r="Z33" s="23"/>
      <c r="AA33" s="23"/>
      <c r="AB33" s="23"/>
    </row>
    <row r="34" spans="1:28">
      <c r="A34" t="s">
        <v>100</v>
      </c>
      <c r="B34" s="18"/>
      <c r="C34" s="23" t="str">
        <f>'Authorized Rev Req'!B108</f>
        <v>AL 4717-E</v>
      </c>
      <c r="D34" s="23">
        <f t="shared" si="8"/>
        <v>47815.004000000001</v>
      </c>
      <c r="E34" t="str">
        <f>'Authorized Rev Req'!X108</f>
        <v>Public Purpose Program</v>
      </c>
      <c r="F34" s="415">
        <f>'Authorized Rev Req'!W108</f>
        <v>47815.004000000001</v>
      </c>
      <c r="G34" s="415">
        <v>46441.954515090962</v>
      </c>
      <c r="H34" s="415">
        <f>G34</f>
        <v>46441.954515090962</v>
      </c>
      <c r="I34" s="415">
        <f>H34</f>
        <v>46441.954515090962</v>
      </c>
      <c r="J34" s="415">
        <f>I34</f>
        <v>46441.954515090962</v>
      </c>
      <c r="K34" s="12" t="s">
        <v>94</v>
      </c>
      <c r="L34" s="488"/>
      <c r="M34" s="387"/>
      <c r="U34" s="23"/>
      <c r="V34" s="23"/>
      <c r="W34" s="23"/>
      <c r="X34" s="23"/>
      <c r="Y34" s="23"/>
      <c r="Z34" s="23"/>
      <c r="AA34" s="23"/>
      <c r="AB34" s="23"/>
    </row>
    <row r="35" spans="1:28">
      <c r="A35" t="s">
        <v>265</v>
      </c>
      <c r="C35" s="25" t="str">
        <f>'Authorized Rev Req'!B106</f>
        <v>AL 4717-E, AL 4757-E</v>
      </c>
      <c r="D35" s="23">
        <f t="shared" si="8"/>
        <v>193071.75790999999</v>
      </c>
      <c r="E35" t="str">
        <f>'Authorized Rev Req'!X106</f>
        <v>Public Purpose Program</v>
      </c>
      <c r="F35" s="737">
        <f>'Authorized Rev Req'!W106</f>
        <v>193071.75790999999</v>
      </c>
      <c r="G35" s="415">
        <f t="shared" ref="G35:H40" si="9">F35</f>
        <v>193071.75790999999</v>
      </c>
      <c r="H35" s="415">
        <f t="shared" si="9"/>
        <v>193071.75790999999</v>
      </c>
      <c r="I35" s="415">
        <f t="shared" si="7"/>
        <v>193071.75790999999</v>
      </c>
      <c r="J35" s="415">
        <f t="shared" si="7"/>
        <v>193071.75790999999</v>
      </c>
      <c r="K35" s="12" t="s">
        <v>94</v>
      </c>
      <c r="L35" s="387"/>
      <c r="M35" s="387"/>
      <c r="U35" s="23"/>
      <c r="V35" s="23"/>
      <c r="W35" s="23"/>
      <c r="X35" s="23"/>
      <c r="Y35" s="23"/>
      <c r="Z35" s="23"/>
      <c r="AA35" s="23"/>
      <c r="AB35" s="23"/>
    </row>
    <row r="36" spans="1:28">
      <c r="A36" t="s">
        <v>61</v>
      </c>
      <c r="B36" s="18"/>
      <c r="C36" s="23" t="str">
        <f>'Authorized Rev Req'!B107</f>
        <v>AL 4717-E</v>
      </c>
      <c r="D36" s="23">
        <f t="shared" si="8"/>
        <v>18190.332999999999</v>
      </c>
      <c r="E36" t="str">
        <f>'Authorized Rev Req'!X107</f>
        <v>Public Purpose Program</v>
      </c>
      <c r="F36" s="415">
        <f>'Authorized Rev Req'!W107</f>
        <v>18190.332999999999</v>
      </c>
      <c r="G36" s="415">
        <f>F36</f>
        <v>18190.332999999999</v>
      </c>
      <c r="H36" s="415">
        <f>G36</f>
        <v>18190.332999999999</v>
      </c>
      <c r="I36" s="415">
        <f>H36</f>
        <v>18190.332999999999</v>
      </c>
      <c r="J36" s="415">
        <f>I36</f>
        <v>18190.332999999999</v>
      </c>
      <c r="K36" s="12" t="s">
        <v>94</v>
      </c>
      <c r="L36" s="387"/>
      <c r="M36" s="387"/>
    </row>
    <row r="37" spans="1:28">
      <c r="A37" t="s">
        <v>102</v>
      </c>
      <c r="C37" s="25" t="str">
        <f>'Authorized Rev Req'!B109</f>
        <v>AL 4717-E</v>
      </c>
      <c r="D37" s="23">
        <f t="shared" si="8"/>
        <v>13024</v>
      </c>
      <c r="E37" t="str">
        <f>'Authorized Rev Req'!X109</f>
        <v>Public Purpose Program</v>
      </c>
      <c r="F37" s="737">
        <f>'Authorized Rev Req'!W109</f>
        <v>13024</v>
      </c>
      <c r="G37" s="415">
        <v>19536</v>
      </c>
      <c r="H37" s="415">
        <v>16280</v>
      </c>
      <c r="I37" s="415">
        <v>16280</v>
      </c>
      <c r="J37" s="415">
        <v>16280</v>
      </c>
      <c r="K37" s="12" t="s">
        <v>94</v>
      </c>
      <c r="L37" s="387"/>
      <c r="M37" s="387"/>
      <c r="N37" s="25"/>
      <c r="O37" s="25"/>
    </row>
    <row r="38" spans="1:28">
      <c r="A38" t="s">
        <v>63</v>
      </c>
      <c r="C38" s="25" t="str">
        <f>'Authorized Rev Req'!B110</f>
        <v>AL 4717-E, AL 4757-E</v>
      </c>
      <c r="D38" s="23">
        <f t="shared" si="8"/>
        <v>5723.9434700000002</v>
      </c>
      <c r="E38" t="str">
        <f>'Authorized Rev Req'!X110</f>
        <v>Public Purpose Program</v>
      </c>
      <c r="F38" s="737">
        <f>'Authorized Rev Req'!W110</f>
        <v>5723.9434700000002</v>
      </c>
      <c r="G38" s="415">
        <f t="shared" si="9"/>
        <v>5723.9434700000002</v>
      </c>
      <c r="H38" s="415">
        <f t="shared" si="9"/>
        <v>5723.9434700000002</v>
      </c>
      <c r="I38" s="415">
        <f t="shared" si="7"/>
        <v>5723.9434700000002</v>
      </c>
      <c r="J38" s="415">
        <f t="shared" si="7"/>
        <v>5723.9434700000002</v>
      </c>
      <c r="K38" s="12" t="s">
        <v>94</v>
      </c>
      <c r="L38" s="387"/>
      <c r="M38" s="387"/>
      <c r="U38" s="15"/>
      <c r="V38" s="15"/>
      <c r="W38" s="15"/>
    </row>
    <row r="39" spans="1:28">
      <c r="A39" s="13" t="s">
        <v>66</v>
      </c>
      <c r="C39" s="25" t="str">
        <f>'Authorized Rev Req'!B113</f>
        <v>AL 4717-E</v>
      </c>
      <c r="D39" s="23">
        <f t="shared" si="8"/>
        <v>32</v>
      </c>
      <c r="E39" t="str">
        <f>'Authorized Rev Req'!X113</f>
        <v>Public Purpose Program</v>
      </c>
      <c r="F39" s="737">
        <f>'Authorized Rev Req'!W113</f>
        <v>32</v>
      </c>
      <c r="G39" s="415">
        <f t="shared" si="9"/>
        <v>32</v>
      </c>
      <c r="H39" s="415">
        <f t="shared" si="9"/>
        <v>32</v>
      </c>
      <c r="I39" s="415">
        <f t="shared" si="7"/>
        <v>32</v>
      </c>
      <c r="J39" s="415">
        <f t="shared" si="7"/>
        <v>32</v>
      </c>
      <c r="K39" s="12" t="s">
        <v>94</v>
      </c>
      <c r="L39" s="387"/>
      <c r="M39" s="387"/>
      <c r="U39" s="15"/>
      <c r="V39" s="15"/>
      <c r="W39" s="15"/>
    </row>
    <row r="40" spans="1:28">
      <c r="A40" t="s">
        <v>310</v>
      </c>
      <c r="C40" s="25" t="str">
        <f>'Authorized Rev Req'!B119</f>
        <v>AL 4717-E</v>
      </c>
      <c r="D40" s="23">
        <f t="shared" si="8"/>
        <v>610</v>
      </c>
      <c r="E40" t="str">
        <f>'Authorized Rev Req'!X119</f>
        <v>Public Purpose Program</v>
      </c>
      <c r="F40" s="737">
        <f>'Authorized Rev Req'!W119</f>
        <v>610</v>
      </c>
      <c r="G40" s="415">
        <f t="shared" si="9"/>
        <v>610</v>
      </c>
      <c r="H40" s="415">
        <f t="shared" si="9"/>
        <v>610</v>
      </c>
      <c r="I40" s="415">
        <f t="shared" si="7"/>
        <v>610</v>
      </c>
      <c r="J40" s="415">
        <f t="shared" si="7"/>
        <v>610</v>
      </c>
      <c r="K40" s="12" t="s">
        <v>94</v>
      </c>
      <c r="L40" s="387"/>
      <c r="M40" s="387"/>
      <c r="U40" s="15"/>
      <c r="V40" s="15"/>
      <c r="W40" s="15"/>
    </row>
    <row r="41" spans="1:28">
      <c r="A41" t="s">
        <v>201</v>
      </c>
      <c r="C41" s="25" t="str">
        <f>'Authorized Rev Req'!B123</f>
        <v>A.25-05-012</v>
      </c>
      <c r="D41" s="787"/>
      <c r="E41" t="str">
        <f>'Authorized Rev Req'!X123</f>
        <v>Public Purpose Program</v>
      </c>
      <c r="F41" s="787"/>
      <c r="G41" s="787"/>
      <c r="H41" s="787"/>
      <c r="I41" s="787"/>
      <c r="J41" s="787"/>
      <c r="K41" s="12" t="s">
        <v>94</v>
      </c>
      <c r="L41" s="485"/>
      <c r="M41" s="387"/>
    </row>
    <row r="42" spans="1:28">
      <c r="A42" t="s">
        <v>109</v>
      </c>
      <c r="C42" s="25" t="str">
        <f>'Authorized Rev Req'!B70</f>
        <v>D.25-12-043, AL 4078-E, AL 4078-E-A, AL 4553-E</v>
      </c>
      <c r="D42" s="23">
        <f t="shared" si="8"/>
        <v>-8217.2473647965744</v>
      </c>
      <c r="E42" t="str">
        <f>'Authorized Rev Req'!X70</f>
        <v>Distribution</v>
      </c>
      <c r="F42" s="737">
        <f>'Authorized Rev Req'!W70</f>
        <v>-8217.2473647965744</v>
      </c>
      <c r="G42" s="415">
        <v>-7810.2490060676946</v>
      </c>
      <c r="H42" s="415">
        <v>-7400.2160433171484</v>
      </c>
      <c r="I42" s="415">
        <v>-6993.4015929700026</v>
      </c>
      <c r="J42" s="415">
        <v>-6588.8762201138061</v>
      </c>
      <c r="K42" s="12" t="s">
        <v>94</v>
      </c>
      <c r="L42" s="485"/>
      <c r="M42" s="387"/>
      <c r="U42" s="22"/>
      <c r="V42" s="22"/>
    </row>
    <row r="43" spans="1:28">
      <c r="A43" t="s">
        <v>110</v>
      </c>
      <c r="C43" s="25" t="str">
        <f>'Authorized Rev Req'!B71</f>
        <v>D.25-12-043, D.19-08-026, AL 4553-E, AL 3489-E-A</v>
      </c>
      <c r="D43" s="23">
        <f t="shared" si="8"/>
        <v>14532.780425580537</v>
      </c>
      <c r="E43" t="str">
        <f>'Authorized Rev Req'!X71</f>
        <v>Distribution</v>
      </c>
      <c r="F43" s="737">
        <f>'Authorized Rev Req'!W71</f>
        <v>14532.780425580537</v>
      </c>
      <c r="G43" s="415">
        <v>14408.603176873143</v>
      </c>
      <c r="H43" s="415">
        <v>14070.806599866059</v>
      </c>
      <c r="I43" s="415">
        <v>13741.956796525192</v>
      </c>
      <c r="J43" s="415">
        <v>13419.394086179293</v>
      </c>
      <c r="K43" s="12" t="s">
        <v>94</v>
      </c>
      <c r="L43" s="485"/>
      <c r="M43" s="387"/>
      <c r="U43" s="29"/>
      <c r="V43" s="29"/>
      <c r="W43" s="30"/>
    </row>
    <row r="44" spans="1:28">
      <c r="A44" t="s">
        <v>111</v>
      </c>
      <c r="C44" s="25" t="str">
        <f>'Authorized Rev Req'!B72</f>
        <v>D.25-12-043, D.19-11-017, AL 3480-E-A, AL 4553-E, AL 4499-E</v>
      </c>
      <c r="D44" s="23">
        <f t="shared" si="8"/>
        <v>3178.120409211077</v>
      </c>
      <c r="E44" t="str">
        <f>'Authorized Rev Req'!X72</f>
        <v>Distribution</v>
      </c>
      <c r="F44" s="737">
        <f>'Authorized Rev Req'!W72</f>
        <v>3178.120409211077</v>
      </c>
      <c r="G44" s="415">
        <v>3055.6835348248665</v>
      </c>
      <c r="H44" s="415">
        <v>2953.2118847739603</v>
      </c>
      <c r="I44" s="415">
        <v>2852.2371915111971</v>
      </c>
      <c r="J44" s="415">
        <v>2752.1703364702898</v>
      </c>
      <c r="K44" s="12" t="s">
        <v>94</v>
      </c>
      <c r="L44" s="485"/>
      <c r="M44" s="387"/>
      <c r="U44" s="29"/>
      <c r="V44" s="29"/>
      <c r="W44" s="30"/>
    </row>
    <row r="45" spans="1:28">
      <c r="A45" t="s">
        <v>113</v>
      </c>
      <c r="C45" s="25" t="str">
        <f>'Authorized Rev Req'!B73</f>
        <v>D.25-12-043, D.19-08-026, AL 4553-E, AL 3489-E-A</v>
      </c>
      <c r="D45" s="23">
        <f t="shared" si="8"/>
        <v>196.82219103401869</v>
      </c>
      <c r="E45" t="str">
        <f>'Authorized Rev Req'!X73</f>
        <v>Distribution</v>
      </c>
      <c r="F45" s="737">
        <f>'Authorized Rev Req'!W73</f>
        <v>196.82219103401869</v>
      </c>
      <c r="G45" s="415">
        <v>124.19671287528736</v>
      </c>
      <c r="H45" s="415">
        <v>119.28227871807566</v>
      </c>
      <c r="I45" s="415">
        <v>114.4027174810947</v>
      </c>
      <c r="J45" s="415">
        <v>109.51740934728193</v>
      </c>
      <c r="K45" s="12" t="s">
        <v>94</v>
      </c>
      <c r="L45" s="485"/>
      <c r="M45" s="387"/>
      <c r="U45" s="29"/>
      <c r="V45" s="29"/>
      <c r="W45" s="30"/>
    </row>
    <row r="46" spans="1:28">
      <c r="A46" t="s">
        <v>108</v>
      </c>
      <c r="C46" s="25" t="str">
        <f>'Authorized Rev Req'!B77</f>
        <v>D.25-12-043, D.21-04-014, AL 4553-E, AL 3765-E, AL 3765-E-A</v>
      </c>
      <c r="D46" s="23">
        <f t="shared" si="8"/>
        <v>6543.1721669204471</v>
      </c>
      <c r="E46" t="str">
        <f>'Authorized Rev Req'!X77</f>
        <v>Distribution</v>
      </c>
      <c r="F46" s="737">
        <f>'Authorized Rev Req'!W77</f>
        <v>6543.1721669204471</v>
      </c>
      <c r="G46" s="415">
        <v>6543.1721669204471</v>
      </c>
      <c r="H46" s="415">
        <v>6543.1721669204471</v>
      </c>
      <c r="I46" s="415">
        <v>6543.1721669204471</v>
      </c>
      <c r="J46" s="415">
        <v>6543.1721669204471</v>
      </c>
      <c r="K46" s="12" t="s">
        <v>94</v>
      </c>
      <c r="L46" s="485"/>
      <c r="M46" s="387"/>
      <c r="U46" s="29"/>
      <c r="V46" s="29"/>
      <c r="W46" s="30"/>
    </row>
    <row r="47" spans="1:28">
      <c r="A47" t="s">
        <v>118</v>
      </c>
      <c r="C47" s="25" t="str">
        <f>'Authorized Rev Req'!B75</f>
        <v>AL 4717-E, AL 4757-E</v>
      </c>
      <c r="D47" s="23">
        <f t="shared" si="8"/>
        <v>5954.2815355503835</v>
      </c>
      <c r="E47" t="str">
        <f>'Authorized Rev Req'!X75</f>
        <v>Distribution</v>
      </c>
      <c r="F47" s="737">
        <f>'Authorized Rev Req'!W75</f>
        <v>5954.2815355503835</v>
      </c>
      <c r="G47" s="415">
        <f t="shared" ref="G47:H49" si="10">F47</f>
        <v>5954.2815355503835</v>
      </c>
      <c r="H47" s="415">
        <f t="shared" si="10"/>
        <v>5954.2815355503835</v>
      </c>
      <c r="I47" s="415">
        <f t="shared" si="7"/>
        <v>5954.2815355503835</v>
      </c>
      <c r="J47" s="415">
        <f t="shared" si="7"/>
        <v>5954.2815355503835</v>
      </c>
      <c r="K47" s="12" t="s">
        <v>94</v>
      </c>
      <c r="L47" s="485"/>
      <c r="M47" s="387"/>
      <c r="U47" s="29"/>
      <c r="V47" s="29"/>
      <c r="W47" s="30"/>
    </row>
    <row r="48" spans="1:28" ht="14.1" customHeight="1">
      <c r="A48" t="s">
        <v>342</v>
      </c>
      <c r="C48" s="25" t="str">
        <f>'Authorized Rev Req'!B144</f>
        <v>A.25-05-012</v>
      </c>
      <c r="D48" s="23">
        <f t="shared" si="8"/>
        <v>0</v>
      </c>
      <c r="E48" t="str">
        <f>'Authorized Rev Req'!X144</f>
        <v>Public Purpose Program</v>
      </c>
      <c r="F48" s="737">
        <f>'Authorized Rev Req'!W144</f>
        <v>0</v>
      </c>
      <c r="G48" s="415">
        <f t="shared" si="10"/>
        <v>0</v>
      </c>
      <c r="H48" s="415">
        <f t="shared" si="10"/>
        <v>0</v>
      </c>
      <c r="I48" s="415">
        <f t="shared" si="7"/>
        <v>0</v>
      </c>
      <c r="J48" s="415">
        <f t="shared" si="7"/>
        <v>0</v>
      </c>
      <c r="K48" s="12" t="s">
        <v>94</v>
      </c>
      <c r="L48" s="485"/>
      <c r="M48" s="387"/>
    </row>
    <row r="49" spans="1:23" ht="14.1" customHeight="1">
      <c r="A49" t="s">
        <v>343</v>
      </c>
      <c r="C49" s="25" t="str">
        <f>'Authorized Rev Req'!B145</f>
        <v>A.25-05-012</v>
      </c>
      <c r="D49" s="23">
        <f t="shared" si="8"/>
        <v>0</v>
      </c>
      <c r="E49" t="str">
        <f>'Authorized Rev Req'!X145</f>
        <v>Public Purpose Program</v>
      </c>
      <c r="F49" s="737">
        <f>'Authorized Rev Req'!W145</f>
        <v>0</v>
      </c>
      <c r="G49" s="415">
        <f t="shared" si="10"/>
        <v>0</v>
      </c>
      <c r="H49" s="415">
        <f t="shared" si="10"/>
        <v>0</v>
      </c>
      <c r="I49" s="415">
        <f t="shared" si="7"/>
        <v>0</v>
      </c>
      <c r="J49" s="415">
        <f t="shared" si="7"/>
        <v>0</v>
      </c>
      <c r="K49" s="12" t="s">
        <v>94</v>
      </c>
      <c r="L49" s="485"/>
      <c r="M49" s="387"/>
    </row>
    <row r="50" spans="1:23" ht="14.1" customHeight="1">
      <c r="A50" t="s">
        <v>433</v>
      </c>
      <c r="C50" s="25" t="str">
        <f>'Authorized Rev Req'!B153</f>
        <v>D.25-12-007</v>
      </c>
      <c r="D50" s="23">
        <f t="shared" si="8"/>
        <v>34080.357556321556</v>
      </c>
      <c r="E50" t="str">
        <f>'Authorized Rev Req'!X153</f>
        <v>Public Purpose Program</v>
      </c>
      <c r="F50" s="737">
        <f>'Authorized Rev Req'!W153</f>
        <v>34080.357556321556</v>
      </c>
      <c r="G50" s="415">
        <f t="shared" ref="G50:J51" si="11">F50</f>
        <v>34080.357556321556</v>
      </c>
      <c r="H50" s="415">
        <f t="shared" si="11"/>
        <v>34080.357556321556</v>
      </c>
      <c r="I50" s="415">
        <f t="shared" si="11"/>
        <v>34080.357556321556</v>
      </c>
      <c r="J50" s="415">
        <f t="shared" si="11"/>
        <v>34080.357556321556</v>
      </c>
      <c r="K50" s="12" t="s">
        <v>94</v>
      </c>
      <c r="L50" s="387"/>
      <c r="M50" s="387"/>
    </row>
    <row r="51" spans="1:23">
      <c r="A51" t="s">
        <v>435</v>
      </c>
      <c r="C51" s="25" t="str">
        <f>'Authorized Rev Req'!B155</f>
        <v>AL 4717-E</v>
      </c>
      <c r="D51" s="23">
        <f t="shared" si="8"/>
        <v>6300</v>
      </c>
      <c r="E51" t="str">
        <f>'Authorized Rev Req'!X155</f>
        <v>Public Purpose Program</v>
      </c>
      <c r="F51" s="737">
        <f>'Authorized Rev Req'!W155</f>
        <v>6300</v>
      </c>
      <c r="G51" s="415">
        <f t="shared" si="11"/>
        <v>6300</v>
      </c>
      <c r="H51" s="415">
        <f t="shared" si="11"/>
        <v>6300</v>
      </c>
      <c r="I51" s="415">
        <f t="shared" si="11"/>
        <v>6300</v>
      </c>
      <c r="J51" s="415">
        <f t="shared" si="11"/>
        <v>6300</v>
      </c>
      <c r="K51" s="12" t="s">
        <v>94</v>
      </c>
      <c r="L51" s="387"/>
      <c r="M51" s="387"/>
      <c r="U51" s="29"/>
      <c r="V51" s="29"/>
      <c r="W51" s="30"/>
    </row>
    <row r="52" spans="1:23">
      <c r="A52" t="s">
        <v>466</v>
      </c>
      <c r="C52" s="12" t="str">
        <f>'Authorized Rev Req'!B154</f>
        <v>AL 4717-E</v>
      </c>
      <c r="D52" s="23">
        <f t="shared" si="8"/>
        <v>2966.7624920999997</v>
      </c>
      <c r="E52" t="str">
        <f>'Authorized Rev Req'!X119</f>
        <v>Public Purpose Program</v>
      </c>
      <c r="F52" s="445">
        <f>'Authorized Rev Req'!W154</f>
        <v>2966.7624920999997</v>
      </c>
      <c r="G52" s="415">
        <v>675.96977249999998</v>
      </c>
      <c r="H52" s="415"/>
      <c r="I52" s="415"/>
      <c r="J52" s="415"/>
      <c r="K52" s="12" t="s">
        <v>94</v>
      </c>
      <c r="L52" s="387"/>
      <c r="M52" s="387"/>
      <c r="U52" s="29"/>
      <c r="V52" s="29"/>
      <c r="W52" s="30"/>
    </row>
    <row r="53" spans="1:23">
      <c r="A53" t="s">
        <v>365</v>
      </c>
      <c r="C53" s="12" t="str">
        <f>'Authorized Rev Req'!B53</f>
        <v>D.21-07-028, AL 4233-E, AL 4233-E-A, Resolution E-5300</v>
      </c>
      <c r="D53" s="23">
        <f t="shared" si="8"/>
        <v>5770.1869999999999</v>
      </c>
      <c r="E53" t="str">
        <f>'Authorized Rev Req'!X53</f>
        <v>Distribution</v>
      </c>
      <c r="F53" s="445">
        <f>'Authorized Rev Req'!W53</f>
        <v>5770.1869999999999</v>
      </c>
      <c r="G53" s="737">
        <v>354.12700000000001</v>
      </c>
      <c r="H53" s="409"/>
      <c r="I53" s="415"/>
      <c r="J53" s="415"/>
      <c r="K53" s="12" t="s">
        <v>94</v>
      </c>
      <c r="L53" s="387"/>
      <c r="M53" s="387"/>
      <c r="U53" s="29"/>
      <c r="V53" s="29"/>
      <c r="W53" s="30"/>
    </row>
    <row r="54" spans="1:23">
      <c r="A54" t="s">
        <v>412</v>
      </c>
      <c r="C54" s="731" t="s">
        <v>413</v>
      </c>
      <c r="D54" s="23">
        <f t="shared" si="8"/>
        <v>0</v>
      </c>
      <c r="E54" t="str">
        <f>'Authorized Rev Req'!X80</f>
        <v>Distribution</v>
      </c>
      <c r="F54" s="737"/>
      <c r="G54" s="737">
        <v>12753.731838700001</v>
      </c>
      <c r="H54" s="737">
        <v>12837.741178599998</v>
      </c>
      <c r="I54" s="409"/>
      <c r="J54" s="409"/>
      <c r="K54" s="12" t="s">
        <v>94</v>
      </c>
      <c r="L54" s="387"/>
      <c r="M54" s="387"/>
      <c r="U54" s="29"/>
      <c r="V54" s="29"/>
      <c r="W54" s="30"/>
    </row>
    <row r="55" spans="1:23">
      <c r="A55" t="s">
        <v>412</v>
      </c>
      <c r="C55" s="731" t="s">
        <v>413</v>
      </c>
      <c r="D55" s="23">
        <f t="shared" si="8"/>
        <v>0</v>
      </c>
      <c r="E55" t="str">
        <f>'Authorized Rev Req'!X95</f>
        <v>Generation</v>
      </c>
      <c r="F55" s="737"/>
      <c r="G55" s="737">
        <v>53.889961860000007</v>
      </c>
      <c r="H55" s="737">
        <v>57.285133080000008</v>
      </c>
      <c r="I55" s="409"/>
      <c r="J55" s="409"/>
      <c r="K55" s="12" t="s">
        <v>94</v>
      </c>
      <c r="L55" s="387"/>
      <c r="M55" s="387"/>
      <c r="U55" s="454"/>
      <c r="V55" s="454"/>
      <c r="W55" s="314"/>
    </row>
    <row r="56" spans="1:23">
      <c r="A56" t="s">
        <v>415</v>
      </c>
      <c r="C56" s="730" t="str">
        <f>'Authorized Rev Req'!B152</f>
        <v>AL 4717-E</v>
      </c>
      <c r="D56" s="23">
        <f t="shared" si="8"/>
        <v>21618.786</v>
      </c>
      <c r="E56" t="str">
        <f>'Authorized Rev Req'!X152</f>
        <v>Public Purpose Program</v>
      </c>
      <c r="F56" s="739">
        <f>'Authorized Rev Req'!W152</f>
        <v>21618.786</v>
      </c>
      <c r="G56" s="739">
        <v>23780.664599999996</v>
      </c>
      <c r="H56" s="409"/>
      <c r="I56" s="415"/>
      <c r="J56" s="415"/>
      <c r="K56" s="12" t="s">
        <v>94</v>
      </c>
      <c r="L56" s="387"/>
      <c r="M56" s="387"/>
      <c r="U56" s="29"/>
      <c r="V56" s="29"/>
      <c r="W56" s="30"/>
    </row>
    <row r="57" spans="1:23">
      <c r="B57" s="15"/>
      <c r="F57" s="409"/>
      <c r="G57" s="415"/>
      <c r="H57" s="409"/>
      <c r="I57" s="415"/>
      <c r="J57" s="415"/>
      <c r="K57"/>
      <c r="L57" s="310"/>
      <c r="M57" s="387"/>
      <c r="U57" s="29"/>
      <c r="V57" s="29"/>
      <c r="W57" s="30"/>
    </row>
    <row r="58" spans="1:23">
      <c r="B58" s="15"/>
      <c r="F58" s="409"/>
      <c r="G58" s="409"/>
      <c r="H58" s="409"/>
      <c r="I58" s="415"/>
      <c r="J58" s="415"/>
      <c r="K58"/>
      <c r="L58" s="275"/>
      <c r="M58" s="387"/>
      <c r="U58" s="29"/>
      <c r="V58" s="29"/>
      <c r="W58" s="30"/>
    </row>
    <row r="59" spans="1:23">
      <c r="A59" s="18" t="s">
        <v>367</v>
      </c>
      <c r="B59" s="21"/>
      <c r="C59" s="181"/>
      <c r="D59" s="23"/>
      <c r="F59" s="738"/>
      <c r="G59" s="738"/>
      <c r="H59" s="738"/>
      <c r="I59" s="415"/>
      <c r="J59" s="415"/>
      <c r="L59" s="487"/>
      <c r="M59" s="387"/>
      <c r="U59" s="29"/>
      <c r="V59" s="29"/>
      <c r="W59" s="30"/>
    </row>
    <row r="60" spans="1:23">
      <c r="A60" s="14" t="s">
        <v>3</v>
      </c>
      <c r="C60" t="s">
        <v>532</v>
      </c>
      <c r="D60" s="23">
        <f t="shared" ref="D60:D62" si="12">F60</f>
        <v>64481.73198377504</v>
      </c>
      <c r="E60" t="s">
        <v>3</v>
      </c>
      <c r="F60" s="737">
        <f>SUMIFS('Authorized Rev Req'!$W:$W,'Authorized Rev Req'!$X:$X,$E60,'Authorized Rev Req'!$Y:$Y,"Y")</f>
        <v>64481.73198377504</v>
      </c>
      <c r="G60" s="737">
        <f>F60</f>
        <v>64481.73198377504</v>
      </c>
      <c r="H60" s="737">
        <f t="shared" ref="G60:H67" si="13">G60</f>
        <v>64481.73198377504</v>
      </c>
      <c r="I60" s="415">
        <f t="shared" si="7"/>
        <v>64481.73198377504</v>
      </c>
      <c r="J60" s="415">
        <f t="shared" si="7"/>
        <v>64481.73198377504</v>
      </c>
      <c r="K60" s="12" t="s">
        <v>94</v>
      </c>
      <c r="L60" s="485"/>
      <c r="M60" s="387"/>
      <c r="U60" s="29"/>
      <c r="V60" s="29"/>
      <c r="W60" s="30"/>
    </row>
    <row r="61" spans="1:23">
      <c r="A61" s="14" t="s">
        <v>252</v>
      </c>
      <c r="C61" t="s">
        <v>532</v>
      </c>
      <c r="D61" s="23">
        <f t="shared" si="12"/>
        <v>204987.24919074884</v>
      </c>
      <c r="E61" t="s">
        <v>251</v>
      </c>
      <c r="F61" s="737">
        <f>SUMIFS('Authorized Rev Req'!$W:$W,'Authorized Rev Req'!$X:$X,$E61,'Authorized Rev Req'!$Y:$Y,"Y")</f>
        <v>204987.24919074884</v>
      </c>
      <c r="G61" s="737">
        <f>F61</f>
        <v>204987.24919074884</v>
      </c>
      <c r="H61" s="737">
        <f t="shared" ref="H61:J62" si="14">G61</f>
        <v>204987.24919074884</v>
      </c>
      <c r="I61" s="415">
        <f t="shared" si="14"/>
        <v>204987.24919074884</v>
      </c>
      <c r="J61" s="415">
        <f t="shared" si="14"/>
        <v>204987.24919074884</v>
      </c>
      <c r="K61" s="12" t="s">
        <v>94</v>
      </c>
      <c r="L61" s="485"/>
      <c r="M61" s="387"/>
      <c r="U61" s="29"/>
      <c r="V61" s="29"/>
      <c r="W61" s="30"/>
    </row>
    <row r="62" spans="1:23">
      <c r="A62" s="14" t="s">
        <v>5</v>
      </c>
      <c r="C62" t="s">
        <v>532</v>
      </c>
      <c r="D62" s="23">
        <f t="shared" si="12"/>
        <v>105735.03135</v>
      </c>
      <c r="E62" s="14" t="s">
        <v>5</v>
      </c>
      <c r="F62" s="737">
        <f>SUMIFS('Authorized Rev Req'!$W:$W,'Authorized Rev Req'!$X:$X,$E62,'Authorized Rev Req'!$Y:$Y,"Y")</f>
        <v>105735.03135</v>
      </c>
      <c r="G62" s="737">
        <f>F62</f>
        <v>105735.03135</v>
      </c>
      <c r="H62" s="737">
        <f t="shared" si="14"/>
        <v>105735.03135</v>
      </c>
      <c r="I62" s="415">
        <f t="shared" si="14"/>
        <v>105735.03135</v>
      </c>
      <c r="J62" s="415">
        <f t="shared" si="14"/>
        <v>105735.03135</v>
      </c>
      <c r="K62" s="12" t="s">
        <v>94</v>
      </c>
      <c r="L62" s="485"/>
      <c r="M62" s="387"/>
      <c r="U62" s="29"/>
      <c r="V62" s="29"/>
      <c r="W62" s="30"/>
    </row>
    <row r="63" spans="1:23">
      <c r="A63" s="14" t="s">
        <v>59</v>
      </c>
      <c r="C63" t="s">
        <v>532</v>
      </c>
      <c r="D63" s="23">
        <f t="shared" ref="D63:D84" si="15">F63</f>
        <v>-79665.630380000002</v>
      </c>
      <c r="E63" s="14" t="s">
        <v>59</v>
      </c>
      <c r="F63" s="737">
        <f>SUMIFS('Authorized Rev Req'!$W:$W,'Authorized Rev Req'!$X:$X,$E63,'Authorized Rev Req'!$Y:$Y,"Y")</f>
        <v>-79665.630380000002</v>
      </c>
      <c r="G63" s="737">
        <f t="shared" si="13"/>
        <v>-79665.630380000002</v>
      </c>
      <c r="H63" s="737">
        <f t="shared" si="13"/>
        <v>-79665.630380000002</v>
      </c>
      <c r="I63" s="415">
        <f t="shared" si="7"/>
        <v>-79665.630380000002</v>
      </c>
      <c r="J63" s="415">
        <f t="shared" si="7"/>
        <v>-79665.630380000002</v>
      </c>
      <c r="K63" s="12" t="s">
        <v>94</v>
      </c>
      <c r="L63" s="485"/>
      <c r="M63" s="387"/>
      <c r="U63" s="29"/>
      <c r="V63" s="29"/>
      <c r="W63" s="30"/>
    </row>
    <row r="64" spans="1:23">
      <c r="A64" s="14" t="s">
        <v>99</v>
      </c>
      <c r="C64" t="s">
        <v>532</v>
      </c>
      <c r="D64" s="23">
        <f t="shared" si="15"/>
        <v>-7290.7556199999981</v>
      </c>
      <c r="E64" s="14" t="s">
        <v>99</v>
      </c>
      <c r="F64" s="737">
        <f>SUMIFS('Authorized Rev Req'!$W:$W,'Authorized Rev Req'!$X:$X,$E64,'Authorized Rev Req'!$Y:$Y,"Y")</f>
        <v>-7290.7556199999981</v>
      </c>
      <c r="G64" s="737">
        <f t="shared" si="13"/>
        <v>-7290.7556199999981</v>
      </c>
      <c r="H64" s="737">
        <f t="shared" si="13"/>
        <v>-7290.7556199999981</v>
      </c>
      <c r="I64" s="415">
        <f t="shared" si="7"/>
        <v>-7290.7556199999981</v>
      </c>
      <c r="J64" s="415">
        <f t="shared" si="7"/>
        <v>-7290.7556199999981</v>
      </c>
      <c r="K64" s="12" t="s">
        <v>94</v>
      </c>
      <c r="L64" s="485"/>
      <c r="M64" s="387"/>
      <c r="U64" s="29"/>
      <c r="V64" s="29"/>
      <c r="W64" s="30"/>
    </row>
    <row r="65" spans="1:28">
      <c r="A65" s="14" t="s">
        <v>80</v>
      </c>
      <c r="C65" t="s">
        <v>532</v>
      </c>
      <c r="D65" s="23">
        <f t="shared" si="15"/>
        <v>-64.002330000000001</v>
      </c>
      <c r="E65" s="14" t="s">
        <v>80</v>
      </c>
      <c r="F65" s="737">
        <f>SUMIFS('Authorized Rev Req'!$W:$W,'Authorized Rev Req'!$X:$X,$E65,'Authorized Rev Req'!$Y:$Y,"Y")</f>
        <v>-64.002330000000001</v>
      </c>
      <c r="G65" s="737">
        <f t="shared" si="13"/>
        <v>-64.002330000000001</v>
      </c>
      <c r="H65" s="737">
        <f t="shared" si="13"/>
        <v>-64.002330000000001</v>
      </c>
      <c r="I65" s="415">
        <f t="shared" si="7"/>
        <v>-64.002330000000001</v>
      </c>
      <c r="J65" s="415">
        <f t="shared" si="7"/>
        <v>-64.002330000000001</v>
      </c>
      <c r="K65" s="12" t="s">
        <v>94</v>
      </c>
      <c r="L65" s="485"/>
      <c r="M65" s="387"/>
      <c r="U65" s="29"/>
      <c r="V65" s="29"/>
      <c r="W65" s="30"/>
    </row>
    <row r="66" spans="1:28">
      <c r="A66" s="14" t="s">
        <v>14</v>
      </c>
      <c r="C66" t="s">
        <v>532</v>
      </c>
      <c r="D66" s="23">
        <f t="shared" si="15"/>
        <v>-1871.3062200000002</v>
      </c>
      <c r="E66" s="14" t="s">
        <v>14</v>
      </c>
      <c r="F66" s="737">
        <f>SUMIFS('Authorized Rev Req'!$W:$W,'Authorized Rev Req'!$X:$X,$E66,'Authorized Rev Req'!$Y:$Y,"Y")</f>
        <v>-1871.3062200000002</v>
      </c>
      <c r="G66" s="737">
        <f t="shared" si="13"/>
        <v>-1871.3062200000002</v>
      </c>
      <c r="H66" s="737">
        <f t="shared" si="13"/>
        <v>-1871.3062200000002</v>
      </c>
      <c r="I66" s="415">
        <f t="shared" si="7"/>
        <v>-1871.3062200000002</v>
      </c>
      <c r="J66" s="415">
        <f t="shared" si="7"/>
        <v>-1871.3062200000002</v>
      </c>
      <c r="K66" s="12" t="s">
        <v>94</v>
      </c>
      <c r="L66" s="485"/>
      <c r="M66" s="387"/>
      <c r="U66" s="29"/>
      <c r="V66" s="29"/>
      <c r="W66" s="30"/>
    </row>
    <row r="67" spans="1:28">
      <c r="A67" s="14" t="s">
        <v>78</v>
      </c>
      <c r="C67" t="s">
        <v>532</v>
      </c>
      <c r="D67" s="23">
        <f t="shared" si="15"/>
        <v>0</v>
      </c>
      <c r="E67" t="s">
        <v>78</v>
      </c>
      <c r="F67" s="737">
        <f>SUMIFS('Authorized Rev Req'!$W:$W,'Authorized Rev Req'!$X:$X,$E67,'Authorized Rev Req'!$Y:$Y,"Y")</f>
        <v>0</v>
      </c>
      <c r="G67" s="415">
        <f t="shared" si="13"/>
        <v>0</v>
      </c>
      <c r="H67" s="415">
        <f t="shared" si="13"/>
        <v>0</v>
      </c>
      <c r="I67" s="415">
        <f t="shared" si="7"/>
        <v>0</v>
      </c>
      <c r="J67" s="415">
        <f t="shared" si="7"/>
        <v>0</v>
      </c>
      <c r="K67" s="12" t="s">
        <v>94</v>
      </c>
      <c r="L67" s="485"/>
      <c r="M67" s="387"/>
      <c r="U67" s="29"/>
      <c r="V67" s="29"/>
      <c r="W67" s="30"/>
    </row>
    <row r="68" spans="1:28">
      <c r="A68" s="14"/>
      <c r="C68" s="25"/>
      <c r="D68" s="23"/>
      <c r="E68" s="14"/>
      <c r="F68" s="737"/>
      <c r="G68" s="737"/>
      <c r="H68" s="737"/>
      <c r="I68" s="415"/>
      <c r="J68" s="415"/>
      <c r="L68" s="485"/>
      <c r="M68" s="387"/>
      <c r="U68" s="29"/>
      <c r="V68" s="29"/>
      <c r="W68" s="30"/>
    </row>
    <row r="69" spans="1:28">
      <c r="A69" s="182" t="s">
        <v>103</v>
      </c>
      <c r="D69" s="23"/>
      <c r="F69" s="409"/>
      <c r="G69" s="737"/>
      <c r="H69" s="737"/>
      <c r="I69" s="415"/>
      <c r="J69" s="415"/>
      <c r="L69" s="289"/>
      <c r="M69" s="387"/>
      <c r="U69" s="29"/>
      <c r="V69" s="29"/>
      <c r="W69" s="30"/>
    </row>
    <row r="70" spans="1:28">
      <c r="A70" t="s">
        <v>43</v>
      </c>
      <c r="C70" s="25" t="str">
        <f>'Authorized Rev Req'!B97</f>
        <v>D.08-02-034, AL 2069-E, AL 4758-E</v>
      </c>
      <c r="D70" s="23">
        <f t="shared" si="15"/>
        <v>-891.81047999999998</v>
      </c>
      <c r="E70" t="str">
        <f>'Authorized Rev Req'!X97</f>
        <v>Generation</v>
      </c>
      <c r="F70" s="737">
        <f>'Authorized Rev Req'!W97</f>
        <v>-891.81047999999998</v>
      </c>
      <c r="G70" s="737">
        <f t="shared" ref="G70:H77" si="16">F70</f>
        <v>-891.81047999999998</v>
      </c>
      <c r="H70" s="737">
        <f t="shared" si="16"/>
        <v>-891.81047999999998</v>
      </c>
      <c r="I70" s="415">
        <f t="shared" si="7"/>
        <v>-891.81047999999998</v>
      </c>
      <c r="J70" s="415">
        <f t="shared" si="7"/>
        <v>-891.81047999999998</v>
      </c>
      <c r="K70" s="12" t="s">
        <v>94</v>
      </c>
      <c r="L70" s="485"/>
      <c r="M70" s="387"/>
      <c r="U70" s="29"/>
      <c r="V70" s="29"/>
      <c r="W70" s="30"/>
    </row>
    <row r="71" spans="1:28">
      <c r="A71" t="s">
        <v>44</v>
      </c>
      <c r="C71" s="25" t="str">
        <f>'Authorized Rev Req'!B98</f>
        <v>D.08-02-034, AL 2069-E, AL 4758-E</v>
      </c>
      <c r="D71" s="23">
        <f t="shared" si="15"/>
        <v>3082.6530000000598</v>
      </c>
      <c r="E71" t="str">
        <f>'Authorized Rev Req'!X98</f>
        <v>Generation</v>
      </c>
      <c r="F71" s="737">
        <f>'Authorized Rev Req'!W98</f>
        <v>3082.6530000000598</v>
      </c>
      <c r="G71" s="737">
        <f t="shared" si="16"/>
        <v>3082.6530000000598</v>
      </c>
      <c r="H71" s="737">
        <f t="shared" si="16"/>
        <v>3082.6530000000598</v>
      </c>
      <c r="I71" s="415">
        <f t="shared" si="7"/>
        <v>3082.6530000000598</v>
      </c>
      <c r="J71" s="415">
        <f t="shared" si="7"/>
        <v>3082.6530000000598</v>
      </c>
      <c r="K71" s="12" t="s">
        <v>94</v>
      </c>
      <c r="L71" s="485"/>
      <c r="M71" s="387"/>
      <c r="U71" s="23"/>
      <c r="V71" s="23"/>
      <c r="W71" s="23"/>
      <c r="X71" s="23"/>
      <c r="Y71" s="23"/>
      <c r="Z71" s="23"/>
      <c r="AA71" s="23"/>
      <c r="AB71" s="23"/>
    </row>
    <row r="72" spans="1:28">
      <c r="A72" t="s">
        <v>45</v>
      </c>
      <c r="C72" s="25" t="str">
        <f>'Authorized Rev Req'!B99</f>
        <v>D.14-01-002, AL 4758-E</v>
      </c>
      <c r="D72" s="23">
        <f t="shared" si="15"/>
        <v>154.52138000000036</v>
      </c>
      <c r="E72" t="str">
        <f>'Authorized Rev Req'!X99</f>
        <v>Generation</v>
      </c>
      <c r="F72" s="737">
        <f>'Authorized Rev Req'!W99</f>
        <v>154.52138000000036</v>
      </c>
      <c r="G72" s="737">
        <f t="shared" si="16"/>
        <v>154.52138000000036</v>
      </c>
      <c r="H72" s="737">
        <f t="shared" si="16"/>
        <v>154.52138000000036</v>
      </c>
      <c r="I72" s="415">
        <f t="shared" si="7"/>
        <v>154.52138000000036</v>
      </c>
      <c r="J72" s="415">
        <f t="shared" si="7"/>
        <v>154.52138000000036</v>
      </c>
      <c r="K72" s="12" t="s">
        <v>94</v>
      </c>
      <c r="L72" s="485"/>
      <c r="M72" s="387"/>
      <c r="U72" s="23"/>
      <c r="V72" s="23"/>
      <c r="W72" s="23"/>
      <c r="X72" s="23"/>
      <c r="Y72" s="23"/>
      <c r="Z72" s="23"/>
      <c r="AA72" s="23"/>
      <c r="AB72" s="23"/>
    </row>
    <row r="73" spans="1:28">
      <c r="A73" t="s">
        <v>46</v>
      </c>
      <c r="C73" s="25" t="str">
        <f>'Authorized Rev Req'!B100</f>
        <v>D.08-02-034, AL 2209-E, AL 4757-E</v>
      </c>
      <c r="D73" s="23">
        <f t="shared" si="15"/>
        <v>0</v>
      </c>
      <c r="E73" t="str">
        <f>'Authorized Rev Req'!X100</f>
        <v>Generation</v>
      </c>
      <c r="F73" s="737">
        <f>'Authorized Rev Req'!W100</f>
        <v>0</v>
      </c>
      <c r="G73" s="737">
        <f t="shared" si="16"/>
        <v>0</v>
      </c>
      <c r="H73" s="737">
        <f t="shared" si="16"/>
        <v>0</v>
      </c>
      <c r="I73" s="415">
        <f t="shared" si="7"/>
        <v>0</v>
      </c>
      <c r="J73" s="415">
        <f t="shared" si="7"/>
        <v>0</v>
      </c>
      <c r="K73" s="12" t="s">
        <v>94</v>
      </c>
      <c r="L73" s="485"/>
      <c r="M73" s="387"/>
      <c r="U73" s="23"/>
      <c r="V73" s="23"/>
      <c r="W73" s="23"/>
      <c r="X73" s="23"/>
      <c r="Y73" s="23"/>
      <c r="Z73" s="23"/>
      <c r="AA73" s="23"/>
      <c r="AB73" s="23"/>
    </row>
    <row r="74" spans="1:28">
      <c r="A74" t="s">
        <v>47</v>
      </c>
      <c r="C74" s="25" t="str">
        <f>'Authorized Rev Req'!B101</f>
        <v>D.12-12-004, AL 2816-E, AL 4758-E</v>
      </c>
      <c r="D74" s="23">
        <f t="shared" si="15"/>
        <v>258.09344999999928</v>
      </c>
      <c r="E74" t="str">
        <f>'Authorized Rev Req'!X101</f>
        <v>Generation</v>
      </c>
      <c r="F74" s="737">
        <f>'Authorized Rev Req'!W101</f>
        <v>258.09344999999928</v>
      </c>
      <c r="G74" s="737">
        <f t="shared" si="16"/>
        <v>258.09344999999928</v>
      </c>
      <c r="H74" s="737">
        <f t="shared" si="16"/>
        <v>258.09344999999928</v>
      </c>
      <c r="I74" s="415">
        <f t="shared" si="7"/>
        <v>258.09344999999928</v>
      </c>
      <c r="J74" s="415">
        <f t="shared" si="7"/>
        <v>258.09344999999928</v>
      </c>
      <c r="K74" s="12" t="s">
        <v>94</v>
      </c>
      <c r="L74" s="485"/>
      <c r="M74" s="387"/>
      <c r="U74" s="23"/>
      <c r="V74" s="23"/>
      <c r="W74" s="23"/>
      <c r="X74" s="23"/>
      <c r="Y74" s="23"/>
      <c r="Z74" s="23"/>
      <c r="AA74" s="23"/>
      <c r="AB74" s="23"/>
    </row>
    <row r="75" spans="1:28" ht="14.1" customHeight="1">
      <c r="A75" s="14" t="s">
        <v>48</v>
      </c>
      <c r="C75" s="25" t="str">
        <f>'Authorized Rev Req'!B102</f>
        <v>D.12-12-004, AL 2816-E, AL 4758-E</v>
      </c>
      <c r="D75" s="23">
        <f t="shared" si="15"/>
        <v>897.11634000000356</v>
      </c>
      <c r="E75" t="str">
        <f>'Authorized Rev Req'!X102</f>
        <v>Generation</v>
      </c>
      <c r="F75" s="737">
        <f>'Authorized Rev Req'!W102</f>
        <v>897.11634000000356</v>
      </c>
      <c r="G75" s="737">
        <f t="shared" si="16"/>
        <v>897.11634000000356</v>
      </c>
      <c r="H75" s="737">
        <f t="shared" si="16"/>
        <v>897.11634000000356</v>
      </c>
      <c r="I75" s="415">
        <f t="shared" si="7"/>
        <v>897.11634000000356</v>
      </c>
      <c r="J75" s="415">
        <f t="shared" si="7"/>
        <v>897.11634000000356</v>
      </c>
      <c r="K75" s="12" t="s">
        <v>94</v>
      </c>
      <c r="L75" s="485"/>
      <c r="M75" s="387"/>
      <c r="U75" s="23"/>
      <c r="V75" s="23"/>
      <c r="W75" s="23"/>
      <c r="X75" s="23"/>
      <c r="Y75" s="23"/>
      <c r="Z75" s="23"/>
      <c r="AA75" s="23"/>
      <c r="AB75" s="23"/>
    </row>
    <row r="76" spans="1:28">
      <c r="A76" t="s">
        <v>49</v>
      </c>
      <c r="C76" s="25" t="str">
        <f>'Authorized Rev Req'!B103</f>
        <v>D.12-12-004, AL 2816-E, AL 4758-E</v>
      </c>
      <c r="D76" s="23">
        <f t="shared" si="15"/>
        <v>4.1390800000000016</v>
      </c>
      <c r="E76" t="str">
        <f>'Authorized Rev Req'!X103</f>
        <v>Generation</v>
      </c>
      <c r="F76" s="737">
        <f>'Authorized Rev Req'!W103</f>
        <v>4.1390800000000016</v>
      </c>
      <c r="G76" s="737">
        <f t="shared" si="16"/>
        <v>4.1390800000000016</v>
      </c>
      <c r="H76" s="737">
        <f t="shared" si="16"/>
        <v>4.1390800000000016</v>
      </c>
      <c r="I76" s="415">
        <f t="shared" si="7"/>
        <v>4.1390800000000016</v>
      </c>
      <c r="J76" s="415">
        <f t="shared" si="7"/>
        <v>4.1390800000000016</v>
      </c>
      <c r="K76" s="12" t="s">
        <v>94</v>
      </c>
      <c r="L76" s="485"/>
      <c r="M76" s="387"/>
      <c r="U76" s="29"/>
      <c r="V76" s="29"/>
      <c r="W76" s="30"/>
    </row>
    <row r="77" spans="1:28">
      <c r="A77" t="s">
        <v>104</v>
      </c>
      <c r="C77" s="25" t="str">
        <f>'Authorized Rev Req'!B96</f>
        <v>D.08-02-034, AL 2209-E, AL 4757-E</v>
      </c>
      <c r="D77" s="23">
        <f t="shared" si="15"/>
        <v>0</v>
      </c>
      <c r="E77" s="14" t="str">
        <f>'Authorized Rev Req'!X96</f>
        <v>Distribution</v>
      </c>
      <c r="F77" s="737">
        <f>'Authorized Rev Req'!W96</f>
        <v>0</v>
      </c>
      <c r="G77" s="737">
        <f t="shared" si="16"/>
        <v>0</v>
      </c>
      <c r="H77" s="737">
        <f t="shared" si="16"/>
        <v>0</v>
      </c>
      <c r="I77" s="415">
        <f t="shared" si="7"/>
        <v>0</v>
      </c>
      <c r="J77" s="415">
        <f t="shared" si="7"/>
        <v>0</v>
      </c>
      <c r="K77" s="12" t="s">
        <v>94</v>
      </c>
      <c r="L77" s="485"/>
      <c r="M77" s="387"/>
    </row>
    <row r="78" spans="1:28">
      <c r="A78" t="s">
        <v>436</v>
      </c>
      <c r="C78" s="12" t="str">
        <f>'Authorized Rev Req'!B158</f>
        <v>D.21-07-010, AL 2209-E, AL 4319-E, AL 4757-E</v>
      </c>
      <c r="D78" s="23">
        <f t="shared" si="15"/>
        <v>0</v>
      </c>
      <c r="E78" s="14" t="str">
        <f>'Authorized Rev Req'!X158</f>
        <v>Distribution</v>
      </c>
      <c r="F78" s="445">
        <f>'Authorized Rev Req'!W158</f>
        <v>0</v>
      </c>
      <c r="G78" s="737">
        <f t="shared" ref="G78:J79" si="17">F78</f>
        <v>0</v>
      </c>
      <c r="H78" s="737">
        <f t="shared" si="17"/>
        <v>0</v>
      </c>
      <c r="I78" s="415">
        <f t="shared" si="17"/>
        <v>0</v>
      </c>
      <c r="J78" s="415">
        <f t="shared" si="17"/>
        <v>0</v>
      </c>
      <c r="K78" s="12" t="s">
        <v>94</v>
      </c>
      <c r="L78" s="289"/>
      <c r="M78" s="387"/>
    </row>
    <row r="79" spans="1:28">
      <c r="A79" s="13" t="s">
        <v>437</v>
      </c>
      <c r="C79" s="12" t="str">
        <f>'Authorized Rev Req'!B159</f>
        <v>D.21-07-010, AL 2209-E, AL 4319-E, AL 4757-E</v>
      </c>
      <c r="D79" s="23">
        <f t="shared" si="15"/>
        <v>0</v>
      </c>
      <c r="E79" s="14" t="str">
        <f>'Authorized Rev Req'!X159</f>
        <v>Generation</v>
      </c>
      <c r="F79" s="445">
        <f>'Authorized Rev Req'!W159</f>
        <v>0</v>
      </c>
      <c r="G79" s="737">
        <f t="shared" si="17"/>
        <v>0</v>
      </c>
      <c r="H79" s="737">
        <f t="shared" si="17"/>
        <v>0</v>
      </c>
      <c r="I79" s="415">
        <f t="shared" si="17"/>
        <v>0</v>
      </c>
      <c r="J79" s="415">
        <f t="shared" si="17"/>
        <v>0</v>
      </c>
      <c r="K79" s="12" t="s">
        <v>94</v>
      </c>
      <c r="L79" s="289"/>
      <c r="M79" s="387"/>
      <c r="U79" s="29"/>
      <c r="V79" s="29"/>
      <c r="W79" s="30"/>
    </row>
    <row r="80" spans="1:28">
      <c r="A80" s="18" t="s">
        <v>9</v>
      </c>
      <c r="C80" s="181"/>
      <c r="D80" s="23">
        <f t="shared" si="15"/>
        <v>0</v>
      </c>
      <c r="F80" s="738"/>
      <c r="G80" s="737"/>
      <c r="H80" s="737"/>
      <c r="I80" s="415"/>
      <c r="J80" s="415"/>
      <c r="L80" s="487"/>
      <c r="M80" s="387"/>
      <c r="U80" s="29"/>
      <c r="V80" s="29"/>
      <c r="W80" s="30"/>
    </row>
    <row r="81" spans="1:30">
      <c r="A81" t="s">
        <v>83</v>
      </c>
      <c r="C81" s="25" t="str">
        <f>'Authorized Rev Req'!B165</f>
        <v>ER25-270-003, ER25-270-004</v>
      </c>
      <c r="D81" s="23">
        <f t="shared" si="15"/>
        <v>1201062.9194933525</v>
      </c>
      <c r="E81" t="str">
        <f>'Authorized Rev Req'!X165</f>
        <v>Transmission</v>
      </c>
      <c r="F81" s="737">
        <f>'Authorized Rev Req'!W165</f>
        <v>1201062.9194933525</v>
      </c>
      <c r="G81" s="737">
        <f t="shared" ref="G81:H84" si="18">F81</f>
        <v>1201062.9194933525</v>
      </c>
      <c r="H81" s="737">
        <f t="shared" si="18"/>
        <v>1201062.9194933525</v>
      </c>
      <c r="I81" s="415">
        <f t="shared" si="7"/>
        <v>1201062.9194933525</v>
      </c>
      <c r="J81" s="415">
        <f t="shared" si="7"/>
        <v>1201062.9194933525</v>
      </c>
      <c r="K81" s="12" t="s">
        <v>94</v>
      </c>
      <c r="L81" s="485"/>
      <c r="M81" s="387"/>
      <c r="P81" s="13"/>
      <c r="U81" s="29"/>
      <c r="V81" s="29"/>
      <c r="W81" s="30"/>
    </row>
    <row r="82" spans="1:30">
      <c r="A82" s="14" t="s">
        <v>84</v>
      </c>
      <c r="C82" s="25" t="str">
        <f>'Authorized Rev Req'!B166</f>
        <v>ER26-553-000</v>
      </c>
      <c r="D82" s="23">
        <f t="shared" si="15"/>
        <v>-165836.09206060256</v>
      </c>
      <c r="E82" t="str">
        <f>'Authorized Rev Req'!X166</f>
        <v>Transmission</v>
      </c>
      <c r="F82" s="737">
        <f>'Authorized Rev Req'!W166</f>
        <v>-165836.09206060256</v>
      </c>
      <c r="G82" s="737">
        <f t="shared" si="18"/>
        <v>-165836.09206060256</v>
      </c>
      <c r="H82" s="737">
        <f t="shared" si="18"/>
        <v>-165836.09206060256</v>
      </c>
      <c r="I82" s="415">
        <f t="shared" ref="I82:J84" si="19">H82</f>
        <v>-165836.09206060256</v>
      </c>
      <c r="J82" s="415">
        <f t="shared" si="19"/>
        <v>-165836.09206060256</v>
      </c>
      <c r="K82" s="12" t="s">
        <v>94</v>
      </c>
      <c r="L82" s="485"/>
      <c r="M82" s="387"/>
    </row>
    <row r="83" spans="1:30">
      <c r="A83" t="s">
        <v>85</v>
      </c>
      <c r="C83" s="25" t="str">
        <f>'Authorized Rev Req'!B167</f>
        <v>ER26-336-000</v>
      </c>
      <c r="D83" s="23">
        <f t="shared" si="15"/>
        <v>-50636.770671978818</v>
      </c>
      <c r="E83" t="str">
        <f>'Authorized Rev Req'!X167</f>
        <v>Transmission</v>
      </c>
      <c r="F83" s="737">
        <f>'Authorized Rev Req'!W167</f>
        <v>-50636.770671978818</v>
      </c>
      <c r="G83" s="737">
        <f t="shared" si="18"/>
        <v>-50636.770671978818</v>
      </c>
      <c r="H83" s="737">
        <f t="shared" si="18"/>
        <v>-50636.770671978818</v>
      </c>
      <c r="I83" s="415">
        <f t="shared" si="19"/>
        <v>-50636.770671978818</v>
      </c>
      <c r="J83" s="415">
        <f t="shared" si="19"/>
        <v>-50636.770671978818</v>
      </c>
      <c r="K83" s="12" t="s">
        <v>94</v>
      </c>
      <c r="L83" s="485"/>
      <c r="M83" s="387"/>
    </row>
    <row r="84" spans="1:30">
      <c r="A84" t="s">
        <v>244</v>
      </c>
      <c r="C84" s="25" t="str">
        <f>'Authorized Rev Req'!B168</f>
        <v>ER26-790-000</v>
      </c>
      <c r="D84" s="23">
        <f t="shared" si="15"/>
        <v>847.9793819286399</v>
      </c>
      <c r="E84" t="str">
        <f>'Authorized Rev Req'!X168</f>
        <v>RS</v>
      </c>
      <c r="F84" s="737">
        <f>'Authorized Rev Req'!W168</f>
        <v>847.9793819286399</v>
      </c>
      <c r="G84" s="737">
        <f t="shared" si="18"/>
        <v>847.9793819286399</v>
      </c>
      <c r="H84" s="737">
        <f t="shared" si="18"/>
        <v>847.9793819286399</v>
      </c>
      <c r="I84" s="415">
        <f t="shared" si="19"/>
        <v>847.9793819286399</v>
      </c>
      <c r="J84" s="415">
        <f t="shared" si="19"/>
        <v>847.9793819286399</v>
      </c>
      <c r="K84" s="12" t="s">
        <v>94</v>
      </c>
      <c r="L84" s="485"/>
      <c r="M84" s="387"/>
    </row>
    <row r="85" spans="1:30" ht="15.75" thickBot="1">
      <c r="A85" s="18" t="s">
        <v>105</v>
      </c>
      <c r="D85" s="180">
        <f>SUM(D10:D84)</f>
        <v>4829143.5558054121</v>
      </c>
      <c r="E85" s="180"/>
      <c r="F85" s="180">
        <f>SUM(F10:F84)</f>
        <v>4829143.5558054121</v>
      </c>
      <c r="G85" s="180">
        <f>SUM(G10:G84)</f>
        <v>4883015.1115450291</v>
      </c>
      <c r="H85" s="180">
        <f>SUM(H10:H84)</f>
        <v>4858557.7386851842</v>
      </c>
      <c r="I85" s="180">
        <f>SUM(I10:I84)</f>
        <v>4718426.7390697645</v>
      </c>
      <c r="J85" s="180">
        <f>SUM(J10:J84)</f>
        <v>4668055.7578508304</v>
      </c>
      <c r="K85"/>
      <c r="L85" s="489"/>
      <c r="M85" s="387"/>
    </row>
    <row r="86" spans="1:30" ht="15.75" thickTop="1">
      <c r="C86" s="468"/>
      <c r="D86" s="277"/>
      <c r="E86" s="277"/>
      <c r="K86"/>
    </row>
    <row r="87" spans="1:30">
      <c r="A87" s="18" t="s">
        <v>245</v>
      </c>
      <c r="E87" s="15" t="s">
        <v>245</v>
      </c>
      <c r="F87" s="221">
        <f>'SDG&amp;E INPUTS'!$S$14</f>
        <v>1E-3</v>
      </c>
      <c r="K87"/>
    </row>
    <row r="88" spans="1:30">
      <c r="A88" s="18" t="s">
        <v>246</v>
      </c>
      <c r="E88" s="15"/>
      <c r="F88" s="412"/>
      <c r="G88" s="732"/>
      <c r="K88"/>
      <c r="L88" s="289"/>
    </row>
    <row r="89" spans="1:30">
      <c r="E89" s="15"/>
      <c r="G89" s="303"/>
      <c r="H89" s="303"/>
      <c r="I89" s="303"/>
      <c r="J89" s="303"/>
      <c r="K89"/>
      <c r="L89" s="289"/>
      <c r="U89" s="23"/>
      <c r="V89" s="23"/>
      <c r="W89" s="23"/>
      <c r="X89" s="23"/>
      <c r="Y89" s="23"/>
      <c r="Z89" s="23"/>
      <c r="AA89" s="23"/>
      <c r="AB89" s="23"/>
    </row>
    <row r="90" spans="1:30" ht="15.75">
      <c r="A90" s="834" t="s">
        <v>207</v>
      </c>
      <c r="B90" s="834"/>
      <c r="C90" s="834"/>
      <c r="D90" s="834"/>
      <c r="E90" s="834"/>
      <c r="F90" s="834"/>
      <c r="G90" s="834"/>
      <c r="H90" s="834"/>
      <c r="I90" s="834"/>
      <c r="J90" s="834"/>
      <c r="K90" s="834"/>
      <c r="L90" s="493"/>
      <c r="U90" s="371"/>
    </row>
    <row r="91" spans="1:30" ht="28.5" customHeight="1">
      <c r="A91" s="31" t="s">
        <v>0</v>
      </c>
      <c r="B91" s="31" t="s">
        <v>91</v>
      </c>
      <c r="C91" s="32" t="s">
        <v>152</v>
      </c>
      <c r="D91" s="32" t="s">
        <v>120</v>
      </c>
      <c r="E91" s="32" t="s">
        <v>107</v>
      </c>
      <c r="F91" s="835"/>
      <c r="G91" s="835"/>
      <c r="H91" s="835"/>
      <c r="I91" s="835"/>
      <c r="J91" s="467"/>
      <c r="K91" s="32" t="s">
        <v>92</v>
      </c>
      <c r="L91" s="490"/>
      <c r="U91" s="371"/>
      <c r="V91" s="441"/>
      <c r="W91" s="830"/>
      <c r="X91" s="830"/>
      <c r="Z91" s="391"/>
      <c r="AA91" s="12"/>
      <c r="AB91" s="12"/>
      <c r="AC91" s="391"/>
      <c r="AD91" s="12"/>
    </row>
    <row r="92" spans="1:30">
      <c r="A92" s="150" t="s">
        <v>2</v>
      </c>
      <c r="B92" s="19"/>
      <c r="C92" s="11"/>
      <c r="D92" s="11"/>
      <c r="E92" s="11"/>
      <c r="F92" s="19">
        <v>2026</v>
      </c>
      <c r="G92" s="19">
        <v>2027</v>
      </c>
      <c r="H92" s="19">
        <v>2028</v>
      </c>
      <c r="I92" s="19">
        <v>2029</v>
      </c>
      <c r="J92" s="19">
        <v>2030</v>
      </c>
      <c r="K92" s="19"/>
      <c r="L92" s="492" t="s">
        <v>153</v>
      </c>
      <c r="M92" s="13"/>
      <c r="U92" s="371"/>
      <c r="V92" s="441"/>
      <c r="W92" s="392"/>
      <c r="X92" s="393"/>
      <c r="Y92" s="390"/>
      <c r="AA92" s="142"/>
      <c r="AB92" s="142"/>
      <c r="AD92" s="142"/>
    </row>
    <row r="93" spans="1:30">
      <c r="A93" s="409" t="s">
        <v>452</v>
      </c>
      <c r="B93" s="445" t="s">
        <v>453</v>
      </c>
      <c r="C93" s="409" t="s">
        <v>597</v>
      </c>
      <c r="D93" s="415">
        <f t="shared" ref="D93:D99" si="20">SUM(F93:J93)</f>
        <v>667401.14410386502</v>
      </c>
      <c r="E93" s="409" t="s">
        <v>5</v>
      </c>
      <c r="F93" s="415"/>
      <c r="G93" s="415">
        <v>273594.15706862113</v>
      </c>
      <c r="H93" s="415">
        <v>196903.49351762194</v>
      </c>
      <c r="I93" s="415">
        <v>196903.49351762194</v>
      </c>
      <c r="J93" s="415"/>
      <c r="K93" s="445" t="s">
        <v>94</v>
      </c>
      <c r="L93" s="494" t="str">
        <f>VLOOKUP(A93,Summary!$B$7:$E$23,3,FALSE)</f>
        <v>Y</v>
      </c>
      <c r="M93" s="387"/>
      <c r="U93" s="371"/>
      <c r="V93" s="441"/>
      <c r="W93" s="392"/>
      <c r="X93" s="393"/>
      <c r="Y93" s="390"/>
      <c r="AA93" s="142"/>
      <c r="AB93" s="142"/>
      <c r="AD93" s="142"/>
    </row>
    <row r="94" spans="1:30">
      <c r="A94" s="409" t="s">
        <v>483</v>
      </c>
      <c r="B94" s="740" t="s">
        <v>487</v>
      </c>
      <c r="C94" s="409" t="s">
        <v>226</v>
      </c>
      <c r="D94" s="415">
        <f t="shared" si="20"/>
        <v>215965.17387026269</v>
      </c>
      <c r="E94" s="409" t="s">
        <v>5</v>
      </c>
      <c r="F94" s="415"/>
      <c r="G94" s="415"/>
      <c r="H94" s="415">
        <v>58048.19818360731</v>
      </c>
      <c r="I94" s="415">
        <v>69651.493387930095</v>
      </c>
      <c r="J94" s="415">
        <v>88265.482298725285</v>
      </c>
      <c r="K94" s="445" t="s">
        <v>449</v>
      </c>
      <c r="L94" s="494" t="str">
        <f>VLOOKUP(A94,Summary!$B$7:$E$23,3,FALSE)</f>
        <v>Y</v>
      </c>
      <c r="M94" s="387"/>
      <c r="U94" s="371"/>
      <c r="V94" s="441"/>
      <c r="W94" s="392"/>
      <c r="X94" s="393"/>
      <c r="Y94" s="390"/>
      <c r="AA94" s="142"/>
      <c r="AB94" s="142"/>
      <c r="AD94" s="142"/>
    </row>
    <row r="95" spans="1:30">
      <c r="A95" s="409" t="s">
        <v>493</v>
      </c>
      <c r="B95" s="445" t="s">
        <v>494</v>
      </c>
      <c r="C95" s="409" t="s">
        <v>495</v>
      </c>
      <c r="D95" s="415">
        <f t="shared" si="20"/>
        <v>354598.46101245563</v>
      </c>
      <c r="E95" s="409" t="s">
        <v>5</v>
      </c>
      <c r="F95" s="415">
        <v>140559.07067220056</v>
      </c>
      <c r="G95" s="415">
        <v>214039.39034025505</v>
      </c>
      <c r="H95" s="415"/>
      <c r="I95" s="415"/>
      <c r="J95" s="415"/>
      <c r="K95" s="445" t="s">
        <v>449</v>
      </c>
      <c r="L95" s="494" t="str">
        <f>VLOOKUP(A95,Summary!$B$7:$E$23,3,FALSE)</f>
        <v>Y</v>
      </c>
      <c r="M95" s="387"/>
    </row>
    <row r="96" spans="1:30">
      <c r="A96" s="409" t="s">
        <v>493</v>
      </c>
      <c r="B96" s="445" t="str">
        <f>B95</f>
        <v>A.22-05-015</v>
      </c>
      <c r="C96" s="409" t="s">
        <v>495</v>
      </c>
      <c r="D96" s="415">
        <f t="shared" si="20"/>
        <v>-16066.556386188642</v>
      </c>
      <c r="E96" s="409" t="s">
        <v>3</v>
      </c>
      <c r="F96" s="415">
        <v>-7090.170411342302</v>
      </c>
      <c r="G96" s="415">
        <v>-8976.3859748463401</v>
      </c>
      <c r="H96" s="415"/>
      <c r="I96" s="415"/>
      <c r="J96" s="415"/>
      <c r="K96" s="445" t="s">
        <v>449</v>
      </c>
      <c r="L96" s="494" t="str">
        <f>VLOOKUP(A96,Summary!$B$7:$E$23,3,FALSE)</f>
        <v>Y</v>
      </c>
      <c r="M96" s="387"/>
      <c r="U96" s="371"/>
      <c r="V96" s="441"/>
    </row>
    <row r="97" spans="1:22">
      <c r="A97" s="409" t="s">
        <v>493</v>
      </c>
      <c r="B97" s="445" t="str">
        <f>B96</f>
        <v>A.22-05-015</v>
      </c>
      <c r="C97" s="409" t="s">
        <v>495</v>
      </c>
      <c r="D97" s="415">
        <f t="shared" si="20"/>
        <v>-47708.107971092948</v>
      </c>
      <c r="E97" s="409" t="s">
        <v>251</v>
      </c>
      <c r="F97" s="415">
        <v>-21053.636347303236</v>
      </c>
      <c r="G97" s="415">
        <v>-26654.471623789712</v>
      </c>
      <c r="H97" s="415"/>
      <c r="I97" s="415"/>
      <c r="J97" s="415"/>
      <c r="K97" s="445" t="s">
        <v>449</v>
      </c>
      <c r="L97" s="494" t="str">
        <f>VLOOKUP(A97,Summary!$B$7:$E$23,3,FALSE)</f>
        <v>Y</v>
      </c>
      <c r="M97" s="387"/>
      <c r="U97" s="371"/>
      <c r="V97" s="441"/>
    </row>
    <row r="98" spans="1:22">
      <c r="A98" s="409" t="s">
        <v>516</v>
      </c>
      <c r="B98" s="445" t="s">
        <v>533</v>
      </c>
      <c r="C98" s="409" t="s">
        <v>226</v>
      </c>
      <c r="D98" s="415">
        <f>G98</f>
        <v>11079.127997937818</v>
      </c>
      <c r="E98" s="409" t="s">
        <v>99</v>
      </c>
      <c r="F98" s="415"/>
      <c r="G98" s="415">
        <v>11079.127997937818</v>
      </c>
      <c r="H98" s="415">
        <f t="shared" ref="H98:J98" si="21">G98</f>
        <v>11079.127997937818</v>
      </c>
      <c r="I98" s="415">
        <f t="shared" si="21"/>
        <v>11079.127997937818</v>
      </c>
      <c r="J98" s="415">
        <f t="shared" si="21"/>
        <v>11079.127997937818</v>
      </c>
      <c r="K98" s="445" t="s">
        <v>94</v>
      </c>
      <c r="L98" s="494" t="str">
        <f>VLOOKUP(A98,Summary!$B$7:$E$23,3,FALSE)</f>
        <v>Y</v>
      </c>
      <c r="M98" s="387"/>
      <c r="U98" s="371"/>
      <c r="V98" s="441"/>
    </row>
    <row r="99" spans="1:22">
      <c r="A99" s="409" t="s">
        <v>530</v>
      </c>
      <c r="B99" s="445" t="s">
        <v>534</v>
      </c>
      <c r="C99" s="409" t="s">
        <v>226</v>
      </c>
      <c r="D99" s="415">
        <f t="shared" si="20"/>
        <v>30968.082936334897</v>
      </c>
      <c r="E99" s="409" t="s">
        <v>5</v>
      </c>
      <c r="F99" s="415"/>
      <c r="G99" s="415"/>
      <c r="H99" s="415">
        <v>14196.128272334898</v>
      </c>
      <c r="I99" s="415">
        <v>8352.7102249999989</v>
      </c>
      <c r="J99" s="415">
        <v>8419.2444390000001</v>
      </c>
      <c r="K99" s="445" t="s">
        <v>449</v>
      </c>
      <c r="L99" s="494" t="str">
        <f>VLOOKUP(A99,Summary!$B$7:$E$23,3,FALSE)</f>
        <v>Y</v>
      </c>
      <c r="M99" s="387"/>
      <c r="U99" s="371"/>
      <c r="V99" s="441"/>
    </row>
    <row r="100" spans="1:22">
      <c r="A100" s="409" t="s">
        <v>601</v>
      </c>
      <c r="B100" s="445" t="s">
        <v>595</v>
      </c>
      <c r="C100" s="409" t="s">
        <v>226</v>
      </c>
      <c r="D100" s="415">
        <f>SUM(F100:J100)</f>
        <v>1831135.5484434767</v>
      </c>
      <c r="E100" s="409" t="s">
        <v>5</v>
      </c>
      <c r="F100" s="415"/>
      <c r="G100" s="415"/>
      <c r="H100" s="415">
        <v>372297.1033159541</v>
      </c>
      <c r="I100" s="415">
        <v>643853.89556884486</v>
      </c>
      <c r="J100" s="415">
        <v>814984.54955867771</v>
      </c>
      <c r="K100" s="445" t="s">
        <v>449</v>
      </c>
      <c r="L100" s="494" t="str">
        <f>VLOOKUP(A100,Summary!$B$7:$E$23,3,FALSE)</f>
        <v>Y</v>
      </c>
      <c r="M100" s="387"/>
      <c r="U100" s="371"/>
      <c r="V100" s="441"/>
    </row>
    <row r="101" spans="1:22">
      <c r="A101" s="409" t="s">
        <v>601</v>
      </c>
      <c r="B101" s="445" t="s">
        <v>595</v>
      </c>
      <c r="C101" s="409" t="s">
        <v>226</v>
      </c>
      <c r="D101" s="415">
        <f>SUM(F101:J101)</f>
        <v>-37194.611407004617</v>
      </c>
      <c r="E101" s="409" t="s">
        <v>3</v>
      </c>
      <c r="F101" s="415"/>
      <c r="G101" s="415"/>
      <c r="H101" s="415">
        <v>-12021.510255269968</v>
      </c>
      <c r="I101" s="415">
        <v>-11934.310605007428</v>
      </c>
      <c r="J101" s="415">
        <v>-13238.790546727221</v>
      </c>
      <c r="K101" s="445" t="s">
        <v>449</v>
      </c>
      <c r="L101" s="494" t="str">
        <f>VLOOKUP(A101,Summary!$B$7:$E$23,3,FALSE)</f>
        <v>Y</v>
      </c>
      <c r="M101" s="387"/>
      <c r="U101" s="371"/>
      <c r="V101" s="441"/>
    </row>
    <row r="102" spans="1:22">
      <c r="A102" s="409"/>
      <c r="B102" s="409"/>
      <c r="C102" s="409"/>
      <c r="D102" s="415"/>
      <c r="E102" s="409"/>
      <c r="F102" s="415"/>
      <c r="G102" s="415"/>
      <c r="H102" s="415"/>
      <c r="I102" s="415"/>
      <c r="J102" s="415"/>
      <c r="K102" s="445"/>
      <c r="L102" s="310"/>
      <c r="M102" s="387"/>
      <c r="U102" s="371"/>
      <c r="V102" s="441"/>
    </row>
    <row r="103" spans="1:22">
      <c r="A103" s="741" t="s">
        <v>7</v>
      </c>
      <c r="B103" s="409"/>
      <c r="C103" s="409"/>
      <c r="D103" s="415"/>
      <c r="E103" s="742"/>
      <c r="F103" s="739"/>
      <c r="G103" s="737"/>
      <c r="H103" s="737"/>
      <c r="I103" s="415"/>
      <c r="J103" s="415"/>
      <c r="K103" s="743"/>
      <c r="L103" s="310"/>
      <c r="M103" s="387"/>
      <c r="U103" s="371"/>
      <c r="V103" s="441"/>
    </row>
    <row r="104" spans="1:22">
      <c r="A104" s="409" t="s">
        <v>491</v>
      </c>
      <c r="B104" s="409" t="s">
        <v>507</v>
      </c>
      <c r="C104" s="409" t="s">
        <v>226</v>
      </c>
      <c r="D104" s="415">
        <f t="shared" ref="D104:D112" si="22">SUM(F104:J104)</f>
        <v>7964.1770064629382</v>
      </c>
      <c r="E104" s="742" t="s">
        <v>99</v>
      </c>
      <c r="F104" s="415"/>
      <c r="G104" s="415"/>
      <c r="H104" s="415">
        <v>2243.1892935513524</v>
      </c>
      <c r="I104" s="415">
        <v>3384.4434241125614</v>
      </c>
      <c r="J104" s="415">
        <v>2336.5442887990248</v>
      </c>
      <c r="K104" s="445" t="s">
        <v>449</v>
      </c>
      <c r="L104" s="494" t="str">
        <f>VLOOKUP(A104,Summary!$B$7:$E$23,3,FALSE)</f>
        <v>Y</v>
      </c>
      <c r="M104" s="387"/>
      <c r="U104" s="371"/>
      <c r="V104" s="441"/>
    </row>
    <row r="105" spans="1:22">
      <c r="A105" s="409" t="s">
        <v>102</v>
      </c>
      <c r="B105" s="409" t="s">
        <v>608</v>
      </c>
      <c r="C105" s="409" t="s">
        <v>226</v>
      </c>
      <c r="D105" s="415">
        <f t="shared" si="22"/>
        <v>13050.047999999997</v>
      </c>
      <c r="E105" s="742" t="s">
        <v>99</v>
      </c>
      <c r="F105" s="415"/>
      <c r="G105" s="415"/>
      <c r="H105" s="415">
        <v>7830.0287999999991</v>
      </c>
      <c r="I105" s="415">
        <v>2610.0095999999994</v>
      </c>
      <c r="J105" s="415">
        <v>2610.0095999999994</v>
      </c>
      <c r="K105" s="445" t="s">
        <v>94</v>
      </c>
      <c r="L105" s="494" t="str">
        <f>VLOOKUP(A105,Summary!$B$7:$E$23,3,FALSE)</f>
        <v>Y</v>
      </c>
      <c r="M105" s="387"/>
      <c r="U105" s="371"/>
      <c r="V105" s="441"/>
    </row>
    <row r="106" spans="1:22">
      <c r="A106" s="409" t="s">
        <v>531</v>
      </c>
      <c r="B106" s="740" t="s">
        <v>451</v>
      </c>
      <c r="C106" s="409" t="s">
        <v>226</v>
      </c>
      <c r="D106" s="415">
        <f t="shared" si="22"/>
        <v>-125525.07822102196</v>
      </c>
      <c r="E106" s="742" t="s">
        <v>99</v>
      </c>
      <c r="F106" s="415">
        <v>-17992.954355050002</v>
      </c>
      <c r="G106" s="415">
        <v>-13326.28282569299</v>
      </c>
      <c r="H106" s="415">
        <v>-31122.04051924299</v>
      </c>
      <c r="I106" s="415">
        <v>-31547.15644259299</v>
      </c>
      <c r="J106" s="415">
        <v>-31536.644078442987</v>
      </c>
      <c r="K106" s="445" t="s">
        <v>94</v>
      </c>
      <c r="L106" s="494" t="str">
        <f>VLOOKUP(A106,Summary!$B$7:$E$23,3,FALSE)</f>
        <v>Y</v>
      </c>
      <c r="M106" s="387"/>
      <c r="N106" s="23"/>
    </row>
    <row r="107" spans="1:22">
      <c r="A107" s="409" t="s">
        <v>536</v>
      </c>
      <c r="B107" s="740" t="s">
        <v>535</v>
      </c>
      <c r="C107" s="409" t="s">
        <v>226</v>
      </c>
      <c r="D107" s="415">
        <f t="shared" si="22"/>
        <v>-16155.836838872152</v>
      </c>
      <c r="E107" s="742" t="s">
        <v>99</v>
      </c>
      <c r="F107" s="415"/>
      <c r="G107" s="415"/>
      <c r="H107" s="415">
        <v>-6297.7619247639486</v>
      </c>
      <c r="I107" s="415">
        <v>-5725.4012880222281</v>
      </c>
      <c r="J107" s="415">
        <v>-4132.6736260859743</v>
      </c>
      <c r="K107" s="445" t="s">
        <v>94</v>
      </c>
      <c r="L107" s="494" t="str">
        <f>VLOOKUP(A107,Summary!$B$7:$E$23,3,FALSE)</f>
        <v>Y</v>
      </c>
      <c r="M107" s="387"/>
      <c r="N107" s="23"/>
    </row>
    <row r="108" spans="1:22">
      <c r="A108" s="409" t="s">
        <v>536</v>
      </c>
      <c r="B108" s="740" t="s">
        <v>535</v>
      </c>
      <c r="C108" s="409" t="s">
        <v>226</v>
      </c>
      <c r="D108" s="415">
        <f t="shared" si="22"/>
        <v>5671.2614350709991</v>
      </c>
      <c r="E108" s="742" t="s">
        <v>5</v>
      </c>
      <c r="F108" s="415"/>
      <c r="G108" s="415"/>
      <c r="H108" s="415">
        <v>1890.4204783569999</v>
      </c>
      <c r="I108" s="415">
        <v>1890.4204783569999</v>
      </c>
      <c r="J108" s="415">
        <v>1890.4204783569999</v>
      </c>
      <c r="K108" s="445" t="s">
        <v>94</v>
      </c>
      <c r="L108" s="494" t="str">
        <f>VLOOKUP(A108,Summary!$B$7:$E$23,3,FALSE)</f>
        <v>Y</v>
      </c>
      <c r="M108" s="387"/>
      <c r="N108" s="23"/>
    </row>
    <row r="109" spans="1:22" ht="14.45" customHeight="1">
      <c r="A109" s="409" t="s">
        <v>484</v>
      </c>
      <c r="B109" s="740" t="s">
        <v>488</v>
      </c>
      <c r="C109" s="409" t="s">
        <v>226</v>
      </c>
      <c r="D109" s="415">
        <f t="shared" si="22"/>
        <v>5123.4604262583834</v>
      </c>
      <c r="E109" s="742" t="s">
        <v>3</v>
      </c>
      <c r="F109" s="415"/>
      <c r="G109" s="415">
        <v>2992.3496557883668</v>
      </c>
      <c r="H109" s="415">
        <v>750.15148909867344</v>
      </c>
      <c r="I109" s="415">
        <v>712.67319860173757</v>
      </c>
      <c r="J109" s="415">
        <v>668.2860827696062</v>
      </c>
      <c r="K109" s="445" t="s">
        <v>449</v>
      </c>
      <c r="L109" s="494" t="str">
        <f>VLOOKUP(A109,Summary!$B$7:$E$23,3,FALSE)</f>
        <v>Y</v>
      </c>
      <c r="M109" s="387"/>
      <c r="N109" s="482" t="s">
        <v>155</v>
      </c>
      <c r="O109" s="482"/>
      <c r="P109" s="482"/>
      <c r="Q109" s="482"/>
      <c r="R109" s="482"/>
      <c r="S109" s="482"/>
    </row>
    <row r="110" spans="1:22">
      <c r="A110" s="409" t="s">
        <v>484</v>
      </c>
      <c r="B110" s="740" t="s">
        <v>488</v>
      </c>
      <c r="C110" s="409" t="s">
        <v>226</v>
      </c>
      <c r="D110" s="415">
        <f t="shared" si="22"/>
        <v>15297.660821736969</v>
      </c>
      <c r="E110" s="742" t="s">
        <v>251</v>
      </c>
      <c r="F110" s="415"/>
      <c r="G110" s="415">
        <v>8934.5766895522902</v>
      </c>
      <c r="H110" s="415">
        <v>2239.8071011417805</v>
      </c>
      <c r="I110" s="415">
        <v>2127.9041823132748</v>
      </c>
      <c r="J110" s="415">
        <v>1995.3728487296212</v>
      </c>
      <c r="K110" s="445" t="s">
        <v>449</v>
      </c>
      <c r="L110" s="494" t="str">
        <f>VLOOKUP(A110,Summary!$B$7:$E$23,3,FALSE)</f>
        <v>Y</v>
      </c>
      <c r="M110" s="387"/>
      <c r="N110" s="19"/>
      <c r="O110" s="19">
        <f>O8</f>
        <v>2026</v>
      </c>
      <c r="P110" s="19">
        <f>P8</f>
        <v>2027</v>
      </c>
      <c r="Q110" s="19">
        <f>Q8</f>
        <v>2028</v>
      </c>
      <c r="R110" s="19">
        <f>R8</f>
        <v>2029</v>
      </c>
      <c r="S110" s="19">
        <f>S8</f>
        <v>2030</v>
      </c>
    </row>
    <row r="111" spans="1:22">
      <c r="A111" s="409" t="s">
        <v>486</v>
      </c>
      <c r="B111" s="740" t="s">
        <v>489</v>
      </c>
      <c r="C111" s="409" t="s">
        <v>226</v>
      </c>
      <c r="D111" s="415">
        <f t="shared" si="22"/>
        <v>15915.457493067119</v>
      </c>
      <c r="E111" s="742" t="s">
        <v>99</v>
      </c>
      <c r="F111" s="415"/>
      <c r="G111" s="415">
        <v>15915.457493067119</v>
      </c>
      <c r="H111" s="415"/>
      <c r="I111" s="415"/>
      <c r="J111" s="415"/>
      <c r="K111" s="445" t="s">
        <v>94</v>
      </c>
      <c r="L111" s="494" t="str">
        <f>VLOOKUP(A111,Summary!$B$7:$E$23,3,FALSE)</f>
        <v>Y</v>
      </c>
      <c r="M111" s="387"/>
      <c r="N111" s="75" t="s">
        <v>3</v>
      </c>
      <c r="O111" s="74">
        <f t="shared" ref="O111:O124" si="23">SUM(O9,SUMIFS(F$93:F$177,$E$93:$E$177,$N111,$L$93:$L$177,"y"))</f>
        <v>578490.23070433654</v>
      </c>
      <c r="P111" s="74">
        <f t="shared" ref="P111:P124" si="24">SUM(P9,SUMIFS(G$93:G$177,$E$93:$E$177,$N111,$L$93:$L$177,"y"))</f>
        <v>527721.5504827348</v>
      </c>
      <c r="Q111" s="74">
        <f t="shared" ref="Q111:Q124" si="25">SUM(Q9,SUMIFS(H$93:H$177,$E$93:$E$177,$N111,$L$93:$L$177,"y"))</f>
        <v>522386.82770684146</v>
      </c>
      <c r="R111" s="74">
        <f t="shared" ref="R111:R124" si="26">SUM(R9,SUMIFS(I$93:I$177,$E$93:$E$177,$N111,$L$93:$L$177,"y"))</f>
        <v>522379.26393352711</v>
      </c>
      <c r="S111" s="74">
        <f t="shared" ref="S111:S124" si="27">SUM(S9,SUMIFS(J$93:J$177,$E$93:$E$177,$N111,$L$93:$L$177,"y"))</f>
        <v>521030.39687597519</v>
      </c>
    </row>
    <row r="112" spans="1:22">
      <c r="A112" s="409" t="s">
        <v>485</v>
      </c>
      <c r="B112" s="740" t="s">
        <v>599</v>
      </c>
      <c r="C112" s="409" t="s">
        <v>605</v>
      </c>
      <c r="D112" s="415">
        <f t="shared" si="22"/>
        <v>34049.952982758368</v>
      </c>
      <c r="E112" s="742" t="s">
        <v>99</v>
      </c>
      <c r="F112" s="415"/>
      <c r="G112" s="415"/>
      <c r="H112" s="415">
        <v>6522.7719403014562</v>
      </c>
      <c r="I112" s="415">
        <v>11876.957514355576</v>
      </c>
      <c r="J112" s="415">
        <v>15650.223528101335</v>
      </c>
      <c r="K112" s="445" t="s">
        <v>94</v>
      </c>
      <c r="L112" s="494" t="str">
        <f>VLOOKUP(A112,Summary!$B$7:$E$23,3,FALSE)</f>
        <v>Y</v>
      </c>
      <c r="M112" s="387"/>
      <c r="N112" s="75" t="s">
        <v>372</v>
      </c>
      <c r="O112" s="74">
        <f t="shared" si="23"/>
        <v>313.03090980522069</v>
      </c>
      <c r="P112" s="74">
        <f t="shared" si="24"/>
        <v>369.95201587564628</v>
      </c>
      <c r="Q112" s="74">
        <f t="shared" si="25"/>
        <v>369.95201587564628</v>
      </c>
      <c r="R112" s="74">
        <f t="shared" si="26"/>
        <v>369.95201587564628</v>
      </c>
      <c r="S112" s="74">
        <f t="shared" si="27"/>
        <v>369.95201587564628</v>
      </c>
    </row>
    <row r="113" spans="1:19">
      <c r="A113" s="409" t="s">
        <v>515</v>
      </c>
      <c r="B113" s="740" t="s">
        <v>538</v>
      </c>
      <c r="C113" s="409" t="s">
        <v>226</v>
      </c>
      <c r="D113" s="415">
        <f>G113</f>
        <v>6744.6264899999951</v>
      </c>
      <c r="E113" s="742" t="s">
        <v>3</v>
      </c>
      <c r="F113" s="737"/>
      <c r="G113" s="415">
        <v>6744.6264899999951</v>
      </c>
      <c r="H113" s="415">
        <f t="shared" ref="H113:J113" si="28">G113</f>
        <v>6744.6264899999951</v>
      </c>
      <c r="I113" s="415">
        <f t="shared" si="28"/>
        <v>6744.6264899999951</v>
      </c>
      <c r="J113" s="415">
        <f t="shared" si="28"/>
        <v>6744.6264899999951</v>
      </c>
      <c r="K113" s="445" t="s">
        <v>94</v>
      </c>
      <c r="L113" s="494" t="str">
        <f>VLOOKUP(A113,Summary!$B$7:$E$23,3,FALSE)</f>
        <v>Y</v>
      </c>
      <c r="M113" s="387"/>
      <c r="N113" s="75" t="s">
        <v>59</v>
      </c>
      <c r="O113" s="74">
        <f t="shared" si="23"/>
        <v>171405.04534484091</v>
      </c>
      <c r="P113" s="74">
        <f t="shared" si="24"/>
        <v>255410.28234802242</v>
      </c>
      <c r="Q113" s="74">
        <f t="shared" si="25"/>
        <v>255410.28234802242</v>
      </c>
      <c r="R113" s="74">
        <f t="shared" si="26"/>
        <v>255410.28234802242</v>
      </c>
      <c r="S113" s="74">
        <f t="shared" si="27"/>
        <v>255410.28234802242</v>
      </c>
    </row>
    <row r="114" spans="1:19">
      <c r="A114" s="409" t="s">
        <v>515</v>
      </c>
      <c r="B114" s="740" t="s">
        <v>538</v>
      </c>
      <c r="C114" s="409" t="s">
        <v>226</v>
      </c>
      <c r="D114" s="415">
        <f t="shared" ref="D114:D132" si="29">G114</f>
        <v>21628.370306568897</v>
      </c>
      <c r="E114" s="742" t="s">
        <v>3</v>
      </c>
      <c r="F114" s="737"/>
      <c r="G114" s="415">
        <v>21628.370306568897</v>
      </c>
      <c r="H114" s="415">
        <f t="shared" ref="H114:J130" si="30">G114</f>
        <v>21628.370306568897</v>
      </c>
      <c r="I114" s="415">
        <f t="shared" si="30"/>
        <v>21628.370306568897</v>
      </c>
      <c r="J114" s="415">
        <f t="shared" si="30"/>
        <v>21628.370306568897</v>
      </c>
      <c r="K114" s="445" t="s">
        <v>94</v>
      </c>
      <c r="L114" s="494" t="str">
        <f>VLOOKUP(A114,Summary!$B$7:$E$23,3,FALSE)</f>
        <v>Y</v>
      </c>
      <c r="M114" s="387"/>
      <c r="N114" s="75" t="s">
        <v>5</v>
      </c>
      <c r="O114" s="74">
        <f t="shared" si="23"/>
        <v>2621546.3521841276</v>
      </c>
      <c r="P114" s="74">
        <f t="shared" si="24"/>
        <v>3009101.0440330678</v>
      </c>
      <c r="Q114" s="74">
        <f t="shared" si="25"/>
        <v>3168105.5022335025</v>
      </c>
      <c r="R114" s="74">
        <f t="shared" si="26"/>
        <v>3305348.4571610424</v>
      </c>
      <c r="S114" s="74">
        <f t="shared" si="27"/>
        <v>3247885.1595391147</v>
      </c>
    </row>
    <row r="115" spans="1:19">
      <c r="A115" s="409" t="s">
        <v>515</v>
      </c>
      <c r="B115" s="740" t="s">
        <v>538</v>
      </c>
      <c r="C115" s="409" t="s">
        <v>226</v>
      </c>
      <c r="D115" s="415">
        <f t="shared" si="29"/>
        <v>-13269.949548150238</v>
      </c>
      <c r="E115" s="742" t="s">
        <v>3</v>
      </c>
      <c r="F115" s="737"/>
      <c r="G115" s="415">
        <v>-13269.949548150238</v>
      </c>
      <c r="H115" s="415">
        <f t="shared" si="30"/>
        <v>-13269.949548150238</v>
      </c>
      <c r="I115" s="415">
        <f t="shared" si="30"/>
        <v>-13269.949548150238</v>
      </c>
      <c r="J115" s="415">
        <f t="shared" si="30"/>
        <v>-13269.949548150238</v>
      </c>
      <c r="K115" s="445" t="s">
        <v>94</v>
      </c>
      <c r="L115" s="494" t="str">
        <f>VLOOKUP(A115,Summary!$B$7:$E$23,3,FALSE)</f>
        <v>Y</v>
      </c>
      <c r="M115" s="387"/>
      <c r="N115" s="75" t="s">
        <v>98</v>
      </c>
      <c r="O115" s="74">
        <f t="shared" si="23"/>
        <v>-149108.549279297</v>
      </c>
      <c r="P115" s="74">
        <f t="shared" si="24"/>
        <v>-137797.42794241811</v>
      </c>
      <c r="Q115" s="74">
        <f t="shared" si="25"/>
        <v>-137797.42794241811</v>
      </c>
      <c r="R115" s="74">
        <f t="shared" si="26"/>
        <v>-137797.42794241811</v>
      </c>
      <c r="S115" s="74">
        <f t="shared" si="27"/>
        <v>-137797.42794241811</v>
      </c>
    </row>
    <row r="116" spans="1:19">
      <c r="A116" s="409" t="s">
        <v>515</v>
      </c>
      <c r="B116" s="740" t="s">
        <v>538</v>
      </c>
      <c r="C116" s="409" t="s">
        <v>226</v>
      </c>
      <c r="D116" s="415">
        <f t="shared" si="29"/>
        <v>-43495.147844481464</v>
      </c>
      <c r="E116" s="742" t="s">
        <v>3</v>
      </c>
      <c r="F116" s="737"/>
      <c r="G116" s="415">
        <v>-43495.147844481464</v>
      </c>
      <c r="H116" s="415">
        <f t="shared" si="30"/>
        <v>-43495.147844481464</v>
      </c>
      <c r="I116" s="415">
        <f t="shared" si="30"/>
        <v>-43495.147844481464</v>
      </c>
      <c r="J116" s="415">
        <f t="shared" si="30"/>
        <v>-43495.147844481464</v>
      </c>
      <c r="K116" s="445" t="s">
        <v>94</v>
      </c>
      <c r="L116" s="494" t="str">
        <f>VLOOKUP(A116,Summary!$B$7:$E$23,3,FALSE)</f>
        <v>Y</v>
      </c>
      <c r="M116" s="387"/>
      <c r="N116" s="75" t="s">
        <v>14</v>
      </c>
      <c r="O116" s="74">
        <f t="shared" si="23"/>
        <v>-1314.4084937329058</v>
      </c>
      <c r="P116" s="74">
        <f t="shared" si="24"/>
        <v>-1732.1215296796659</v>
      </c>
      <c r="Q116" s="74">
        <f t="shared" si="25"/>
        <v>-1732.1215296796659</v>
      </c>
      <c r="R116" s="74">
        <f t="shared" si="26"/>
        <v>-1732.1215296796659</v>
      </c>
      <c r="S116" s="74">
        <f t="shared" si="27"/>
        <v>-1732.1215296796659</v>
      </c>
    </row>
    <row r="117" spans="1:19">
      <c r="A117" s="409" t="s">
        <v>515</v>
      </c>
      <c r="B117" s="740" t="s">
        <v>538</v>
      </c>
      <c r="C117" s="409" t="s">
        <v>226</v>
      </c>
      <c r="D117" s="415">
        <f t="shared" si="29"/>
        <v>-31560.615936276525</v>
      </c>
      <c r="E117" s="742" t="s">
        <v>3</v>
      </c>
      <c r="F117" s="737"/>
      <c r="G117" s="415">
        <v>-31560.615936276525</v>
      </c>
      <c r="H117" s="415">
        <f t="shared" si="30"/>
        <v>-31560.615936276525</v>
      </c>
      <c r="I117" s="415">
        <f t="shared" si="30"/>
        <v>-31560.615936276525</v>
      </c>
      <c r="J117" s="415">
        <f t="shared" si="30"/>
        <v>-31560.615936276525</v>
      </c>
      <c r="K117" s="445" t="s">
        <v>94</v>
      </c>
      <c r="L117" s="494" t="str">
        <f>VLOOKUP(A117,Summary!$B$7:$E$23,3,FALSE)</f>
        <v>Y</v>
      </c>
      <c r="M117" s="387"/>
      <c r="N117" s="75" t="s">
        <v>80</v>
      </c>
      <c r="O117" s="74">
        <f t="shared" si="23"/>
        <v>-64.002330000000001</v>
      </c>
      <c r="P117" s="74">
        <f t="shared" si="24"/>
        <v>-64.002330000000001</v>
      </c>
      <c r="Q117" s="74">
        <f t="shared" si="25"/>
        <v>-64.002330000000001</v>
      </c>
      <c r="R117" s="74">
        <f t="shared" si="26"/>
        <v>-64.002330000000001</v>
      </c>
      <c r="S117" s="74">
        <f t="shared" si="27"/>
        <v>-64.002330000000001</v>
      </c>
    </row>
    <row r="118" spans="1:19">
      <c r="A118" s="409" t="s">
        <v>515</v>
      </c>
      <c r="B118" s="740" t="s">
        <v>538</v>
      </c>
      <c r="C118" s="409" t="s">
        <v>226</v>
      </c>
      <c r="D118" s="415">
        <f t="shared" si="29"/>
        <v>-303.40201340677231</v>
      </c>
      <c r="E118" s="742" t="s">
        <v>3</v>
      </c>
      <c r="F118" s="737"/>
      <c r="G118" s="415">
        <v>-303.40201340677231</v>
      </c>
      <c r="H118" s="415">
        <f t="shared" ref="H118" si="31">G118</f>
        <v>-303.40201340677231</v>
      </c>
      <c r="I118" s="415">
        <f t="shared" ref="I118" si="32">H118</f>
        <v>-303.40201340677231</v>
      </c>
      <c r="J118" s="415">
        <f t="shared" ref="J118" si="33">I118</f>
        <v>-303.40201340677231</v>
      </c>
      <c r="K118" s="445" t="s">
        <v>94</v>
      </c>
      <c r="L118" s="494" t="str">
        <f>VLOOKUP(A118,Summary!$B$7:$E$23,3,FALSE)</f>
        <v>Y</v>
      </c>
      <c r="M118" s="387"/>
      <c r="N118" s="75" t="s">
        <v>99</v>
      </c>
      <c r="O118" s="74">
        <f t="shared" si="23"/>
        <v>318149.23445337155</v>
      </c>
      <c r="P118" s="74">
        <f t="shared" si="24"/>
        <v>356539.43334481248</v>
      </c>
      <c r="Q118" s="74">
        <f t="shared" si="25"/>
        <v>305413.81189478422</v>
      </c>
      <c r="R118" s="74">
        <f t="shared" si="26"/>
        <v>306836.47711279127</v>
      </c>
      <c r="S118" s="74">
        <f t="shared" si="27"/>
        <v>311165.08401730977</v>
      </c>
    </row>
    <row r="119" spans="1:19">
      <c r="A119" s="409" t="s">
        <v>515</v>
      </c>
      <c r="B119" s="740" t="s">
        <v>538</v>
      </c>
      <c r="C119" s="409" t="s">
        <v>226</v>
      </c>
      <c r="D119" s="415">
        <f t="shared" si="29"/>
        <v>11311.121336878889</v>
      </c>
      <c r="E119" s="742" t="s">
        <v>98</v>
      </c>
      <c r="F119" s="737"/>
      <c r="G119" s="415">
        <v>11311.121336878889</v>
      </c>
      <c r="H119" s="415">
        <f t="shared" si="30"/>
        <v>11311.121336878889</v>
      </c>
      <c r="I119" s="415">
        <f t="shared" si="30"/>
        <v>11311.121336878889</v>
      </c>
      <c r="J119" s="415">
        <f t="shared" si="30"/>
        <v>11311.121336878889</v>
      </c>
      <c r="K119" s="445" t="s">
        <v>94</v>
      </c>
      <c r="L119" s="494" t="str">
        <f>VLOOKUP(A119,Summary!$B$7:$E$23,3,FALSE)</f>
        <v>Y</v>
      </c>
      <c r="M119" s="387"/>
      <c r="N119" s="76" t="s">
        <v>97</v>
      </c>
      <c r="O119" s="74">
        <f t="shared" si="23"/>
        <v>0</v>
      </c>
      <c r="P119" s="74">
        <f t="shared" si="24"/>
        <v>0</v>
      </c>
      <c r="Q119" s="74">
        <f t="shared" si="25"/>
        <v>0</v>
      </c>
      <c r="R119" s="74">
        <f t="shared" si="26"/>
        <v>0</v>
      </c>
      <c r="S119" s="74">
        <f t="shared" si="27"/>
        <v>0</v>
      </c>
    </row>
    <row r="120" spans="1:19">
      <c r="A120" s="409" t="s">
        <v>515</v>
      </c>
      <c r="B120" s="740" t="s">
        <v>538</v>
      </c>
      <c r="C120" s="409" t="s">
        <v>226</v>
      </c>
      <c r="D120" s="415">
        <f t="shared" si="29"/>
        <v>-417.7130359467601</v>
      </c>
      <c r="E120" s="742" t="s">
        <v>14</v>
      </c>
      <c r="F120" s="737"/>
      <c r="G120" s="415">
        <v>-417.7130359467601</v>
      </c>
      <c r="H120" s="415">
        <f t="shared" si="30"/>
        <v>-417.7130359467601</v>
      </c>
      <c r="I120" s="415">
        <f t="shared" si="30"/>
        <v>-417.7130359467601</v>
      </c>
      <c r="J120" s="415">
        <f t="shared" si="30"/>
        <v>-417.7130359467601</v>
      </c>
      <c r="K120" s="445" t="s">
        <v>94</v>
      </c>
      <c r="L120" s="494" t="str">
        <f>VLOOKUP(A120,Summary!$B$7:$E$23,3,FALSE)</f>
        <v>Y</v>
      </c>
      <c r="M120" s="387"/>
      <c r="N120" s="75" t="s">
        <v>251</v>
      </c>
      <c r="O120" s="74">
        <f t="shared" si="23"/>
        <v>310169.33813334251</v>
      </c>
      <c r="P120" s="74">
        <f t="shared" si="24"/>
        <v>289436.70064696018</v>
      </c>
      <c r="Q120" s="74">
        <f t="shared" si="25"/>
        <v>309396.40268233937</v>
      </c>
      <c r="R120" s="74">
        <f t="shared" si="26"/>
        <v>309284.49976351089</v>
      </c>
      <c r="S120" s="74">
        <f t="shared" si="27"/>
        <v>309151.96842992719</v>
      </c>
    </row>
    <row r="121" spans="1:19">
      <c r="A121" s="409" t="s">
        <v>515</v>
      </c>
      <c r="B121" s="740" t="s">
        <v>538</v>
      </c>
      <c r="C121" s="409" t="s">
        <v>226</v>
      </c>
      <c r="D121" s="788"/>
      <c r="E121" s="742" t="s">
        <v>99</v>
      </c>
      <c r="F121" s="737"/>
      <c r="G121" s="788"/>
      <c r="H121" s="788"/>
      <c r="I121" s="788"/>
      <c r="J121" s="788"/>
      <c r="K121" s="445" t="s">
        <v>94</v>
      </c>
      <c r="L121" s="494" t="str">
        <f>VLOOKUP(A121,Summary!$B$7:$E$23,3,FALSE)</f>
        <v>Y</v>
      </c>
      <c r="M121" s="387"/>
      <c r="N121" s="75" t="s">
        <v>10</v>
      </c>
      <c r="O121" s="74">
        <f t="shared" si="23"/>
        <v>984590.0567607712</v>
      </c>
      <c r="P121" s="74">
        <f t="shared" si="24"/>
        <v>1137793.6234757532</v>
      </c>
      <c r="Q121" s="74">
        <f t="shared" si="25"/>
        <v>1137793.6234757532</v>
      </c>
      <c r="R121" s="74">
        <f t="shared" si="26"/>
        <v>1137793.6234757532</v>
      </c>
      <c r="S121" s="74">
        <f t="shared" si="27"/>
        <v>1137793.6234757532</v>
      </c>
    </row>
    <row r="122" spans="1:19">
      <c r="A122" s="409" t="s">
        <v>515</v>
      </c>
      <c r="B122" s="740" t="s">
        <v>538</v>
      </c>
      <c r="C122" s="409" t="s">
        <v>226</v>
      </c>
      <c r="D122" s="415">
        <f t="shared" si="29"/>
        <v>38900.738521807361</v>
      </c>
      <c r="E122" s="742" t="s">
        <v>59</v>
      </c>
      <c r="F122" s="737"/>
      <c r="G122" s="415">
        <v>38900.738521807361</v>
      </c>
      <c r="H122" s="415">
        <f t="shared" si="30"/>
        <v>38900.738521807361</v>
      </c>
      <c r="I122" s="415">
        <f t="shared" si="30"/>
        <v>38900.738521807361</v>
      </c>
      <c r="J122" s="415">
        <f t="shared" si="30"/>
        <v>38900.738521807361</v>
      </c>
      <c r="K122" s="445" t="s">
        <v>94</v>
      </c>
      <c r="L122" s="494" t="str">
        <f>VLOOKUP(A122,Summary!$B$7:$E$23,3,FALSE)</f>
        <v>Y</v>
      </c>
      <c r="M122" s="387"/>
      <c r="N122" s="75" t="s">
        <v>87</v>
      </c>
      <c r="O122" s="74">
        <f t="shared" si="23"/>
        <v>847.9793819286399</v>
      </c>
      <c r="P122" s="74">
        <f t="shared" si="24"/>
        <v>847.9793819286399</v>
      </c>
      <c r="Q122" s="74">
        <f t="shared" si="25"/>
        <v>847.9793819286399</v>
      </c>
      <c r="R122" s="74">
        <f t="shared" si="26"/>
        <v>847.9793819286399</v>
      </c>
      <c r="S122" s="74">
        <f t="shared" si="27"/>
        <v>847.9793819286399</v>
      </c>
    </row>
    <row r="123" spans="1:19">
      <c r="A123" s="409" t="s">
        <v>515</v>
      </c>
      <c r="B123" s="740" t="s">
        <v>538</v>
      </c>
      <c r="C123" s="409" t="s">
        <v>226</v>
      </c>
      <c r="D123" s="415">
        <f t="shared" si="29"/>
        <v>45104.498481374154</v>
      </c>
      <c r="E123" s="742" t="s">
        <v>59</v>
      </c>
      <c r="F123" s="737"/>
      <c r="G123" s="415">
        <v>45104.498481374154</v>
      </c>
      <c r="H123" s="415">
        <f t="shared" si="30"/>
        <v>45104.498481374154</v>
      </c>
      <c r="I123" s="415">
        <f t="shared" si="30"/>
        <v>45104.498481374154</v>
      </c>
      <c r="J123" s="415">
        <f t="shared" si="30"/>
        <v>45104.498481374154</v>
      </c>
      <c r="K123" s="445" t="s">
        <v>94</v>
      </c>
      <c r="L123" s="494" t="str">
        <f>VLOOKUP(A123,Summary!$B$7:$E$23,3,FALSE)</f>
        <v>Y</v>
      </c>
      <c r="M123" s="387"/>
      <c r="N123" s="75" t="s">
        <v>78</v>
      </c>
      <c r="O123" s="74">
        <f t="shared" si="23"/>
        <v>0</v>
      </c>
      <c r="P123" s="74">
        <f t="shared" si="24"/>
        <v>0</v>
      </c>
      <c r="Q123" s="74">
        <f t="shared" si="25"/>
        <v>0</v>
      </c>
      <c r="R123" s="74">
        <f t="shared" si="26"/>
        <v>0</v>
      </c>
      <c r="S123" s="74">
        <f t="shared" si="27"/>
        <v>0</v>
      </c>
    </row>
    <row r="124" spans="1:19">
      <c r="A124" s="409" t="s">
        <v>515</v>
      </c>
      <c r="B124" s="740" t="s">
        <v>538</v>
      </c>
      <c r="C124" s="409" t="s">
        <v>226</v>
      </c>
      <c r="D124" s="415">
        <f t="shared" si="29"/>
        <v>97121.141272709559</v>
      </c>
      <c r="E124" s="742" t="s">
        <v>251</v>
      </c>
      <c r="F124" s="737"/>
      <c r="G124" s="415">
        <v>97121.141272709559</v>
      </c>
      <c r="H124" s="415">
        <f t="shared" si="30"/>
        <v>97121.141272709559</v>
      </c>
      <c r="I124" s="415">
        <f t="shared" si="30"/>
        <v>97121.141272709559</v>
      </c>
      <c r="J124" s="415">
        <f t="shared" si="30"/>
        <v>97121.141272709559</v>
      </c>
      <c r="K124" s="445" t="s">
        <v>94</v>
      </c>
      <c r="L124" s="494" t="str">
        <f>VLOOKUP(A124,Summary!$B$7:$E$23,3,FALSE)</f>
        <v>Y</v>
      </c>
      <c r="M124" s="387"/>
      <c r="N124" s="75" t="s">
        <v>221</v>
      </c>
      <c r="O124" s="74">
        <f t="shared" si="23"/>
        <v>88541.557594423401</v>
      </c>
      <c r="P124" s="74">
        <f t="shared" si="24"/>
        <v>90036.674351672409</v>
      </c>
      <c r="Q124" s="74">
        <f t="shared" si="25"/>
        <v>90036.674351672409</v>
      </c>
      <c r="R124" s="74">
        <f t="shared" si="26"/>
        <v>90036.674351672409</v>
      </c>
      <c r="S124" s="74">
        <f t="shared" si="27"/>
        <v>90036.674351672409</v>
      </c>
    </row>
    <row r="125" spans="1:19">
      <c r="A125" s="409" t="s">
        <v>515</v>
      </c>
      <c r="B125" s="740" t="s">
        <v>538</v>
      </c>
      <c r="C125" s="409" t="s">
        <v>226</v>
      </c>
      <c r="D125" s="415">
        <f t="shared" si="29"/>
        <v>-121490.92218556447</v>
      </c>
      <c r="E125" s="742" t="s">
        <v>251</v>
      </c>
      <c r="F125" s="737"/>
      <c r="G125" s="415">
        <v>-121490.92218556447</v>
      </c>
      <c r="H125" s="415">
        <f t="shared" si="30"/>
        <v>-121490.92218556447</v>
      </c>
      <c r="I125" s="415">
        <f t="shared" si="30"/>
        <v>-121490.92218556447</v>
      </c>
      <c r="J125" s="415">
        <f t="shared" si="30"/>
        <v>-121490.92218556447</v>
      </c>
      <c r="K125" s="445" t="s">
        <v>94</v>
      </c>
      <c r="L125" s="494" t="str">
        <f>VLOOKUP(A125,Summary!$B$7:$E$23,3,FALSE)</f>
        <v>Y</v>
      </c>
      <c r="M125" s="387"/>
      <c r="N125" s="75" t="s">
        <v>112</v>
      </c>
      <c r="O125" s="74">
        <f>SUM(O111:O124)</f>
        <v>4923565.8653639173</v>
      </c>
      <c r="P125" s="74">
        <f>SUM(P111:P124)</f>
        <v>5527663.68827873</v>
      </c>
      <c r="Q125" s="74">
        <f>SUM(Q111:Q124)</f>
        <v>5650167.5042886222</v>
      </c>
      <c r="R125" s="74">
        <f>SUM(R111:R124)</f>
        <v>5788713.6577420263</v>
      </c>
      <c r="S125" s="74">
        <f>SUM(S111:S124)</f>
        <v>5734097.5686334809</v>
      </c>
    </row>
    <row r="126" spans="1:19">
      <c r="A126" s="409" t="s">
        <v>515</v>
      </c>
      <c r="B126" s="740" t="s">
        <v>538</v>
      </c>
      <c r="C126" s="409" t="s">
        <v>226</v>
      </c>
      <c r="D126" s="415">
        <f t="shared" si="29"/>
        <v>0</v>
      </c>
      <c r="E126" s="742" t="s">
        <v>251</v>
      </c>
      <c r="F126" s="737"/>
      <c r="G126" s="415"/>
      <c r="H126" s="415">
        <f t="shared" si="30"/>
        <v>0</v>
      </c>
      <c r="I126" s="415">
        <f t="shared" si="30"/>
        <v>0</v>
      </c>
      <c r="J126" s="415">
        <f t="shared" si="30"/>
        <v>0</v>
      </c>
      <c r="K126" s="445" t="s">
        <v>94</v>
      </c>
      <c r="L126" s="494" t="str">
        <f>VLOOKUP(A126,Summary!$B$7:$E$23,3,FALSE)</f>
        <v>Y</v>
      </c>
      <c r="M126" s="387"/>
      <c r="N126" s="75"/>
      <c r="O126" s="74"/>
      <c r="P126" s="74"/>
      <c r="Q126" s="74"/>
      <c r="R126" s="74"/>
      <c r="S126" s="74"/>
    </row>
    <row r="127" spans="1:19">
      <c r="A127" s="409" t="s">
        <v>515</v>
      </c>
      <c r="B127" s="740" t="s">
        <v>538</v>
      </c>
      <c r="C127" s="409" t="s">
        <v>226</v>
      </c>
      <c r="D127" s="415">
        <f t="shared" si="29"/>
        <v>56.921106070425594</v>
      </c>
      <c r="E127" s="742" t="s">
        <v>372</v>
      </c>
      <c r="F127" s="737"/>
      <c r="G127" s="415">
        <v>56.921106070425594</v>
      </c>
      <c r="H127" s="415">
        <f t="shared" ref="H127:H128" si="34">G127</f>
        <v>56.921106070425594</v>
      </c>
      <c r="I127" s="415">
        <f t="shared" ref="I127:I128" si="35">H127</f>
        <v>56.921106070425594</v>
      </c>
      <c r="J127" s="415">
        <f t="shared" ref="J127:J128" si="36">I127</f>
        <v>56.921106070425594</v>
      </c>
      <c r="K127" s="445" t="s">
        <v>94</v>
      </c>
      <c r="L127" s="494" t="str">
        <f>VLOOKUP(A127,Summary!$B$7:$E$23,3,FALSE)</f>
        <v>Y</v>
      </c>
      <c r="M127" s="387"/>
      <c r="N127" s="77" t="s">
        <v>156</v>
      </c>
      <c r="O127" s="12">
        <f>O125-O23</f>
        <v>94422.309558505192</v>
      </c>
      <c r="P127" s="12">
        <f>P125-P23</f>
        <v>644648.57673370279</v>
      </c>
      <c r="Q127" s="12">
        <f>Q125-Q23</f>
        <v>791609.76560343895</v>
      </c>
      <c r="R127" s="12">
        <f>R125-R23</f>
        <v>1070286.9186722618</v>
      </c>
      <c r="S127" s="12">
        <f>S125-S23</f>
        <v>1066041.8107826505</v>
      </c>
    </row>
    <row r="128" spans="1:19">
      <c r="A128" s="409" t="s">
        <v>515</v>
      </c>
      <c r="B128" s="740" t="s">
        <v>538</v>
      </c>
      <c r="C128" s="409" t="s">
        <v>226</v>
      </c>
      <c r="D128" s="415">
        <f t="shared" si="29"/>
        <v>303.40201340677231</v>
      </c>
      <c r="E128" s="742" t="s">
        <v>251</v>
      </c>
      <c r="F128" s="737"/>
      <c r="G128" s="415">
        <v>303.40201340677231</v>
      </c>
      <c r="H128" s="415">
        <f t="shared" si="34"/>
        <v>303.40201340677231</v>
      </c>
      <c r="I128" s="415">
        <f t="shared" si="35"/>
        <v>303.40201340677231</v>
      </c>
      <c r="J128" s="415">
        <f t="shared" si="36"/>
        <v>303.40201340677231</v>
      </c>
      <c r="K128" s="445" t="s">
        <v>94</v>
      </c>
      <c r="L128" s="494" t="str">
        <f>VLOOKUP(A128,Summary!$B$7:$E$23,3,FALSE)</f>
        <v>Y</v>
      </c>
      <c r="M128" s="387"/>
      <c r="N128" s="12" t="s">
        <v>245</v>
      </c>
      <c r="O128" s="417">
        <f>O24</f>
        <v>1E-3</v>
      </c>
      <c r="P128" s="12"/>
      <c r="Q128" s="12"/>
      <c r="R128" s="12"/>
      <c r="S128" s="12"/>
    </row>
    <row r="129" spans="1:28">
      <c r="A129" s="409" t="s">
        <v>515</v>
      </c>
      <c r="B129" s="740" t="s">
        <v>538</v>
      </c>
      <c r="C129" s="409" t="s">
        <v>226</v>
      </c>
      <c r="D129" s="415">
        <f t="shared" si="29"/>
        <v>85.389930000000007</v>
      </c>
      <c r="E129" s="742" t="s">
        <v>99</v>
      </c>
      <c r="F129" s="737"/>
      <c r="G129" s="415">
        <v>85.389930000000007</v>
      </c>
      <c r="H129" s="415">
        <f t="shared" si="30"/>
        <v>85.389930000000007</v>
      </c>
      <c r="I129" s="415">
        <f t="shared" si="30"/>
        <v>85.389930000000007</v>
      </c>
      <c r="J129" s="415">
        <f t="shared" si="30"/>
        <v>85.389930000000007</v>
      </c>
      <c r="K129" s="445" t="s">
        <v>94</v>
      </c>
      <c r="L129" s="494" t="str">
        <f>VLOOKUP(A129,Summary!$B$7:$E$23,3,FALSE)</f>
        <v>Y</v>
      </c>
      <c r="M129" s="387"/>
      <c r="N129" s="12"/>
      <c r="O129" s="223"/>
      <c r="P129" s="12"/>
      <c r="Q129" s="12"/>
      <c r="R129" s="12"/>
      <c r="S129" s="12"/>
    </row>
    <row r="130" spans="1:28" ht="15.75">
      <c r="A130" s="409" t="s">
        <v>515</v>
      </c>
      <c r="B130" s="740" t="s">
        <v>538</v>
      </c>
      <c r="C130" s="409" t="s">
        <v>226</v>
      </c>
      <c r="D130" s="415">
        <f t="shared" si="29"/>
        <v>1126.1469999999999</v>
      </c>
      <c r="E130" s="742" t="s">
        <v>99</v>
      </c>
      <c r="F130" s="415"/>
      <c r="G130" s="415">
        <v>1126.1469999999999</v>
      </c>
      <c r="H130" s="415">
        <f t="shared" si="30"/>
        <v>1126.1469999999999</v>
      </c>
      <c r="I130" s="415">
        <f t="shared" si="30"/>
        <v>1126.1469999999999</v>
      </c>
      <c r="J130" s="415">
        <f t="shared" si="30"/>
        <v>1126.1469999999999</v>
      </c>
      <c r="K130" s="445" t="s">
        <v>94</v>
      </c>
      <c r="L130" s="494" t="str">
        <f>VLOOKUP(A130,Summary!$B$7:$E$23,3,FALSE)</f>
        <v>Y</v>
      </c>
      <c r="M130" s="387"/>
      <c r="N130" s="278"/>
      <c r="O130" s="279"/>
      <c r="P130" s="279"/>
      <c r="Q130" s="279"/>
      <c r="R130" s="279"/>
      <c r="S130" s="279"/>
    </row>
    <row r="131" spans="1:28" ht="15.75">
      <c r="A131" s="409" t="s">
        <v>515</v>
      </c>
      <c r="B131" s="740" t="s">
        <v>538</v>
      </c>
      <c r="C131" s="409" t="s">
        <v>226</v>
      </c>
      <c r="D131" s="415">
        <f t="shared" si="29"/>
        <v>507.36854558809137</v>
      </c>
      <c r="E131" s="742" t="s">
        <v>99</v>
      </c>
      <c r="F131" s="415"/>
      <c r="G131" s="415">
        <v>507.36854558809137</v>
      </c>
      <c r="H131" s="415">
        <f t="shared" ref="H131" si="37">G131</f>
        <v>507.36854558809137</v>
      </c>
      <c r="I131" s="415">
        <f t="shared" ref="I131" si="38">H131</f>
        <v>507.36854558809137</v>
      </c>
      <c r="J131" s="415">
        <f t="shared" ref="J131" si="39">I131</f>
        <v>507.36854558809137</v>
      </c>
      <c r="K131" s="445" t="s">
        <v>94</v>
      </c>
      <c r="L131" s="494" t="str">
        <f>VLOOKUP(A131,Summary!$B$7:$E$23,3,FALSE)</f>
        <v>Y</v>
      </c>
      <c r="M131" s="387"/>
      <c r="N131" s="278"/>
      <c r="O131" s="279"/>
      <c r="P131" s="279"/>
      <c r="Q131" s="279"/>
      <c r="R131" s="279"/>
      <c r="S131" s="279"/>
    </row>
    <row r="132" spans="1:28" ht="15.75">
      <c r="A132" s="409" t="s">
        <v>515</v>
      </c>
      <c r="B132" s="740" t="s">
        <v>538</v>
      </c>
      <c r="C132" s="409" t="s">
        <v>226</v>
      </c>
      <c r="D132" s="415">
        <f t="shared" si="29"/>
        <v>1495.1167572490085</v>
      </c>
      <c r="E132" s="742" t="s">
        <v>221</v>
      </c>
      <c r="F132" s="415"/>
      <c r="G132" s="415">
        <v>1495.1167572490085</v>
      </c>
      <c r="H132" s="415">
        <f t="shared" ref="H132" si="40">G132</f>
        <v>1495.1167572490085</v>
      </c>
      <c r="I132" s="415">
        <f t="shared" ref="I132" si="41">H132</f>
        <v>1495.1167572490085</v>
      </c>
      <c r="J132" s="415">
        <f t="shared" ref="J132" si="42">I132</f>
        <v>1495.1167572490085</v>
      </c>
      <c r="K132" s="445" t="s">
        <v>94</v>
      </c>
      <c r="L132" s="494" t="str">
        <f>VLOOKUP(A132,Summary!$B$7:$E$23,3,FALSE)</f>
        <v>Y</v>
      </c>
      <c r="M132" s="387"/>
      <c r="N132" s="278"/>
      <c r="O132" s="279"/>
      <c r="P132" s="279"/>
      <c r="Q132" s="279"/>
      <c r="R132" s="279"/>
      <c r="S132" s="279"/>
    </row>
    <row r="133" spans="1:28" ht="15.75">
      <c r="A133" s="409"/>
      <c r="B133" s="740"/>
      <c r="C133" s="409"/>
      <c r="D133" s="415"/>
      <c r="E133" s="742"/>
      <c r="F133" s="415"/>
      <c r="G133" s="415"/>
      <c r="H133" s="415"/>
      <c r="I133" s="415"/>
      <c r="J133" s="415"/>
      <c r="K133" s="445"/>
      <c r="L133" s="494"/>
      <c r="M133" s="387"/>
      <c r="N133" s="278"/>
      <c r="O133" s="279"/>
      <c r="P133" s="279"/>
      <c r="Q133" s="279"/>
      <c r="R133" s="279"/>
      <c r="S133" s="279"/>
    </row>
    <row r="134" spans="1:28" ht="15.75">
      <c r="A134" s="409"/>
      <c r="B134" s="740"/>
      <c r="C134" s="409"/>
      <c r="D134" s="415"/>
      <c r="E134" s="409"/>
      <c r="F134" s="415"/>
      <c r="G134" s="415"/>
      <c r="H134" s="415"/>
      <c r="I134" s="415"/>
      <c r="J134" s="415"/>
      <c r="K134" s="445"/>
      <c r="O134" s="34"/>
      <c r="P134" s="34"/>
      <c r="Q134" s="34"/>
      <c r="R134" s="35"/>
    </row>
    <row r="135" spans="1:28" ht="15.75">
      <c r="A135" s="741" t="s">
        <v>9</v>
      </c>
      <c r="B135" s="409"/>
      <c r="C135" s="409"/>
      <c r="D135" s="415"/>
      <c r="E135" s="409"/>
      <c r="F135" s="739"/>
      <c r="G135" s="737"/>
      <c r="H135" s="737"/>
      <c r="I135" s="415"/>
      <c r="J135" s="415"/>
      <c r="K135" s="445"/>
      <c r="L135" s="310"/>
      <c r="O135" s="34"/>
      <c r="P135" s="34"/>
      <c r="Q135" s="34"/>
      <c r="R135" s="35"/>
    </row>
    <row r="136" spans="1:28" ht="15.75">
      <c r="A136" s="409" t="s">
        <v>83</v>
      </c>
      <c r="B136" s="445"/>
      <c r="C136" s="409" t="s">
        <v>598</v>
      </c>
      <c r="D136" s="415">
        <f t="shared" ref="D136" si="43">G136</f>
        <v>153203.56671498204</v>
      </c>
      <c r="E136" s="409" t="s">
        <v>10</v>
      </c>
      <c r="F136" s="415"/>
      <c r="G136" s="415">
        <v>153203.56671498204</v>
      </c>
      <c r="H136" s="415">
        <f>G136</f>
        <v>153203.56671498204</v>
      </c>
      <c r="I136" s="415">
        <f t="shared" ref="I136:J136" si="44">H136</f>
        <v>153203.56671498204</v>
      </c>
      <c r="J136" s="415">
        <f t="shared" si="44"/>
        <v>153203.56671498204</v>
      </c>
      <c r="K136" s="445" t="s">
        <v>449</v>
      </c>
      <c r="L136" s="494" t="str">
        <f>VLOOKUP(A136,Summary!$B$7:$E$23,3,FALSE)</f>
        <v>Y</v>
      </c>
      <c r="O136" s="34"/>
      <c r="P136" s="34"/>
      <c r="Q136" s="34"/>
      <c r="R136" s="35"/>
      <c r="U136" s="29"/>
      <c r="V136" s="29"/>
      <c r="W136" s="29"/>
      <c r="X136" s="29"/>
      <c r="Y136" s="29"/>
      <c r="Z136" s="29"/>
      <c r="AA136" s="29"/>
      <c r="AB136" s="29"/>
    </row>
    <row r="137" spans="1:28" ht="15.75">
      <c r="A137" s="18"/>
      <c r="D137" s="25"/>
      <c r="F137" s="181"/>
      <c r="G137" s="181"/>
      <c r="H137" s="181"/>
      <c r="I137" s="181"/>
      <c r="J137" s="181"/>
      <c r="L137" s="310"/>
      <c r="M137" s="33"/>
      <c r="O137" s="34"/>
      <c r="P137" s="34"/>
      <c r="Q137" s="34"/>
      <c r="R137" s="35"/>
      <c r="U137" s="29"/>
      <c r="V137" s="29"/>
      <c r="W137" s="29"/>
      <c r="X137" s="29"/>
      <c r="Y137" s="29"/>
      <c r="Z137" s="29"/>
      <c r="AA137" s="29"/>
      <c r="AB137" s="29"/>
    </row>
    <row r="138" spans="1:28">
      <c r="A138" s="18"/>
      <c r="D138" s="25"/>
      <c r="F138" s="181"/>
      <c r="G138" s="181"/>
      <c r="H138" s="181"/>
      <c r="I138" s="181"/>
      <c r="J138" s="181"/>
      <c r="L138" s="310"/>
      <c r="M138" s="33"/>
      <c r="O138" s="33"/>
      <c r="P138" s="33"/>
      <c r="Q138" s="33"/>
      <c r="R138" s="33"/>
      <c r="S138" s="33"/>
      <c r="U138" s="29"/>
      <c r="V138" s="29"/>
      <c r="W138" s="29"/>
      <c r="X138" s="29"/>
      <c r="Y138" s="29"/>
      <c r="Z138" s="29"/>
      <c r="AA138" s="29"/>
      <c r="AB138" s="29"/>
    </row>
    <row r="139" spans="1:28">
      <c r="A139" s="18"/>
      <c r="D139" s="25"/>
      <c r="F139" s="181"/>
      <c r="G139" s="181"/>
      <c r="H139" s="181"/>
      <c r="I139" s="181"/>
      <c r="J139" s="181"/>
      <c r="L139" s="310"/>
      <c r="M139" s="33"/>
      <c r="O139" s="33"/>
      <c r="P139" s="33"/>
      <c r="Q139" s="33"/>
      <c r="R139" s="33"/>
      <c r="S139" s="33"/>
      <c r="U139" s="29"/>
      <c r="V139" s="29"/>
      <c r="W139" s="29"/>
      <c r="X139" s="29"/>
      <c r="Y139" s="29"/>
      <c r="Z139" s="29"/>
      <c r="AA139" s="29"/>
      <c r="AB139" s="29"/>
    </row>
    <row r="140" spans="1:28" ht="15.75" thickBot="1">
      <c r="A140" s="72" t="s">
        <v>114</v>
      </c>
      <c r="B140" s="71"/>
      <c r="C140" s="71"/>
      <c r="D140" s="220">
        <f>SUM(D93:D136)</f>
        <v>3132620.0236183158</v>
      </c>
      <c r="E140" s="73" t="s">
        <v>112</v>
      </c>
      <c r="F140" s="220">
        <f>SUM(F93:F136)</f>
        <v>94422.309558505018</v>
      </c>
      <c r="G140" s="220">
        <f>SUM(G93:G136)</f>
        <v>644648.57673370198</v>
      </c>
      <c r="H140" s="220">
        <f>SUM(H93:H136)</f>
        <v>791609.76560343849</v>
      </c>
      <c r="I140" s="220">
        <f>SUM(I93:I136)</f>
        <v>1070286.9186722611</v>
      </c>
      <c r="J140" s="220">
        <f>SUM(J93:J136)</f>
        <v>1066041.8107826503</v>
      </c>
      <c r="K140" s="71"/>
      <c r="M140" s="33"/>
      <c r="O140" s="33"/>
      <c r="P140" s="33"/>
      <c r="Q140" s="33"/>
      <c r="R140" s="33"/>
      <c r="S140" s="33"/>
      <c r="U140" s="29"/>
      <c r="V140" s="29"/>
      <c r="W140" s="29"/>
      <c r="X140" s="29"/>
      <c r="Y140" s="29"/>
      <c r="Z140" s="29"/>
      <c r="AA140" s="29"/>
      <c r="AB140" s="29"/>
    </row>
    <row r="141" spans="1:28" ht="16.5" thickTop="1">
      <c r="D141" s="24"/>
      <c r="F141" s="466"/>
      <c r="G141" s="28"/>
      <c r="H141" s="28"/>
      <c r="I141" s="28"/>
      <c r="J141" s="28"/>
      <c r="M141" s="33"/>
      <c r="N141" s="34"/>
      <c r="O141" s="33"/>
      <c r="P141" s="33"/>
      <c r="Q141" s="33"/>
      <c r="R141" s="33"/>
      <c r="S141" s="33"/>
    </row>
    <row r="142" spans="1:28" ht="15.75">
      <c r="A142" s="831" t="s">
        <v>115</v>
      </c>
      <c r="B142" s="831"/>
      <c r="C142" s="831"/>
      <c r="D142" s="831"/>
      <c r="E142" s="831"/>
      <c r="F142" s="831"/>
      <c r="G142" s="831"/>
      <c r="H142" s="831"/>
      <c r="I142" s="831"/>
      <c r="J142" s="831"/>
      <c r="K142" s="831"/>
      <c r="L142" s="289"/>
      <c r="M142" s="33"/>
      <c r="N142" s="34"/>
      <c r="O142" s="33"/>
      <c r="P142" s="33"/>
      <c r="Q142" s="33"/>
      <c r="R142" s="33"/>
      <c r="S142" s="33"/>
    </row>
    <row r="143" spans="1:28" ht="60">
      <c r="A143" s="31" t="s">
        <v>0</v>
      </c>
      <c r="B143" s="32" t="s">
        <v>116</v>
      </c>
      <c r="C143" s="32" t="s">
        <v>117</v>
      </c>
      <c r="D143" s="32" t="s">
        <v>106</v>
      </c>
      <c r="E143" s="32" t="s">
        <v>107</v>
      </c>
      <c r="F143" s="19"/>
      <c r="G143" s="19"/>
      <c r="H143" s="19"/>
      <c r="I143" s="19"/>
      <c r="J143" s="19"/>
      <c r="K143" s="32" t="s">
        <v>92</v>
      </c>
      <c r="M143" s="33"/>
      <c r="N143" s="34"/>
      <c r="O143" s="33"/>
      <c r="P143" s="33"/>
      <c r="Q143" s="33"/>
      <c r="R143" s="33"/>
      <c r="S143" s="33"/>
    </row>
    <row r="144" spans="1:28">
      <c r="A144" s="18" t="s">
        <v>2</v>
      </c>
      <c r="C144" s="33"/>
      <c r="D144" s="33"/>
      <c r="E144" s="33"/>
      <c r="F144" s="25"/>
      <c r="G144" s="25"/>
      <c r="H144" s="25"/>
      <c r="I144" s="25"/>
      <c r="J144" s="25"/>
      <c r="K144"/>
      <c r="L144" s="289"/>
      <c r="M144" s="33"/>
      <c r="N144" s="33"/>
      <c r="O144" s="33"/>
      <c r="P144" s="33"/>
      <c r="Q144" s="33"/>
      <c r="R144" s="33"/>
      <c r="S144" s="33"/>
    </row>
    <row r="145" spans="1:28">
      <c r="D145" s="415"/>
      <c r="F145" s="25"/>
      <c r="G145" s="25"/>
      <c r="H145" s="25"/>
      <c r="I145" s="25"/>
      <c r="J145" s="25"/>
      <c r="L145" s="387"/>
      <c r="M145" s="33"/>
      <c r="N145" s="33"/>
    </row>
    <row r="146" spans="1:28">
      <c r="B146" s="179"/>
      <c r="D146" s="415"/>
      <c r="F146" s="25"/>
      <c r="G146" s="25"/>
      <c r="H146" s="25"/>
      <c r="I146" s="25"/>
      <c r="J146" s="25"/>
      <c r="L146" s="387"/>
      <c r="M146" s="33"/>
      <c r="N146" s="33"/>
    </row>
    <row r="147" spans="1:28">
      <c r="B147" s="179"/>
      <c r="D147" s="415"/>
      <c r="F147" s="25"/>
      <c r="G147" s="25"/>
      <c r="H147" s="25"/>
      <c r="I147" s="25"/>
      <c r="J147" s="25"/>
      <c r="L147" s="387"/>
      <c r="M147" s="33"/>
      <c r="N147" s="33"/>
    </row>
    <row r="148" spans="1:28">
      <c r="B148" s="212"/>
      <c r="D148" s="415"/>
      <c r="F148" s="25"/>
      <c r="G148" s="25"/>
      <c r="H148" s="25"/>
      <c r="I148" s="25"/>
      <c r="J148" s="25"/>
      <c r="L148" s="387"/>
      <c r="M148" s="33"/>
      <c r="N148" s="33"/>
    </row>
    <row r="149" spans="1:28">
      <c r="D149" s="23"/>
      <c r="F149" s="25"/>
      <c r="G149" s="25"/>
      <c r="H149" s="25"/>
      <c r="I149" s="25"/>
      <c r="J149" s="25"/>
      <c r="L149" s="387"/>
      <c r="M149" s="33"/>
      <c r="N149" s="33"/>
    </row>
    <row r="150" spans="1:28">
      <c r="A150" s="18" t="s">
        <v>7</v>
      </c>
      <c r="L150" s="491"/>
      <c r="M150" s="33"/>
      <c r="N150" s="33"/>
    </row>
    <row r="151" spans="1:28">
      <c r="B151" s="179"/>
      <c r="D151" s="415"/>
      <c r="F151" s="183"/>
      <c r="G151" s="733"/>
      <c r="H151" s="25"/>
      <c r="I151" s="25"/>
      <c r="J151" s="25"/>
      <c r="M151" s="33"/>
      <c r="N151" s="33"/>
    </row>
    <row r="152" spans="1:28">
      <c r="B152" s="455"/>
      <c r="K152"/>
      <c r="M152" s="33"/>
      <c r="N152" s="33"/>
    </row>
    <row r="153" spans="1:28">
      <c r="A153" s="18" t="s">
        <v>9</v>
      </c>
      <c r="M153" s="33"/>
      <c r="N153" s="33"/>
    </row>
    <row r="154" spans="1:28">
      <c r="B154" s="212"/>
      <c r="K154"/>
      <c r="L154" s="289"/>
      <c r="M154" s="33"/>
      <c r="N154" s="33"/>
      <c r="U154" s="29"/>
      <c r="V154" s="29"/>
      <c r="W154" s="29"/>
      <c r="X154" s="29"/>
      <c r="Y154" s="29"/>
      <c r="Z154" s="29"/>
      <c r="AA154" s="29"/>
      <c r="AB154" s="29"/>
    </row>
    <row r="155" spans="1:28">
      <c r="D155" s="23"/>
      <c r="F155" s="23"/>
      <c r="G155" s="23"/>
      <c r="H155" s="23"/>
      <c r="I155" s="23"/>
      <c r="J155" s="23"/>
      <c r="K155"/>
      <c r="L155" s="289"/>
      <c r="M155" s="33"/>
      <c r="N155" s="33"/>
    </row>
    <row r="156" spans="1:28">
      <c r="B156" s="212"/>
      <c r="D156" s="23"/>
      <c r="F156" s="23"/>
      <c r="G156" s="23"/>
      <c r="H156" s="23"/>
      <c r="I156" s="23"/>
      <c r="J156" s="23"/>
      <c r="K156"/>
      <c r="L156" s="289"/>
      <c r="M156" s="33"/>
    </row>
    <row r="157" spans="1:28">
      <c r="B157" s="212"/>
      <c r="D157" s="23"/>
      <c r="F157" s="23"/>
      <c r="G157" s="23"/>
      <c r="H157" s="23"/>
      <c r="I157" s="23"/>
      <c r="J157" s="23"/>
      <c r="K157"/>
      <c r="L157" s="289"/>
      <c r="M157" s="33"/>
    </row>
    <row r="158" spans="1:28">
      <c r="L158" s="289"/>
      <c r="M158" s="33"/>
    </row>
    <row r="159" spans="1:28">
      <c r="A159" t="s">
        <v>13</v>
      </c>
      <c r="M159" s="33"/>
    </row>
    <row r="160" spans="1:28">
      <c r="A160" t="s">
        <v>496</v>
      </c>
      <c r="L160" s="289"/>
      <c r="M160" s="33"/>
    </row>
    <row r="161" spans="1:28">
      <c r="A161" t="s">
        <v>497</v>
      </c>
      <c r="L161" s="289"/>
      <c r="M161" s="33"/>
    </row>
    <row r="163" spans="1:28">
      <c r="K163"/>
      <c r="M163" s="33"/>
      <c r="O163" s="30"/>
      <c r="P163" s="30"/>
      <c r="Q163" s="30"/>
      <c r="R163" s="36"/>
    </row>
    <row r="164" spans="1:28">
      <c r="K164"/>
      <c r="M164" s="33"/>
      <c r="O164" s="30"/>
      <c r="P164" s="30"/>
      <c r="Q164" s="30"/>
      <c r="R164" s="36"/>
      <c r="T164" s="33"/>
    </row>
    <row r="165" spans="1:28">
      <c r="K165"/>
      <c r="M165" s="33"/>
      <c r="O165" s="30"/>
      <c r="P165" s="30"/>
      <c r="Q165" s="30"/>
      <c r="R165" s="36"/>
      <c r="T165" s="33"/>
    </row>
    <row r="166" spans="1:28">
      <c r="B166" s="25"/>
      <c r="K166"/>
      <c r="M166" s="33"/>
      <c r="O166" s="30"/>
      <c r="P166" s="30"/>
      <c r="Q166" s="30"/>
      <c r="R166" s="36"/>
      <c r="T166" s="33"/>
    </row>
    <row r="167" spans="1:28">
      <c r="B167" s="25"/>
      <c r="K167"/>
      <c r="M167" s="33"/>
      <c r="O167" s="30"/>
      <c r="P167" s="30"/>
      <c r="Q167" s="30"/>
      <c r="R167" s="36"/>
      <c r="T167" s="33"/>
    </row>
    <row r="168" spans="1:28">
      <c r="B168" s="25"/>
      <c r="K168"/>
      <c r="L168" s="289"/>
      <c r="M168" s="33"/>
      <c r="O168" s="30"/>
      <c r="P168" s="30"/>
      <c r="Q168" s="30"/>
      <c r="R168" s="36"/>
      <c r="T168" s="33"/>
      <c r="U168" s="454"/>
      <c r="V168" s="454"/>
      <c r="W168" s="454"/>
      <c r="X168" s="454"/>
      <c r="Y168" s="454"/>
      <c r="Z168" s="454"/>
      <c r="AA168" s="454"/>
      <c r="AB168" s="454"/>
    </row>
    <row r="169" spans="1:28">
      <c r="K169"/>
      <c r="L169" s="289"/>
      <c r="M169" s="33"/>
      <c r="O169" s="30"/>
      <c r="P169" s="30"/>
      <c r="Q169" s="30"/>
      <c r="R169" s="36"/>
      <c r="T169" s="33"/>
      <c r="U169" s="29"/>
      <c r="V169" s="29"/>
      <c r="W169" s="29"/>
      <c r="X169" s="29"/>
      <c r="Y169" s="29"/>
      <c r="Z169" s="29"/>
      <c r="AA169" s="29"/>
      <c r="AB169" s="29"/>
    </row>
    <row r="170" spans="1:28">
      <c r="K170"/>
      <c r="L170" s="289"/>
      <c r="M170" s="33"/>
      <c r="O170" s="37"/>
      <c r="P170" s="37"/>
      <c r="Q170" s="37"/>
      <c r="R170" s="28"/>
      <c r="T170" s="33"/>
      <c r="U170" s="29"/>
      <c r="V170" s="29"/>
      <c r="W170" s="29"/>
      <c r="X170" s="29"/>
      <c r="Y170" s="29"/>
      <c r="Z170" s="29"/>
      <c r="AA170" s="29"/>
      <c r="AB170" s="29"/>
    </row>
    <row r="171" spans="1:28" ht="15.75">
      <c r="K171"/>
      <c r="L171" s="289"/>
      <c r="M171" s="34"/>
      <c r="O171" s="37"/>
      <c r="P171" s="37"/>
      <c r="Q171" s="37"/>
      <c r="R171" s="28"/>
      <c r="T171" s="33"/>
      <c r="U171" s="29"/>
      <c r="V171" s="29"/>
      <c r="W171" s="29"/>
      <c r="X171" s="29"/>
      <c r="Y171" s="29"/>
      <c r="Z171" s="29"/>
      <c r="AA171" s="29"/>
      <c r="AB171" s="29"/>
    </row>
    <row r="172" spans="1:28" ht="15.75">
      <c r="K172"/>
      <c r="L172" s="289"/>
      <c r="M172" s="34"/>
      <c r="N172" s="30"/>
      <c r="O172" s="37"/>
      <c r="P172" s="37"/>
      <c r="Q172" s="37"/>
      <c r="R172" s="28"/>
      <c r="T172" s="33"/>
      <c r="U172" s="29"/>
      <c r="V172" s="29"/>
      <c r="W172" s="29"/>
      <c r="X172" s="29"/>
      <c r="Y172" s="29"/>
      <c r="Z172" s="29"/>
      <c r="AA172" s="29"/>
      <c r="AB172" s="29"/>
    </row>
    <row r="173" spans="1:28" ht="15.75">
      <c r="K173"/>
      <c r="L173" s="289"/>
      <c r="M173" s="34"/>
      <c r="N173" s="30"/>
      <c r="O173" s="37"/>
      <c r="P173" s="37"/>
      <c r="Q173" s="37"/>
      <c r="R173" s="28"/>
    </row>
    <row r="174" spans="1:28" ht="15.75">
      <c r="K174"/>
      <c r="L174" s="289"/>
      <c r="M174" s="34"/>
      <c r="N174" s="30"/>
      <c r="O174" s="21"/>
      <c r="P174" s="21"/>
      <c r="Q174" s="21"/>
      <c r="R174" s="21"/>
    </row>
    <row r="175" spans="1:28">
      <c r="L175" s="289"/>
      <c r="M175" s="13"/>
      <c r="N175" s="30"/>
    </row>
    <row r="176" spans="1:28">
      <c r="L176" s="289"/>
      <c r="M176" s="13"/>
      <c r="N176" s="30"/>
    </row>
    <row r="177" spans="11:14">
      <c r="L177" s="289"/>
      <c r="M177" s="13"/>
      <c r="N177" s="30"/>
    </row>
    <row r="178" spans="11:14">
      <c r="K178"/>
      <c r="L178" s="289"/>
      <c r="M178" s="13"/>
      <c r="N178" s="30"/>
    </row>
    <row r="179" spans="11:14">
      <c r="K179"/>
      <c r="L179" s="289"/>
      <c r="M179" s="13"/>
      <c r="N179" s="37"/>
    </row>
    <row r="180" spans="11:14">
      <c r="K180"/>
      <c r="M180" s="13"/>
      <c r="N180" s="37"/>
    </row>
    <row r="181" spans="11:14" ht="15" customHeight="1">
      <c r="K181"/>
      <c r="M181" s="33"/>
      <c r="N181" s="37"/>
    </row>
    <row r="182" spans="11:14" ht="15" customHeight="1">
      <c r="K182"/>
      <c r="N182" s="37"/>
    </row>
    <row r="183" spans="11:14" ht="15" customHeight="1">
      <c r="K183"/>
      <c r="L183" s="289"/>
      <c r="N183" s="38"/>
    </row>
    <row r="184" spans="11:14" ht="15" customHeight="1">
      <c r="K184"/>
      <c r="L184" s="289"/>
    </row>
    <row r="185" spans="11:14" ht="15" customHeight="1">
      <c r="K185"/>
      <c r="L185" s="289"/>
    </row>
    <row r="186" spans="11:14" ht="15" customHeight="1">
      <c r="K186"/>
      <c r="L186" s="289"/>
    </row>
    <row r="187" spans="11:14">
      <c r="K187"/>
      <c r="L187" s="289"/>
    </row>
    <row r="188" spans="11:14">
      <c r="K188"/>
      <c r="L188" s="289"/>
    </row>
    <row r="189" spans="11:14" ht="15" customHeight="1">
      <c r="K189"/>
      <c r="L189" s="289"/>
    </row>
    <row r="190" spans="11:14" ht="15" customHeight="1">
      <c r="K190"/>
      <c r="L190" s="289"/>
    </row>
    <row r="191" spans="11:14">
      <c r="K191"/>
      <c r="L191" s="289"/>
    </row>
    <row r="192" spans="11:14">
      <c r="K192"/>
      <c r="L192" s="289"/>
    </row>
    <row r="193" spans="11:13">
      <c r="K193"/>
      <c r="L193" s="289"/>
    </row>
    <row r="194" spans="11:13">
      <c r="K194"/>
      <c r="L194" s="289"/>
    </row>
    <row r="195" spans="11:13">
      <c r="K195"/>
      <c r="L195" s="289"/>
    </row>
    <row r="196" spans="11:13">
      <c r="K196"/>
      <c r="L196" s="289"/>
    </row>
    <row r="197" spans="11:13">
      <c r="L197" s="289"/>
    </row>
    <row r="198" spans="11:13">
      <c r="L198" s="289"/>
      <c r="M198" s="30"/>
    </row>
    <row r="199" spans="11:13">
      <c r="L199" s="289"/>
      <c r="M199" s="30"/>
    </row>
    <row r="200" spans="11:13">
      <c r="L200" s="289"/>
      <c r="M200" s="30"/>
    </row>
    <row r="201" spans="11:13">
      <c r="L201" s="289"/>
      <c r="M201" s="30"/>
    </row>
    <row r="202" spans="11:13">
      <c r="M202" s="30"/>
    </row>
    <row r="203" spans="11:13">
      <c r="M203" s="30"/>
    </row>
    <row r="204" spans="11:13">
      <c r="M204" s="30"/>
    </row>
    <row r="205" spans="11:13">
      <c r="M205" s="37"/>
    </row>
    <row r="206" spans="11:13">
      <c r="M206" s="37"/>
    </row>
    <row r="207" spans="11:13">
      <c r="M207" s="37"/>
    </row>
    <row r="208" spans="11:13">
      <c r="M208" s="37"/>
    </row>
  </sheetData>
  <autoFilter ref="A8:K135" xr:uid="{A3486F18-8C03-46B1-A3A4-34B73037874F}">
    <filterColumn colId="5" showButton="0"/>
    <filterColumn colId="6" showButton="0"/>
    <filterColumn colId="7" showButton="0"/>
  </autoFilter>
  <mergeCells count="7">
    <mergeCell ref="W91:X91"/>
    <mergeCell ref="A142:K142"/>
    <mergeCell ref="N7:S7"/>
    <mergeCell ref="F8:I8"/>
    <mergeCell ref="A90:K90"/>
    <mergeCell ref="F91:I91"/>
    <mergeCell ref="A7:L7"/>
  </mergeCells>
  <phoneticPr fontId="44" type="noConversion"/>
  <conditionalFormatting sqref="A34">
    <cfRule type="duplicateValues" dxfId="6" priority="14"/>
  </conditionalFormatting>
  <conditionalFormatting sqref="M86:M87 P80:P86 M91:M92">
    <cfRule type="duplicateValues" dxfId="5" priority="86"/>
  </conditionalFormatting>
  <conditionalFormatting sqref="M175:M180">
    <cfRule type="duplicateValues" dxfId="4" priority="79"/>
  </conditionalFormatting>
  <conditionalFormatting sqref="Z92:AD95">
    <cfRule type="cellIs" dxfId="3" priority="3" operator="equal">
      <formula>"NO CHANGE"</formula>
    </cfRule>
    <cfRule type="cellIs" dxfId="2" priority="4" operator="equal">
      <formula>"DECREASE"</formula>
    </cfRule>
    <cfRule type="cellIs" dxfId="1" priority="5" operator="greaterThan">
      <formula>0</formula>
    </cfRule>
    <cfRule type="cellIs" dxfId="0" priority="7" operator="lessThan">
      <formula>0</formula>
    </cfRule>
  </conditionalFormatting>
  <dataValidations disablePrompts="1" count="6">
    <dataValidation type="list" allowBlank="1" showInputMessage="1" showErrorMessage="1" sqref="K92 K144 M182" xr:uid="{F607B283-23EA-41F1-982F-630BAE586EF6}">
      <formula1>"2019,2020,2021,2022,2023,2024,2025"</formula1>
    </dataValidation>
    <dataValidation type="list" allowBlank="1" showInputMessage="1" showErrorMessage="1" sqref="F92 L9 F9 F143" xr:uid="{15C4B3F3-BFFB-4E7F-89A3-71DB0F39ACBD}">
      <formula1>"2022,2023,2024,2025,2026"</formula1>
    </dataValidation>
    <dataValidation type="list" allowBlank="1" showInputMessage="1" showErrorMessage="1" sqref="G9 G92 G143" xr:uid="{F2215657-CD46-4314-873E-0D6ACCFA763E}">
      <formula1>"2022,2023,2024,2025,2026,2027"</formula1>
    </dataValidation>
    <dataValidation type="list" allowBlank="1" showInputMessage="1" showErrorMessage="1" sqref="H9 H92 H143" xr:uid="{B18AC4CE-2262-4725-B729-7180F7C36B1B}">
      <formula1>"2022,2023,2024,2025,2026,2027,2028"</formula1>
    </dataValidation>
    <dataValidation type="list" allowBlank="1" showInputMessage="1" showErrorMessage="1" sqref="A3" xr:uid="{6082E7AE-24B0-4F61-80AB-726C5D7E0938}">
      <formula1>"Reporting Date: Quarter Ended March 31,Reporting Date: Quarter Ended June 30,Reporting Date: Quarter Ended September 30,Reporting Date: Quarter Ended December 31"</formula1>
    </dataValidation>
    <dataValidation type="list" allowBlank="1" showInputMessage="1" showErrorMessage="1" sqref="A2" xr:uid="{67A9100C-C84D-4DD9-A45C-FF815A49E38A}">
      <formula1>"Annual Period 2020,Annual Period 2021,Annual Period 2022,Annual Period 2023,Annual Period 2024, Annual Period 2025, Annual Period 2026"</formula1>
    </dataValidation>
  </dataValidations>
  <pageMargins left="0.7" right="0.7" top="0.75" bottom="0.75" header="0.3" footer="0.3"/>
  <pageSetup paperSize="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24B9-277D-4BA8-96CB-4C4B5722B56A}">
  <sheetPr codeName="Sheet3"/>
  <dimension ref="A1:AF84"/>
  <sheetViews>
    <sheetView zoomScale="70" zoomScaleNormal="70" workbookViewId="0"/>
  </sheetViews>
  <sheetFormatPr defaultColWidth="8.85546875" defaultRowHeight="15"/>
  <cols>
    <col min="1" max="1" width="3.5703125" style="6" customWidth="1"/>
    <col min="2" max="2" width="23.85546875" style="6" customWidth="1"/>
    <col min="3" max="3" width="19.42578125" style="6" customWidth="1"/>
    <col min="4" max="4" width="17.5703125" style="6" customWidth="1"/>
    <col min="5" max="6" width="16.42578125" style="6" customWidth="1"/>
    <col min="7" max="7" width="20.85546875" style="6" customWidth="1"/>
    <col min="8" max="8" width="16.5703125" style="6" customWidth="1"/>
    <col min="9" max="9" width="14.140625" style="6" customWidth="1"/>
    <col min="10" max="10" width="13.5703125" style="6" customWidth="1"/>
    <col min="11" max="11" width="15.140625" style="6" customWidth="1"/>
    <col min="12" max="12" width="14.85546875" style="6" customWidth="1"/>
    <col min="13" max="14" width="15.42578125" style="6" customWidth="1"/>
    <col min="15" max="15" width="19.42578125" style="6" customWidth="1"/>
    <col min="16" max="16" width="13" style="6" customWidth="1"/>
    <col min="17" max="17" width="15.5703125" style="6" customWidth="1"/>
    <col min="18" max="18" width="17.5703125" style="6" customWidth="1"/>
    <col min="19" max="19" width="14.140625" style="6" customWidth="1"/>
    <col min="20" max="21" width="14" style="6" customWidth="1"/>
    <col min="22" max="22" width="15" style="6" customWidth="1"/>
    <col min="23" max="23" width="14.140625" style="6" customWidth="1"/>
    <col min="24" max="24" width="14.85546875" style="6" bestFit="1" customWidth="1"/>
    <col min="25" max="26" width="14.85546875" style="6" customWidth="1"/>
    <col min="27" max="27" width="13.5703125" style="6" customWidth="1"/>
    <col min="28" max="28" width="16.85546875" style="6" customWidth="1"/>
    <col min="29" max="32" width="15.85546875" style="6" customWidth="1"/>
    <col min="33" max="16384" width="8.85546875" style="6"/>
  </cols>
  <sheetData>
    <row r="1" spans="1:32" s="170" customFormat="1" ht="25.5" customHeight="1">
      <c r="A1" s="384"/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5"/>
      <c r="AA1" s="385"/>
      <c r="AB1" s="385"/>
      <c r="AC1" s="385"/>
      <c r="AD1" s="385"/>
    </row>
    <row r="2" spans="1:32" ht="15.75">
      <c r="B2" s="78"/>
      <c r="C2" s="839" t="s">
        <v>157</v>
      </c>
      <c r="D2" s="839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3" spans="1:32">
      <c r="B3" s="79"/>
      <c r="C3" s="80" t="s">
        <v>154</v>
      </c>
      <c r="D3" s="80" t="s">
        <v>158</v>
      </c>
      <c r="S3" s="81"/>
      <c r="T3" s="81"/>
      <c r="U3" s="81"/>
      <c r="V3" s="81"/>
      <c r="W3" s="81"/>
      <c r="X3" s="81"/>
      <c r="Y3" s="81"/>
      <c r="Z3" s="81"/>
      <c r="AA3" s="81"/>
    </row>
    <row r="4" spans="1:32" ht="15.75">
      <c r="B4" s="228" t="s">
        <v>3</v>
      </c>
      <c r="C4" s="154">
        <f>INDEX('Incremental Rev Req'!$N$8:$S$23,MATCH(B4,'Incremental Rev Req'!$N$8:$N$23,0),MATCH(Summary!$D$2,'Incremental Rev Req'!$N$8:$S$8,0))</f>
        <v>593857.01988567889</v>
      </c>
      <c r="D4" s="154">
        <f>INDEX('Incremental Rev Req'!$N$110:$S$125,MATCH(B4,'Incremental Rev Req'!$N$110:$N$125,0),MATCH(Summary!$D$2,'Incremental Rev Req'!$N$110:$S$110,0))</f>
        <v>521030.39687597519</v>
      </c>
      <c r="H4" s="848" t="s">
        <v>159</v>
      </c>
      <c r="I4" s="849"/>
      <c r="J4" s="849"/>
      <c r="K4" s="849"/>
      <c r="L4" s="849"/>
      <c r="M4" s="849"/>
      <c r="N4" s="849"/>
      <c r="O4" s="849"/>
      <c r="P4" s="849"/>
      <c r="Q4" s="849"/>
      <c r="R4" s="849"/>
      <c r="S4" s="849"/>
      <c r="T4" s="849"/>
      <c r="U4" s="850"/>
      <c r="V4" s="41"/>
      <c r="W4" s="41"/>
      <c r="X4" s="41"/>
      <c r="Y4" s="41"/>
      <c r="Z4" s="41"/>
      <c r="AA4" s="41"/>
      <c r="AB4" s="41"/>
      <c r="AC4" s="41"/>
      <c r="AD4" s="41"/>
    </row>
    <row r="5" spans="1:32" ht="33" customHeight="1">
      <c r="B5" s="373" t="s">
        <v>372</v>
      </c>
      <c r="C5" s="154">
        <f>INDEX('Incremental Rev Req'!$N$8:$S$23,MATCH(B5,'Incremental Rev Req'!$N$8:$N$23,0),MATCH(Summary!$D$2,'Incremental Rev Req'!$N$8:$S$8,0))</f>
        <v>313.03090980522069</v>
      </c>
      <c r="D5" s="154">
        <f>INDEX('Incremental Rev Req'!$N$110:$S$125,MATCH(B5,'Incremental Rev Req'!$N$110:$N$125,0),MATCH(Summary!$D$2,'Incremental Rev Req'!$N$110:$S$110,0))</f>
        <v>369.95201587564628</v>
      </c>
      <c r="G5" s="1"/>
      <c r="H5" s="300" t="s">
        <v>3</v>
      </c>
      <c r="I5" s="84" t="s">
        <v>372</v>
      </c>
      <c r="J5" s="84" t="s">
        <v>59</v>
      </c>
      <c r="K5" s="84" t="s">
        <v>5</v>
      </c>
      <c r="L5" s="84" t="s">
        <v>98</v>
      </c>
      <c r="M5" s="84" t="s">
        <v>14</v>
      </c>
      <c r="N5" s="84" t="s">
        <v>80</v>
      </c>
      <c r="O5" s="84" t="s">
        <v>99</v>
      </c>
      <c r="P5" s="84" t="s">
        <v>97</v>
      </c>
      <c r="Q5" s="84" t="s">
        <v>78</v>
      </c>
      <c r="R5" s="84" t="s">
        <v>10</v>
      </c>
      <c r="S5" s="84" t="s">
        <v>221</v>
      </c>
      <c r="T5" s="84" t="s">
        <v>87</v>
      </c>
      <c r="U5" s="301" t="s">
        <v>251</v>
      </c>
      <c r="V5" s="6" t="s">
        <v>245</v>
      </c>
      <c r="AC5" s="245"/>
      <c r="AD5" s="47"/>
    </row>
    <row r="6" spans="1:32" ht="15.75">
      <c r="B6" s="374" t="s">
        <v>59</v>
      </c>
      <c r="C6" s="154">
        <f>INDEX('Incremental Rev Req'!$N$8:$S$23,MATCH(B6,'Incremental Rev Req'!$N$8:$N$23,0),MATCH(Summary!$D$2,'Incremental Rev Req'!$N$8:$S$8,0))</f>
        <v>171405.04534484091</v>
      </c>
      <c r="D6" s="154">
        <f>INDEX('Incremental Rev Req'!$N$110:$S$125,MATCH(B6,'Incremental Rev Req'!$N$110:$N$125,0),MATCH(Summary!$D$2,'Incremental Rev Req'!$N$110:$S$110,0))</f>
        <v>255410.28234802242</v>
      </c>
      <c r="G6" s="1" t="s">
        <v>145</v>
      </c>
      <c r="H6" s="378">
        <f>IF(Summary!$D$2=2026,'SDG&amp;E INPUTS'!D14,'SDG&amp;E INPUTS'!D19)</f>
        <v>0.44202475115697171</v>
      </c>
      <c r="I6" s="379">
        <f>IF(Summary!$D$2=2026,'SDG&amp;E INPUTS'!E14,'SDG&amp;E INPUTS'!E19)</f>
        <v>0.19327545344183236</v>
      </c>
      <c r="J6" s="379">
        <f>IF(Summary!$D$2=2026,'SDG&amp;E INPUTS'!F14,'SDG&amp;E INPUTS'!F19)</f>
        <v>0.40641042432297969</v>
      </c>
      <c r="K6" s="379">
        <f>IF(Summary!$D$2=2026,'SDG&amp;E INPUTS'!G14,'SDG&amp;E INPUTS'!G19)</f>
        <v>0.44395927907969351</v>
      </c>
      <c r="L6" s="379">
        <f>IF(Summary!$D$2=2026,'SDG&amp;E INPUTS'!H14,'SDG&amp;E INPUTS'!H19)</f>
        <v>0.93354209609417138</v>
      </c>
      <c r="M6" s="379">
        <f>IF(Summary!$D$2=2026,'SDG&amp;E INPUTS'!I14,'SDG&amp;E INPUTS'!I19)</f>
        <v>0.41505810393659281</v>
      </c>
      <c r="N6" s="379">
        <f>IF(Summary!$D$2=2026,'SDG&amp;E INPUTS'!J14,'SDG&amp;E INPUTS'!J19)</f>
        <v>0.38515733129766966</v>
      </c>
      <c r="O6" s="379">
        <f>IF(Summary!$D$2=2026,'SDG&amp;E INPUTS'!K14,'SDG&amp;E INPUTS'!K19)</f>
        <v>0.36744260900642056</v>
      </c>
      <c r="P6" s="379">
        <f>IF(Summary!$D$2=2026,'SDG&amp;E INPUTS'!L14,'SDG&amp;E INPUTS'!L19)</f>
        <v>0</v>
      </c>
      <c r="Q6" s="379">
        <f>IF(Summary!$D$2=2026,'SDG&amp;E INPUTS'!M14,'SDG&amp;E INPUTS'!M19)</f>
        <v>1</v>
      </c>
      <c r="R6" s="379">
        <f>IF(Summary!$D$2=2026,'SDG&amp;E INPUTS'!N14,'SDG&amp;E INPUTS'!N19)</f>
        <v>0.46084548913967766</v>
      </c>
      <c r="S6" s="379">
        <f>IF(Summary!$D$2=2026,'SDG&amp;E INPUTS'!O14,'SDG&amp;E INPUTS'!O19)</f>
        <v>0.38455103433060595</v>
      </c>
      <c r="T6" s="379">
        <f>IF(Summary!$D$2=2026,'SDG&amp;E INPUTS'!P14,'SDG&amp;E INPUTS'!P19)</f>
        <v>0.32545723580989516</v>
      </c>
      <c r="U6" s="380">
        <f>IF(Summary!$D$2=2026,'SDG&amp;E INPUTS'!Q14,'SDG&amp;E INPUTS'!Q19)</f>
        <v>0.44458003527111079</v>
      </c>
      <c r="V6" s="225">
        <f>'SDG&amp;E INPUTS'!$S$14</f>
        <v>1E-3</v>
      </c>
      <c r="AD6" s="246"/>
    </row>
    <row r="7" spans="1:32" ht="15.75">
      <c r="B7" s="229" t="s">
        <v>5</v>
      </c>
      <c r="C7" s="154">
        <f>INDEX('Incremental Rev Req'!$N$8:$S$23,MATCH(B7,'Incremental Rev Req'!$N$8:$N$23,0),MATCH(Summary!$D$2,'Incremental Rev Req'!$N$8:$S$8,0))</f>
        <v>2334325.4627643544</v>
      </c>
      <c r="D7" s="154">
        <f>INDEX('Incremental Rev Req'!$N$110:$S$125,MATCH(B7,'Incremental Rev Req'!$N$110:$N$125,0),MATCH(Summary!$D$2,'Incremental Rev Req'!$N$110:$S$110,0))</f>
        <v>3247885.1595391147</v>
      </c>
      <c r="G7" s="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91"/>
      <c r="U7" s="291"/>
      <c r="AD7" s="219"/>
    </row>
    <row r="8" spans="1:32" ht="15.6" customHeight="1">
      <c r="B8" s="229" t="s">
        <v>98</v>
      </c>
      <c r="C8" s="154">
        <f>INDEX('Incremental Rev Req'!$N$8:$S$23,MATCH(B8,'Incremental Rev Req'!$N$8:$N$23,0),MATCH(Summary!$D$2,'Incremental Rev Req'!$N$8:$S$8,0))</f>
        <v>-149108.549279297</v>
      </c>
      <c r="D8" s="154">
        <f>INDEX('Incremental Rev Req'!$N$110:$S$125,MATCH(B8,'Incremental Rev Req'!$N$110:$N$125,0),MATCH(Summary!$D$2,'Incremental Rev Req'!$N$110:$S$110,0))</f>
        <v>-137797.42794241811</v>
      </c>
      <c r="G8" s="87"/>
      <c r="H8" s="848" t="s">
        <v>160</v>
      </c>
      <c r="I8" s="849"/>
      <c r="J8" s="849"/>
      <c r="K8" s="849"/>
      <c r="L8" s="849"/>
      <c r="M8" s="849"/>
      <c r="N8" s="849"/>
      <c r="O8" s="849"/>
      <c r="P8" s="849"/>
      <c r="Q8" s="849"/>
      <c r="R8" s="849"/>
      <c r="S8" s="849"/>
      <c r="T8" s="849"/>
      <c r="U8" s="850"/>
      <c r="AD8" s="219"/>
    </row>
    <row r="9" spans="1:32" ht="15.75" customHeight="1">
      <c r="B9" s="229" t="s">
        <v>14</v>
      </c>
      <c r="C9" s="154">
        <f>INDEX('Incremental Rev Req'!$N$8:$S$23,MATCH(B9,'Incremental Rev Req'!$N$8:$N$23,0),MATCH(Summary!$D$2,'Incremental Rev Req'!$N$8:$S$8,0))</f>
        <v>-1314.4084937329058</v>
      </c>
      <c r="D9" s="154">
        <f>INDEX('Incremental Rev Req'!$N$110:$S$125,MATCH(B9,'Incremental Rev Req'!$N$110:$N$125,0),MATCH(Summary!$D$2,'Incremental Rev Req'!$N$110:$S$110,0))</f>
        <v>-1732.1215296796659</v>
      </c>
      <c r="G9" s="88" t="s">
        <v>154</v>
      </c>
      <c r="H9" s="300" t="s">
        <v>3</v>
      </c>
      <c r="I9" s="84" t="s">
        <v>372</v>
      </c>
      <c r="J9" s="84" t="s">
        <v>59</v>
      </c>
      <c r="K9" s="84" t="s">
        <v>5</v>
      </c>
      <c r="L9" s="84" t="s">
        <v>98</v>
      </c>
      <c r="M9" s="84" t="s">
        <v>14</v>
      </c>
      <c r="N9" s="84" t="s">
        <v>80</v>
      </c>
      <c r="O9" s="84" t="s">
        <v>99</v>
      </c>
      <c r="P9" s="84" t="s">
        <v>97</v>
      </c>
      <c r="Q9" s="84" t="s">
        <v>78</v>
      </c>
      <c r="R9" s="84" t="s">
        <v>10</v>
      </c>
      <c r="S9" s="84" t="s">
        <v>221</v>
      </c>
      <c r="T9" s="84" t="s">
        <v>87</v>
      </c>
      <c r="U9" s="301" t="s">
        <v>251</v>
      </c>
      <c r="X9" s="749" t="s">
        <v>444</v>
      </c>
      <c r="AD9" s="219"/>
    </row>
    <row r="10" spans="1:32" ht="15.75">
      <c r="B10" s="229" t="s">
        <v>80</v>
      </c>
      <c r="C10" s="154">
        <f>INDEX('Incremental Rev Req'!$N$8:$S$23,MATCH(B10,'Incremental Rev Req'!$N$8:$N$23,0),MATCH(Summary!$D$2,'Incremental Rev Req'!$N$8:$S$8,0))</f>
        <v>-64.002330000000001</v>
      </c>
      <c r="D10" s="154">
        <f>INDEX('Incremental Rev Req'!$N$110:$S$125,MATCH(B10,'Incremental Rev Req'!$N$110:$N$125,0),MATCH(Summary!$D$2,'Incremental Rev Req'!$N$110:$S$110,0))</f>
        <v>-64.002330000000001</v>
      </c>
      <c r="G10" s="1" t="s">
        <v>145</v>
      </c>
      <c r="H10" s="521">
        <f>H6*H11</f>
        <v>262499.50143778801</v>
      </c>
      <c r="I10" s="89">
        <f>I6*I11</f>
        <v>60.501191033913358</v>
      </c>
      <c r="J10" s="89">
        <f>J6*J11</f>
        <v>69660.797209696364</v>
      </c>
      <c r="K10" s="89">
        <f>K6*K11</f>
        <v>1036345.4495862348</v>
      </c>
      <c r="L10" s="89">
        <f t="shared" ref="L10:T10" si="0">L6*L11</f>
        <v>-139199.10763975597</v>
      </c>
      <c r="M10" s="89">
        <f t="shared" si="0"/>
        <v>-545.55589720693285</v>
      </c>
      <c r="N10" s="89">
        <f t="shared" si="0"/>
        <v>-24.650966619632783</v>
      </c>
      <c r="O10" s="89">
        <f t="shared" si="0"/>
        <v>115171.06102099913</v>
      </c>
      <c r="P10" s="89">
        <f t="shared" si="0"/>
        <v>0</v>
      </c>
      <c r="Q10" s="89">
        <f t="shared" si="0"/>
        <v>0</v>
      </c>
      <c r="R10" s="89">
        <f t="shared" si="0"/>
        <v>453743.88630998059</v>
      </c>
      <c r="S10" s="89">
        <f>S6*S11</f>
        <v>34048.747554178437</v>
      </c>
      <c r="T10" s="89">
        <f t="shared" si="0"/>
        <v>275.98102566627853</v>
      </c>
      <c r="U10" s="522">
        <f>U6*U11</f>
        <v>147255.1216772077</v>
      </c>
      <c r="V10" s="89">
        <f>SUM(H10:U10)</f>
        <v>1979291.7325092026</v>
      </c>
      <c r="W10" s="174"/>
      <c r="X10" s="750">
        <f>V10-AD18</f>
        <v>1730888.4570786338</v>
      </c>
      <c r="AB10" s="98"/>
      <c r="AD10" s="219"/>
    </row>
    <row r="11" spans="1:32" ht="15.75">
      <c r="B11" s="230" t="s">
        <v>99</v>
      </c>
      <c r="C11" s="154">
        <f>INDEX('Incremental Rev Req'!$N$8:$S$23,MATCH(B11,'Incremental Rev Req'!$N$8:$N$23,0),MATCH(Summary!$D$2,'Incremental Rev Req'!$N$8:$S$8,0))</f>
        <v>313439.59083141247</v>
      </c>
      <c r="D11" s="154">
        <f>INDEX('Incremental Rev Req'!$N$110:$S$125,MATCH(B11,'Incremental Rev Req'!$N$110:$N$125,0),MATCH(Summary!$D$2,'Incremental Rev Req'!$N$110:$S$110,0))</f>
        <v>311165.08401730977</v>
      </c>
      <c r="G11" s="1" t="s">
        <v>161</v>
      </c>
      <c r="H11" s="523">
        <f>C4</f>
        <v>593857.01988567889</v>
      </c>
      <c r="I11" s="99">
        <f>C5</f>
        <v>313.03090980522069</v>
      </c>
      <c r="J11" s="99">
        <f>C6</f>
        <v>171405.04534484091</v>
      </c>
      <c r="K11" s="99">
        <f>C7</f>
        <v>2334325.4627643544</v>
      </c>
      <c r="L11" s="99">
        <f>C8</f>
        <v>-149108.549279297</v>
      </c>
      <c r="M11" s="99">
        <f>C9</f>
        <v>-1314.4084937329058</v>
      </c>
      <c r="N11" s="99">
        <f>C10</f>
        <v>-64.002330000000001</v>
      </c>
      <c r="O11" s="99">
        <f>C11</f>
        <v>313439.59083141247</v>
      </c>
      <c r="P11" s="99">
        <f>C12</f>
        <v>0</v>
      </c>
      <c r="Q11" s="99">
        <f>C16</f>
        <v>0</v>
      </c>
      <c r="R11" s="99">
        <f>C14</f>
        <v>984590.0567607712</v>
      </c>
      <c r="S11" s="99">
        <f>C17</f>
        <v>88541.557594423401</v>
      </c>
      <c r="T11" s="99">
        <f>C15</f>
        <v>847.9793819286399</v>
      </c>
      <c r="U11" s="524">
        <f>C13</f>
        <v>331222.97448064573</v>
      </c>
      <c r="V11" s="89">
        <f>SUM(H11:U11)</f>
        <v>4668055.7578508304</v>
      </c>
      <c r="W11" s="173"/>
      <c r="X11" s="750">
        <f>V11-AD18</f>
        <v>4419652.4824202619</v>
      </c>
      <c r="AB11" s="98"/>
      <c r="AC11" s="98"/>
    </row>
    <row r="12" spans="1:32" ht="15.75">
      <c r="B12" s="229" t="s">
        <v>97</v>
      </c>
      <c r="C12" s="154">
        <f>INDEX('Incremental Rev Req'!$N$8:$S$23,MATCH(B12,'Incremental Rev Req'!$N$8:$N$23,0),MATCH(Summary!$D$2,'Incremental Rev Req'!$N$8:$S$8,0))</f>
        <v>0</v>
      </c>
      <c r="D12" s="154">
        <f>INDEX('Incremental Rev Req'!$N$110:$S$125,MATCH(B12,'Incremental Rev Req'!$N$110:$N$125,0),MATCH(Summary!$D$2,'Incremental Rev Req'!$N$110:$S$110,0))</f>
        <v>0</v>
      </c>
      <c r="G12" s="88" t="s">
        <v>162</v>
      </c>
      <c r="H12" s="331"/>
      <c r="U12" s="356"/>
      <c r="V12" s="89"/>
      <c r="X12" s="750"/>
      <c r="AC12" s="178"/>
      <c r="AD12" s="167"/>
    </row>
    <row r="13" spans="1:32" ht="15.75" customHeight="1">
      <c r="B13" s="229" t="s">
        <v>251</v>
      </c>
      <c r="C13" s="154">
        <f>INDEX('Incremental Rev Req'!$N$8:$S$23,MATCH(B13,'Incremental Rev Req'!$N$8:$N$23,0),MATCH(Summary!$D$2,'Incremental Rev Req'!$N$8:$S$8,0))</f>
        <v>331222.97448064573</v>
      </c>
      <c r="D13" s="154">
        <f>INDEX('Incremental Rev Req'!$N$110:$S$125,MATCH(B13,'Incremental Rev Req'!$N$110:$N$125,0),MATCH(Summary!$D$2,'Incremental Rev Req'!$N$110:$S$110,0))</f>
        <v>309151.96842992719</v>
      </c>
      <c r="G13" s="1" t="s">
        <v>145</v>
      </c>
      <c r="H13" s="521">
        <f>H6*H14</f>
        <v>230308.33152432114</v>
      </c>
      <c r="I13" s="89">
        <f>I6*I14</f>
        <v>71.502643620085493</v>
      </c>
      <c r="J13" s="89">
        <f t="shared" ref="J13:T13" si="1">J6*J14</f>
        <v>103801.40122551184</v>
      </c>
      <c r="K13" s="89">
        <f t="shared" si="1"/>
        <v>1441928.7539626206</v>
      </c>
      <c r="L13" s="89">
        <f t="shared" si="1"/>
        <v>-128639.69971775055</v>
      </c>
      <c r="M13" s="89">
        <f t="shared" si="1"/>
        <v>-718.93107789659291</v>
      </c>
      <c r="N13" s="89">
        <f t="shared" si="1"/>
        <v>-24.650966619632783</v>
      </c>
      <c r="O13" s="89">
        <f t="shared" si="1"/>
        <v>114335.31030302236</v>
      </c>
      <c r="P13" s="89">
        <f t="shared" si="1"/>
        <v>0</v>
      </c>
      <c r="Q13" s="89">
        <f t="shared" si="1"/>
        <v>0</v>
      </c>
      <c r="R13" s="89">
        <f t="shared" si="1"/>
        <v>524347.05895068974</v>
      </c>
      <c r="S13" s="89">
        <f>S6*S14</f>
        <v>34623.696249623565</v>
      </c>
      <c r="T13" s="89">
        <f t="shared" si="1"/>
        <v>275.98102566627853</v>
      </c>
      <c r="U13" s="522">
        <f>U6*U14</f>
        <v>137442.79302871035</v>
      </c>
      <c r="V13" s="89">
        <f>SUM(H13:U13)</f>
        <v>2457751.5471515195</v>
      </c>
      <c r="W13" s="174"/>
      <c r="X13" s="750">
        <f>V13-AE18</f>
        <v>2209348.271720951</v>
      </c>
      <c r="AC13" s="98"/>
      <c r="AD13" s="98"/>
    </row>
    <row r="14" spans="1:32" ht="15.75" customHeight="1">
      <c r="B14" s="229" t="s">
        <v>10</v>
      </c>
      <c r="C14" s="154">
        <f>INDEX('Incremental Rev Req'!$N$8:$S$23,MATCH(B14,'Incremental Rev Req'!$N$8:$N$23,0),MATCH(Summary!$D$2,'Incremental Rev Req'!$N$8:$S$8,0))</f>
        <v>984590.0567607712</v>
      </c>
      <c r="D14" s="154">
        <f>INDEX('Incremental Rev Req'!$N$110:$S$125,MATCH(B14,'Incremental Rev Req'!$N$110:$N$125,0),MATCH(Summary!$D$2,'Incremental Rev Req'!$N$110:$S$110,0))</f>
        <v>1137793.6234757532</v>
      </c>
      <c r="G14" s="1" t="s">
        <v>161</v>
      </c>
      <c r="H14" s="525">
        <f>D4</f>
        <v>521030.39687597519</v>
      </c>
      <c r="I14" s="518">
        <f>D5</f>
        <v>369.95201587564628</v>
      </c>
      <c r="J14" s="518">
        <f>D6</f>
        <v>255410.28234802242</v>
      </c>
      <c r="K14" s="518">
        <f>D7</f>
        <v>3247885.1595391147</v>
      </c>
      <c r="L14" s="518">
        <f>D8</f>
        <v>-137797.42794241811</v>
      </c>
      <c r="M14" s="518">
        <f>D9</f>
        <v>-1732.1215296796659</v>
      </c>
      <c r="N14" s="518">
        <f>D10</f>
        <v>-64.002330000000001</v>
      </c>
      <c r="O14" s="518">
        <f>D11</f>
        <v>311165.08401730977</v>
      </c>
      <c r="P14" s="518">
        <f>D12</f>
        <v>0</v>
      </c>
      <c r="Q14" s="518">
        <f>D16</f>
        <v>0</v>
      </c>
      <c r="R14" s="518">
        <f>D14</f>
        <v>1137793.6234757532</v>
      </c>
      <c r="S14" s="518">
        <f>D17</f>
        <v>90036.674351672409</v>
      </c>
      <c r="T14" s="518">
        <f>D15</f>
        <v>847.9793819286399</v>
      </c>
      <c r="U14" s="526">
        <f>D13</f>
        <v>309151.96842992719</v>
      </c>
      <c r="V14" s="89">
        <f>SUM(H14:U14)</f>
        <v>5734097.5686334809</v>
      </c>
      <c r="W14" s="173"/>
      <c r="X14" s="751">
        <f>V14-AE18</f>
        <v>5485694.2932029124</v>
      </c>
      <c r="AC14" s="98"/>
    </row>
    <row r="15" spans="1:32" ht="15.75">
      <c r="B15" s="229" t="s">
        <v>87</v>
      </c>
      <c r="C15" s="154">
        <f>INDEX('Incremental Rev Req'!$N$8:$S$23,MATCH(B15,'Incremental Rev Req'!$N$8:$N$23,0),MATCH(Summary!$D$2,'Incremental Rev Req'!$N$8:$S$8,0))</f>
        <v>847.9793819286399</v>
      </c>
      <c r="D15" s="154">
        <f>INDEX('Incremental Rev Req'!$N$110:$S$125,MATCH(B15,'Incremental Rev Req'!$N$110:$N$125,0),MATCH(Summary!$D$2,'Incremental Rev Req'!$N$110:$S$110,0))</f>
        <v>847.9793819286399</v>
      </c>
      <c r="G15" s="91"/>
      <c r="H15" s="39"/>
      <c r="I15" s="39"/>
      <c r="J15" s="39"/>
      <c r="K15" s="39"/>
      <c r="L15" s="87"/>
      <c r="AC15" s="1"/>
      <c r="AD15" s="92" t="s">
        <v>154</v>
      </c>
      <c r="AE15" s="92" t="s">
        <v>162</v>
      </c>
    </row>
    <row r="16" spans="1:32" ht="15.75">
      <c r="B16" s="229" t="s">
        <v>78</v>
      </c>
      <c r="C16" s="154">
        <f>INDEX('Incremental Rev Req'!$N$8:$S$23,MATCH(B16,'Incremental Rev Req'!$N$8:$N$23,0),MATCH(Summary!$D$2,'Incremental Rev Req'!$N$8:$S$8,0))</f>
        <v>0</v>
      </c>
      <c r="D16" s="154">
        <f>INDEX('Incremental Rev Req'!$N$110:$S$125,MATCH(B16,'Incremental Rev Req'!$N$110:$N$125,0),MATCH(Summary!$D$2,'Incremental Rev Req'!$N$110:$S$110,0))</f>
        <v>0</v>
      </c>
      <c r="H16" s="515"/>
      <c r="I16" s="516"/>
      <c r="J16" s="516"/>
      <c r="K16" s="516"/>
      <c r="L16" s="516"/>
      <c r="M16" s="516"/>
      <c r="N16" s="516"/>
      <c r="O16" s="516"/>
      <c r="P16" s="516"/>
      <c r="Q16" s="516"/>
      <c r="R16" s="516"/>
      <c r="S16" s="516"/>
      <c r="T16" s="516"/>
      <c r="U16" s="516"/>
      <c r="V16" s="851" t="s">
        <v>257</v>
      </c>
      <c r="W16" s="852"/>
      <c r="X16" s="851" t="s">
        <v>253</v>
      </c>
      <c r="Y16" s="852"/>
      <c r="Z16" s="844" t="s">
        <v>254</v>
      </c>
      <c r="AA16" s="846" t="s">
        <v>255</v>
      </c>
      <c r="AC16" s="202" t="s">
        <v>163</v>
      </c>
      <c r="AD16" s="166">
        <f>IF(Summary!$D$2=2026,E31,E32)</f>
        <v>0.19523472913777831</v>
      </c>
      <c r="AE16" s="166">
        <f>AD16</f>
        <v>0.19523472913777831</v>
      </c>
      <c r="AF16" s="167"/>
    </row>
    <row r="17" spans="2:32" ht="15.75">
      <c r="B17" s="1" t="s">
        <v>221</v>
      </c>
      <c r="C17" s="154">
        <f>INDEX('Incremental Rev Req'!$N$8:$S$23,MATCH(B17,'Incremental Rev Req'!$N$8:$N$23,0),MATCH(Summary!$D$2,'Incremental Rev Req'!$N$8:$S$8,0))</f>
        <v>88541.557594423401</v>
      </c>
      <c r="D17" s="154">
        <f>INDEX('Incremental Rev Req'!$N$110:$S$125,MATCH(B17,'Incremental Rev Req'!$N$110:$N$125,0),MATCH(Summary!$D$2,'Incremental Rev Req'!$N$110:$S$110,0))</f>
        <v>90036.674351672409</v>
      </c>
      <c r="G17" s="87"/>
      <c r="H17" s="853" t="s">
        <v>249</v>
      </c>
      <c r="I17" s="855"/>
      <c r="J17" s="855"/>
      <c r="K17" s="855"/>
      <c r="L17" s="855"/>
      <c r="M17" s="855"/>
      <c r="N17" s="855"/>
      <c r="O17" s="855"/>
      <c r="P17" s="855"/>
      <c r="Q17" s="855"/>
      <c r="R17" s="855"/>
      <c r="S17" s="855"/>
      <c r="T17" s="855"/>
      <c r="U17" s="854"/>
      <c r="V17" s="853" t="s">
        <v>165</v>
      </c>
      <c r="W17" s="854"/>
      <c r="X17" s="853" t="s">
        <v>165</v>
      </c>
      <c r="Y17" s="854"/>
      <c r="Z17" s="845"/>
      <c r="AA17" s="847"/>
      <c r="AC17" s="202" t="s">
        <v>441</v>
      </c>
      <c r="AD17" s="166">
        <f>'SDG&amp;E INPUTS'!K103</f>
        <v>0.35</v>
      </c>
      <c r="AE17" s="166">
        <f>AD17</f>
        <v>0.35</v>
      </c>
    </row>
    <row r="18" spans="2:32" ht="31.5">
      <c r="B18" s="2" t="s">
        <v>256</v>
      </c>
      <c r="C18" s="82">
        <f>SUM(C4:C17)</f>
        <v>4668055.7578508304</v>
      </c>
      <c r="D18" s="82">
        <f>SUM(D4:D17)</f>
        <v>5734097.5686334809</v>
      </c>
      <c r="F18" s="265"/>
      <c r="H18" s="300" t="s">
        <v>3</v>
      </c>
      <c r="I18" s="84" t="s">
        <v>372</v>
      </c>
      <c r="J18" s="84" t="s">
        <v>59</v>
      </c>
      <c r="K18" s="84" t="s">
        <v>5</v>
      </c>
      <c r="L18" s="84" t="s">
        <v>98</v>
      </c>
      <c r="M18" s="84" t="s">
        <v>14</v>
      </c>
      <c r="N18" s="84" t="s">
        <v>80</v>
      </c>
      <c r="O18" s="84" t="s">
        <v>99</v>
      </c>
      <c r="P18" s="84" t="s">
        <v>97</v>
      </c>
      <c r="Q18" s="84" t="s">
        <v>78</v>
      </c>
      <c r="R18" s="84" t="s">
        <v>10</v>
      </c>
      <c r="S18" s="84" t="s">
        <v>221</v>
      </c>
      <c r="T18" s="84" t="s">
        <v>87</v>
      </c>
      <c r="U18" s="301" t="s">
        <v>251</v>
      </c>
      <c r="V18" s="94" t="s">
        <v>112</v>
      </c>
      <c r="W18" s="752" t="s">
        <v>444</v>
      </c>
      <c r="X18" s="753" t="s">
        <v>112</v>
      </c>
      <c r="Y18" s="752" t="s">
        <v>444</v>
      </c>
      <c r="Z18" s="94" t="s">
        <v>3</v>
      </c>
      <c r="AA18" s="749" t="s">
        <v>3</v>
      </c>
      <c r="AC18" s="202" t="s">
        <v>445</v>
      </c>
      <c r="AD18" s="90">
        <f>IF(Summary!$D$2=2026,C31,C32)</f>
        <v>248403.2754305687</v>
      </c>
      <c r="AE18" s="90">
        <f>AD18</f>
        <v>248403.2754305687</v>
      </c>
      <c r="AF18" s="98"/>
    </row>
    <row r="19" spans="2:32" ht="15.75">
      <c r="C19" s="178"/>
      <c r="D19" s="178"/>
      <c r="E19" s="265"/>
      <c r="G19" s="1" t="s">
        <v>145</v>
      </c>
      <c r="H19" s="512">
        <v>1</v>
      </c>
      <c r="I19" s="513">
        <v>0</v>
      </c>
      <c r="J19" s="513">
        <v>1</v>
      </c>
      <c r="K19" s="513">
        <v>1</v>
      </c>
      <c r="L19" s="513">
        <v>1</v>
      </c>
      <c r="M19" s="513">
        <v>1</v>
      </c>
      <c r="N19" s="513">
        <v>1</v>
      </c>
      <c r="O19" s="513">
        <v>1</v>
      </c>
      <c r="P19" s="513">
        <v>1</v>
      </c>
      <c r="Q19" s="513">
        <v>1</v>
      </c>
      <c r="R19" s="513">
        <v>1</v>
      </c>
      <c r="S19" s="513">
        <v>1</v>
      </c>
      <c r="T19" s="513">
        <v>1</v>
      </c>
      <c r="U19" s="514">
        <v>0</v>
      </c>
      <c r="V19" s="523">
        <f>SUMPRODUCT(J10:T10,J19:T19)</f>
        <v>1569476.6082031731</v>
      </c>
      <c r="W19" s="99">
        <f>V19-((AD18)*IF(Summary!$D$2=2026,D31,D32))</f>
        <v>1360114.5966603004</v>
      </c>
      <c r="X19" s="523">
        <f>SUMPRODUCT(J13:T13,J19:T19)</f>
        <v>2089928.9199548676</v>
      </c>
      <c r="Y19" s="524">
        <f>X19-((AE18)*IF(Summary!$D$2=2026,D31,D32))</f>
        <v>1880566.9084119948</v>
      </c>
      <c r="Z19" s="523">
        <f>SUMPRODUCT(H10,H19)</f>
        <v>262499.50143778801</v>
      </c>
      <c r="AA19" s="227">
        <f>SUMPRODUCT(H13,H19)</f>
        <v>230308.33152432114</v>
      </c>
      <c r="AC19" s="202"/>
      <c r="AD19" s="89"/>
      <c r="AE19" s="89"/>
    </row>
    <row r="20" spans="2:32" ht="15.75">
      <c r="B20" s="2" t="s">
        <v>245</v>
      </c>
      <c r="C20" s="224">
        <f>'SDG&amp;E INPUTS'!S14</f>
        <v>1E-3</v>
      </c>
      <c r="D20" s="224">
        <f>C20</f>
        <v>1E-3</v>
      </c>
      <c r="G20" s="1" t="s">
        <v>161</v>
      </c>
      <c r="H20" s="378">
        <v>1</v>
      </c>
      <c r="I20" s="379">
        <v>0</v>
      </c>
      <c r="J20" s="379">
        <v>1</v>
      </c>
      <c r="K20" s="379">
        <v>1</v>
      </c>
      <c r="L20" s="379">
        <v>1</v>
      </c>
      <c r="M20" s="379">
        <v>1</v>
      </c>
      <c r="N20" s="379">
        <v>1</v>
      </c>
      <c r="O20" s="379">
        <v>1</v>
      </c>
      <c r="P20" s="379">
        <v>1</v>
      </c>
      <c r="Q20" s="379">
        <v>1</v>
      </c>
      <c r="R20" s="379">
        <v>1</v>
      </c>
      <c r="S20" s="379">
        <v>1</v>
      </c>
      <c r="T20" s="379">
        <v>1</v>
      </c>
      <c r="U20" s="380">
        <v>0</v>
      </c>
      <c r="V20" s="525">
        <f>SUMPRODUCT(J11:T11,J20:T20)</f>
        <v>3742662.7325747008</v>
      </c>
      <c r="W20" s="518">
        <f>V20-AD18</f>
        <v>3494259.4571441323</v>
      </c>
      <c r="X20" s="525">
        <f>SUMPRODUCT(J14:T14,J20:T20)</f>
        <v>4903545.2513117036</v>
      </c>
      <c r="Y20" s="526">
        <f>X20-AE18</f>
        <v>4655141.9758811351</v>
      </c>
      <c r="Z20" s="525">
        <f>SUMPRODUCT(H11,H20)</f>
        <v>593857.01988567889</v>
      </c>
      <c r="AA20" s="520">
        <f>SUMPRODUCT(H14,H20)</f>
        <v>521030.39687597519</v>
      </c>
      <c r="AC20" s="202" t="s">
        <v>213</v>
      </c>
      <c r="AD20" s="166">
        <f>'SDG&amp;E INPUTS'!K104</f>
        <v>0.32778680848344788</v>
      </c>
      <c r="AE20" s="166">
        <f>AD20</f>
        <v>0.32778680848344788</v>
      </c>
      <c r="AF20" s="1"/>
    </row>
    <row r="21" spans="2:32" ht="15.75">
      <c r="B21" s="2"/>
      <c r="C21" s="224"/>
      <c r="D21" s="224"/>
      <c r="G21" s="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S21" s="291"/>
      <c r="T21" s="291"/>
      <c r="U21" s="99"/>
      <c r="V21" s="99"/>
      <c r="W21" s="99"/>
      <c r="X21" s="99"/>
      <c r="Y21" s="99"/>
      <c r="Z21" s="99"/>
      <c r="AB21" s="202"/>
      <c r="AC21" s="292"/>
      <c r="AD21" s="292"/>
      <c r="AE21" s="1"/>
    </row>
    <row r="22" spans="2:32" ht="15.75">
      <c r="B22" s="2"/>
      <c r="C22" s="224"/>
      <c r="D22" s="224"/>
      <c r="G22" s="840" t="s">
        <v>168</v>
      </c>
      <c r="H22" s="841"/>
      <c r="I22" s="841"/>
      <c r="J22" s="841"/>
      <c r="K22" s="841"/>
      <c r="L22" s="842"/>
      <c r="P22" s="1"/>
      <c r="Q22" s="840" t="s">
        <v>169</v>
      </c>
      <c r="R22" s="841"/>
      <c r="S22" s="841"/>
      <c r="T22" s="841"/>
      <c r="U22" s="841"/>
      <c r="V22" s="841"/>
      <c r="W22" s="842"/>
      <c r="X22" s="105"/>
      <c r="AB22" s="93"/>
      <c r="AC22" s="90"/>
      <c r="AD22" s="90"/>
      <c r="AE22" s="168"/>
    </row>
    <row r="23" spans="2:32" ht="63">
      <c r="C23" s="611" t="str">
        <f>YEAR(Summary!I2)&amp;" SALES DETERMINANTS"</f>
        <v>2026 SALES DETERMINANTS</v>
      </c>
      <c r="D23" s="357"/>
      <c r="E23" s="456"/>
      <c r="F23" s="83"/>
      <c r="G23" s="83" t="str">
        <f>Summary!D2&amp;" SALES DETERMINANTS BUNDLED"</f>
        <v>2030 SALES DETERMINANTS BUNDLED</v>
      </c>
      <c r="H23" s="83" t="str">
        <f>Summary!I2&amp;" Avg Rates"&amp;"(sales adj.)"</f>
        <v>8/1/2026 Avg Rates(sales adj.)</v>
      </c>
      <c r="I23" s="83" t="s">
        <v>170</v>
      </c>
      <c r="J23" s="83" t="s">
        <v>171</v>
      </c>
      <c r="K23" s="83" t="s">
        <v>172</v>
      </c>
      <c r="L23" s="83" t="s">
        <v>173</v>
      </c>
      <c r="Q23" s="1"/>
      <c r="R23" s="83" t="str">
        <f>C24</f>
        <v>SYSTEM NET</v>
      </c>
      <c r="S23" s="83" t="str">
        <f>H23</f>
        <v>8/1/2026 Avg Rates(sales adj.)</v>
      </c>
      <c r="T23" s="83" t="s">
        <v>170</v>
      </c>
      <c r="U23" s="83" t="s">
        <v>171</v>
      </c>
      <c r="V23" s="83" t="s">
        <v>172</v>
      </c>
      <c r="W23" s="83" t="s">
        <v>173</v>
      </c>
      <c r="X23" s="105"/>
      <c r="AB23" s="52"/>
      <c r="AC23" s="399" t="str">
        <f>'SDG&amp;E INPUTS'!E115</f>
        <v>6/1/2026</v>
      </c>
      <c r="AD23" s="399" t="str">
        <f>'SDG&amp;E INPUTS'!F115</f>
        <v>8/1/2026</v>
      </c>
      <c r="AE23" s="399" t="str">
        <f>'SDG&amp;E INPUTS'!G115</f>
        <v>6/1/2026</v>
      </c>
      <c r="AF23" s="399" t="str">
        <f>'SDG&amp;E INPUTS'!H115</f>
        <v>8/1/2026</v>
      </c>
    </row>
    <row r="24" spans="2:32" ht="31.5">
      <c r="B24" s="1"/>
      <c r="C24" s="83" t="s">
        <v>333</v>
      </c>
      <c r="D24" s="83" t="s">
        <v>334</v>
      </c>
      <c r="E24" s="83" t="s">
        <v>335</v>
      </c>
      <c r="F24" s="106" t="s">
        <v>145</v>
      </c>
      <c r="G24" s="226">
        <f>IF(Summary!$D$2=2026,E25,E38)</f>
        <v>1354543.9616701207</v>
      </c>
      <c r="H24" s="747">
        <f>IF(Summary!$I$8="N",AF26,AD26)</f>
        <v>43.132000000000005</v>
      </c>
      <c r="I24" s="435">
        <f>IF(Summary!$I$8="N",SUM($H30,$J30:$K30,$M30:$T30),SUM($H30,$J30:$T30))</f>
        <v>42.590307463403128</v>
      </c>
      <c r="J24" s="435">
        <f>IF(Summary!$I$8="N",SUM($H36,$J36:$K36,$M36:$T36),SUM($H36,$J36:$T36))</f>
        <v>49.343444669109282</v>
      </c>
      <c r="K24" s="107">
        <f>I24/H24-1</f>
        <v>-1.255894780202349E-2</v>
      </c>
      <c r="L24" s="107">
        <f>J24/H24-1</f>
        <v>0.14401012401718627</v>
      </c>
      <c r="M24" s="431"/>
      <c r="O24" s="270"/>
      <c r="Q24" s="106" t="s">
        <v>145</v>
      </c>
      <c r="R24" s="89">
        <f>IF(Summary!$D$2=2026,C25,C38)</f>
        <v>5701842.6252899971</v>
      </c>
      <c r="S24" s="748">
        <f>(('SDG&amp;E INPUTS'!L43*$U$6)/($C25-$E25)*100)+(('SDG&amp;E INPUTS'!L42*$I$6)/($C25-$E25)*100)+H24</f>
        <v>46.626331046727124</v>
      </c>
      <c r="T24" s="435">
        <f>I24+($U10/(IF(Summary!$D$2=2026,$C25,$C38)-IF(Summary!$D$2=2026,$E25,$E38))*100)+($I10/(IF(Summary!$D$2=2026,$C25,$C38)-IF(Summary!$D$2=2026,$E25,$E38))*100)</f>
        <v>45.97897786005759</v>
      </c>
      <c r="U24" s="435">
        <f>J24+($U13/(IF(Summary!$D$2=2026,$C25,$C38)-IF(Summary!$D$2=2026,$E25,$E38))*100)+($I13/(IF(Summary!$D$2=2026,$C25,$C38)-IF(Summary!$D$2=2026,$E25,$E38))*100)</f>
        <v>52.506657190556474</v>
      </c>
      <c r="V24" s="107">
        <f>T24/S24-1</f>
        <v>-1.3883854297280673E-2</v>
      </c>
      <c r="W24" s="107">
        <f>U24/S24-1</f>
        <v>0.12611599522888284</v>
      </c>
      <c r="X24" s="105"/>
      <c r="Y24" s="1"/>
      <c r="Z24" s="1"/>
      <c r="AB24" s="52"/>
      <c r="AC24" s="791" t="s">
        <v>421</v>
      </c>
      <c r="AD24" s="791"/>
      <c r="AE24" s="791" t="s">
        <v>420</v>
      </c>
      <c r="AF24" s="791"/>
    </row>
    <row r="25" spans="2:32" ht="15.75">
      <c r="B25" s="106" t="s">
        <v>145</v>
      </c>
      <c r="C25" s="226">
        <f>'SDG&amp;E INPUTS'!E33</f>
        <v>5529244.7570373612</v>
      </c>
      <c r="D25" s="226">
        <f>'SDG&amp;E INPUTS'!F33</f>
        <v>7311830.3174004499</v>
      </c>
      <c r="E25" s="226">
        <f>'SDG&amp;E INPUTS'!G33</f>
        <v>1313398.550759305</v>
      </c>
      <c r="F25" s="106" t="s">
        <v>161</v>
      </c>
      <c r="G25" s="226">
        <f>IF(Summary!$D$2=2026,E26,E39)</f>
        <v>3056061.0825226498</v>
      </c>
      <c r="H25" s="747">
        <f>IF(Summary!$I$8="N",AF27,AD27)</f>
        <v>39.259</v>
      </c>
      <c r="I25" s="435">
        <f>IF(Summary!$I$8="N",SUM($H31,$J31:$K31,$M31:$T31),SUM($H31,$J31:$T31))</f>
        <v>39.129307483831283</v>
      </c>
      <c r="J25" s="435">
        <f>IF(Summary!$I$8="N",SUM($H37,$J37:$K37,$M37:$T37),SUM($H37,$J37:$T37))</f>
        <v>43.37326262322987</v>
      </c>
      <c r="K25" s="107">
        <f>I25/H25-1</f>
        <v>-3.3035104350267464E-3</v>
      </c>
      <c r="L25" s="107">
        <f>J25/H25-1</f>
        <v>0.1047979475592824</v>
      </c>
      <c r="M25" s="431"/>
      <c r="Q25" s="106" t="s">
        <v>161</v>
      </c>
      <c r="R25" s="89">
        <f>IF(Summary!$D$2=2026,C26,C39)</f>
        <v>17519483.354244851</v>
      </c>
      <c r="S25" s="748">
        <f>('SDG&amp;E INPUTS'!L41/($C26-$E26)*100)+H25</f>
        <v>41.591672408872029</v>
      </c>
      <c r="T25" s="435">
        <f>I25+($U11/(IF(Summary!$D$2=2026,$C26,$C39)-IF(Summary!$D$2=2026,$E26,$E39))*100)+($I11/(IF(Summary!$D$2=2026,$C26,$C39)-IF(Summary!$D$2=2026,$E26,$E39))*100)</f>
        <v>41.421545096492608</v>
      </c>
      <c r="U25" s="435">
        <f>J25+($U14/(IF(Summary!$D$2=2026,$C26,$C39)-IF(Summary!$D$2=2026,$E26,$E39))*100)+($I14/(IF(Summary!$D$2=2026,$C26,$C39)-IF(Summary!$D$2=2026,$E26,$E39))*100)</f>
        <v>45.513295007204142</v>
      </c>
      <c r="V25" s="107">
        <f>T25/S25-1</f>
        <v>-4.0904176852271101E-3</v>
      </c>
      <c r="W25" s="107">
        <f>U25/S25-1</f>
        <v>9.42886489338568E-2</v>
      </c>
      <c r="X25" s="109"/>
      <c r="Y25" s="102"/>
      <c r="Z25" s="102"/>
      <c r="AB25" s="52" t="s">
        <v>335</v>
      </c>
      <c r="AC25" s="52"/>
      <c r="AD25" s="52"/>
      <c r="AE25" s="52"/>
      <c r="AF25" s="52"/>
    </row>
    <row r="26" spans="2:32" ht="15.75">
      <c r="B26" s="106" t="s">
        <v>161</v>
      </c>
      <c r="C26" s="226">
        <f>'SDG&amp;E INPUTS'!E35</f>
        <v>17431428.836032141</v>
      </c>
      <c r="D26" s="226">
        <f>'SDG&amp;E INPUTS'!F35</f>
        <v>19476455.216977414</v>
      </c>
      <c r="E26" s="226">
        <f>'SDG&amp;E INPUTS'!G35</f>
        <v>3218717.0926473755</v>
      </c>
      <c r="F26" s="20"/>
      <c r="I26" s="431"/>
      <c r="J26" s="431"/>
      <c r="S26" s="307"/>
      <c r="T26" s="1"/>
      <c r="U26" s="103"/>
      <c r="V26" s="104"/>
      <c r="W26" s="103"/>
      <c r="X26" s="105"/>
      <c r="Y26" s="104"/>
      <c r="Z26" s="104"/>
      <c r="AB26" s="52" t="s">
        <v>145</v>
      </c>
      <c r="AC26" s="433">
        <f>'SDG&amp;E INPUTS'!E117</f>
        <v>42.963999999999999</v>
      </c>
      <c r="AD26" s="433">
        <f>'SDG&amp;E INPUTS'!F117</f>
        <v>43.132000000000005</v>
      </c>
      <c r="AE26" s="433">
        <f>'SDG&amp;E INPUTS'!G117</f>
        <v>45.481000000000002</v>
      </c>
      <c r="AF26" s="433">
        <f>'SDG&amp;E INPUTS'!H117</f>
        <v>45.649000000000001</v>
      </c>
    </row>
    <row r="27" spans="2:32" ht="15.75">
      <c r="B27" s="268"/>
      <c r="C27" s="226"/>
      <c r="D27" s="226"/>
      <c r="E27" s="4"/>
      <c r="F27" s="1"/>
      <c r="H27" s="4"/>
      <c r="I27" s="4"/>
      <c r="J27" s="169"/>
      <c r="Q27" s="1"/>
      <c r="R27" s="1"/>
      <c r="S27" s="1"/>
      <c r="T27" s="1"/>
      <c r="U27" s="1"/>
      <c r="V27" s="1"/>
      <c r="W27" s="1"/>
      <c r="X27" s="109"/>
      <c r="Y27" s="105"/>
      <c r="Z27" s="105"/>
      <c r="AB27" s="52" t="s">
        <v>161</v>
      </c>
      <c r="AC27" s="434">
        <f>'SDG&amp;E INPUTS'!E119</f>
        <v>38.957000000000001</v>
      </c>
      <c r="AD27" s="434">
        <f>'SDG&amp;E INPUTS'!F119</f>
        <v>39.259</v>
      </c>
      <c r="AE27" s="434">
        <f>'SDG&amp;E INPUTS'!G119</f>
        <v>39.811999999999998</v>
      </c>
      <c r="AF27" s="434">
        <f>'SDG&amp;E INPUTS'!H119</f>
        <v>40.114000000000004</v>
      </c>
    </row>
    <row r="28" spans="2:32" ht="15.75">
      <c r="D28" s="1"/>
      <c r="E28" s="1"/>
      <c r="F28" s="1"/>
      <c r="G28" s="470"/>
      <c r="H28" s="856" t="s">
        <v>480</v>
      </c>
      <c r="I28" s="856"/>
      <c r="J28" s="856"/>
      <c r="K28" s="856"/>
      <c r="L28" s="856"/>
      <c r="M28" s="856"/>
      <c r="N28" s="856"/>
      <c r="O28" s="856"/>
      <c r="P28" s="856"/>
      <c r="Q28" s="856"/>
      <c r="R28" s="856"/>
      <c r="S28" s="856"/>
      <c r="T28" s="856"/>
      <c r="U28" s="857"/>
      <c r="V28" s="1"/>
      <c r="W28" s="1"/>
      <c r="X28" s="109"/>
      <c r="Y28" s="105"/>
      <c r="Z28" s="105"/>
      <c r="AC28" s="226"/>
      <c r="AD28" s="1"/>
      <c r="AE28" s="1"/>
    </row>
    <row r="29" spans="2:32" ht="30">
      <c r="B29" s="579" t="s">
        <v>443</v>
      </c>
      <c r="C29" s="3"/>
      <c r="D29" s="1"/>
      <c r="E29" s="1"/>
      <c r="G29" s="471"/>
      <c r="H29" s="472" t="s">
        <v>3</v>
      </c>
      <c r="I29" s="473" t="s">
        <v>372</v>
      </c>
      <c r="J29" s="473" t="s">
        <v>59</v>
      </c>
      <c r="K29" s="473" t="s">
        <v>5</v>
      </c>
      <c r="L29" s="473" t="s">
        <v>98</v>
      </c>
      <c r="M29" s="473" t="s">
        <v>14</v>
      </c>
      <c r="N29" s="473" t="s">
        <v>80</v>
      </c>
      <c r="O29" s="473" t="s">
        <v>99</v>
      </c>
      <c r="P29" s="473" t="s">
        <v>97</v>
      </c>
      <c r="Q29" s="473" t="s">
        <v>78</v>
      </c>
      <c r="R29" s="473" t="s">
        <v>10</v>
      </c>
      <c r="S29" s="473" t="s">
        <v>221</v>
      </c>
      <c r="T29" s="473" t="s">
        <v>87</v>
      </c>
      <c r="U29" s="474" t="s">
        <v>251</v>
      </c>
      <c r="V29" s="1"/>
      <c r="W29" s="1"/>
      <c r="X29" s="105"/>
      <c r="Y29" s="105"/>
      <c r="Z29" s="105"/>
      <c r="AC29" s="3"/>
      <c r="AD29" s="1"/>
      <c r="AE29" s="1"/>
    </row>
    <row r="30" spans="2:32" ht="15.75">
      <c r="B30" s="20"/>
      <c r="C30" s="421" t="s">
        <v>147</v>
      </c>
      <c r="D30" s="421" t="s">
        <v>446</v>
      </c>
      <c r="E30" s="702" t="s">
        <v>163</v>
      </c>
      <c r="G30" s="475" t="s">
        <v>145</v>
      </c>
      <c r="H30" s="477">
        <f>H10/IF(Summary!$D$2=2026,$E25,$E38)*100</f>
        <v>19.379179182500089</v>
      </c>
      <c r="I30" s="477">
        <f>I10/IF(Summary!$D$2=2026,$C25-$E25,$C38-$E38)*100</f>
        <v>1.3916962167843257E-3</v>
      </c>
      <c r="J30" s="477">
        <f>J10/IF(Summary!$D$2=2026,$C25,$C38)*100</f>
        <v>1.2217243054152762</v>
      </c>
      <c r="K30" s="477">
        <f>(K10-($AD$18*IF(Summary!$D$2=2026,D31,D32)))/IF(Summary!$D$2=2026,$C25,$C38)*100</f>
        <v>14.503792762980749</v>
      </c>
      <c r="L30" s="477">
        <f>L10/IF(Summary!$D$2=2026,$C25,$C38)*100</f>
        <v>-2.4413004144020247</v>
      </c>
      <c r="M30" s="477">
        <f>M10/IF(Summary!$D$2=2026,$D25,$D38)*100</f>
        <v>-7.2088619928262444E-3</v>
      </c>
      <c r="N30" s="477">
        <f>N10/IF(Summary!$D$2=2026,$D25,$D38)*100</f>
        <v>-3.2573273840589504E-4</v>
      </c>
      <c r="O30" s="477">
        <f>O10/IF(Summary!$D$2=2026,$D25,$D38)*100</f>
        <v>1.521846411556308</v>
      </c>
      <c r="P30" s="477">
        <f>P10/IF(Summary!$D$2=2026,$D25,$D38)*100</f>
        <v>0</v>
      </c>
      <c r="Q30" s="477">
        <f>Q10/IF(Summary!$D$2=2026,$C25,$C38)*100</f>
        <v>0</v>
      </c>
      <c r="R30" s="477">
        <f>R10/IF(Summary!$D$2=2026,$C25,$C38)*100</f>
        <v>7.9578465441582242</v>
      </c>
      <c r="S30" s="477">
        <f>S10/IF(Summary!$D$2=2026,$D25,$D38)*100</f>
        <v>0.44991305822792832</v>
      </c>
      <c r="T30" s="477">
        <f>T10/IF(Summary!$D$2=2026,$C25,$C38)*100</f>
        <v>4.8402076978096547E-3</v>
      </c>
      <c r="U30" s="479">
        <f>U10/IF(Summary!$D$2=2026,$C25-$E25,$C38-$E38)*100</f>
        <v>3.3872787004376743</v>
      </c>
      <c r="V30" s="1"/>
      <c r="W30" s="1"/>
      <c r="X30" s="102"/>
      <c r="Y30" s="109"/>
      <c r="Z30" s="109"/>
      <c r="AE30" s="83"/>
    </row>
    <row r="31" spans="2:32" ht="15.75">
      <c r="B31" s="20" t="s">
        <v>442</v>
      </c>
      <c r="C31" s="744">
        <f>'SDG&amp;E INPUTS'!E93</f>
        <v>247741.44483236791</v>
      </c>
      <c r="D31" s="745">
        <f>'SDG&amp;E INPUTS'!F93</f>
        <v>0.84203112736209895</v>
      </c>
      <c r="E31" s="317">
        <f>'SDG&amp;E INPUTS'!F103</f>
        <v>0.19523472913777831</v>
      </c>
      <c r="G31" s="476" t="s">
        <v>161</v>
      </c>
      <c r="H31" s="478">
        <f>H11/IF(Summary!$D$2=2026,$E26,$E39)*100</f>
        <v>19.43210570239895</v>
      </c>
      <c r="I31" s="478">
        <f>I11/IF(Summary!$D$2=2026,$C26-$E26,$C39-$E39)*100</f>
        <v>2.1642935117592139E-3</v>
      </c>
      <c r="J31" s="478">
        <f>J11/IF(Summary!$D$2=2026,$C26,$C39)*100</f>
        <v>0.97836815092672613</v>
      </c>
      <c r="K31" s="478">
        <f>(K11-$AD$18)/IF(Summary!$D$2=2026,$C26,$C39)*100</f>
        <v>11.906299661675703</v>
      </c>
      <c r="L31" s="478">
        <f>L11/IF(Summary!$D$2=2026,$C26,$C39)*100</f>
        <v>-0.85110129256847655</v>
      </c>
      <c r="M31" s="478">
        <f>M11/IF(Summary!$D$2=2026,$D26,$D39)*100</f>
        <v>-6.6895358035806976E-3</v>
      </c>
      <c r="N31" s="478">
        <f>N11/IF(Summary!$D$2=2026,$D26,$D39)*100</f>
        <v>-3.2573273840589499E-4</v>
      </c>
      <c r="O31" s="478">
        <f>O11/IF(Summary!$D$2=2026,$D26,$D39)*100</f>
        <v>1.5952159280191711</v>
      </c>
      <c r="P31" s="478">
        <f>P11/IF(Summary!$D$2=2026,$D26,$D39)*100</f>
        <v>0</v>
      </c>
      <c r="Q31" s="478">
        <f>Q11/IF(Summary!$D$2=2026,$C26,$C39)*100</f>
        <v>0</v>
      </c>
      <c r="R31" s="478">
        <f>R11/IF(Summary!$D$2=2026,$C26,$C39)*100</f>
        <v>5.6199719869148526</v>
      </c>
      <c r="S31" s="478">
        <f>S11/IF(Summary!$D$2=2026,$D26,$D39)*100</f>
        <v>0.45062240730852771</v>
      </c>
      <c r="T31" s="478">
        <f>T11/IF(Summary!$D$2=2026,$C26,$C39)*100</f>
        <v>4.8402076978096521E-3</v>
      </c>
      <c r="U31" s="480">
        <f>U11/IF(Summary!$D$2=2026,$C26-$E26,$C39-$E39)*100</f>
        <v>2.2900733191495628</v>
      </c>
      <c r="V31" s="1"/>
      <c r="W31" s="1"/>
      <c r="X31" s="105"/>
      <c r="Y31" s="105"/>
      <c r="Z31" s="105"/>
      <c r="AE31" s="83"/>
    </row>
    <row r="32" spans="2:32" ht="15.75">
      <c r="B32" s="418" t="s">
        <v>174</v>
      </c>
      <c r="C32" s="744">
        <f>'SDG&amp;E INPUTS'!E94</f>
        <v>248403.2754305687</v>
      </c>
      <c r="D32" s="745">
        <f>'SDG&amp;E INPUTS'!F94</f>
        <v>0.84283112281823169</v>
      </c>
      <c r="E32" s="317">
        <f>'SDG&amp;E INPUTS'!F104</f>
        <v>0.19523472913777831</v>
      </c>
      <c r="H32" s="746"/>
      <c r="I32" s="746"/>
      <c r="J32" s="746"/>
      <c r="K32" s="746"/>
      <c r="L32" s="746"/>
      <c r="M32" s="746"/>
      <c r="N32" s="746"/>
      <c r="O32" s="746"/>
      <c r="P32" s="746"/>
      <c r="Q32" s="746"/>
      <c r="R32" s="746"/>
      <c r="S32" s="746"/>
      <c r="T32" s="746"/>
      <c r="U32" s="2"/>
      <c r="V32" s="2"/>
      <c r="W32" s="2"/>
      <c r="X32" s="2"/>
      <c r="Y32" s="109"/>
      <c r="Z32" s="109"/>
      <c r="AA32" s="109"/>
    </row>
    <row r="33" spans="2:28" ht="15.75">
      <c r="B33" s="1"/>
      <c r="C33" s="89"/>
      <c r="D33" s="47"/>
      <c r="H33" s="746"/>
      <c r="I33" s="746"/>
      <c r="J33" s="746"/>
      <c r="K33" s="746"/>
      <c r="L33" s="746"/>
      <c r="M33" s="746"/>
      <c r="N33" s="746"/>
      <c r="O33" s="746"/>
      <c r="P33" s="746"/>
      <c r="Q33" s="746"/>
      <c r="R33" s="746"/>
      <c r="S33" s="746"/>
      <c r="T33" s="746"/>
      <c r="U33" s="2"/>
      <c r="V33" s="2"/>
      <c r="W33" s="2"/>
      <c r="X33" s="2"/>
      <c r="Y33" s="109"/>
      <c r="Z33" s="109"/>
      <c r="AA33" s="109"/>
      <c r="AB33" s="105"/>
    </row>
    <row r="34" spans="2:28" ht="15.75">
      <c r="D34" s="1"/>
      <c r="E34" s="1"/>
      <c r="G34" s="470"/>
      <c r="H34" s="856" t="s">
        <v>481</v>
      </c>
      <c r="I34" s="856"/>
      <c r="J34" s="856"/>
      <c r="K34" s="856"/>
      <c r="L34" s="856"/>
      <c r="M34" s="856"/>
      <c r="N34" s="856"/>
      <c r="O34" s="856"/>
      <c r="P34" s="856"/>
      <c r="Q34" s="856"/>
      <c r="R34" s="856"/>
      <c r="S34" s="856"/>
      <c r="T34" s="856"/>
      <c r="U34" s="857"/>
      <c r="V34" s="2"/>
      <c r="W34" s="2"/>
      <c r="X34" s="2"/>
      <c r="Y34" s="105"/>
      <c r="Z34" s="105"/>
      <c r="AA34" s="109"/>
      <c r="AB34" s="105"/>
    </row>
    <row r="35" spans="2:28" ht="30">
      <c r="D35" s="1"/>
      <c r="E35" s="20"/>
      <c r="G35" s="471"/>
      <c r="H35" s="472" t="s">
        <v>3</v>
      </c>
      <c r="I35" s="473" t="s">
        <v>372</v>
      </c>
      <c r="J35" s="473" t="s">
        <v>59</v>
      </c>
      <c r="K35" s="473" t="s">
        <v>5</v>
      </c>
      <c r="L35" s="473" t="s">
        <v>98</v>
      </c>
      <c r="M35" s="473" t="s">
        <v>14</v>
      </c>
      <c r="N35" s="473" t="s">
        <v>80</v>
      </c>
      <c r="O35" s="473" t="s">
        <v>99</v>
      </c>
      <c r="P35" s="473" t="s">
        <v>97</v>
      </c>
      <c r="Q35" s="473" t="s">
        <v>78</v>
      </c>
      <c r="R35" s="473" t="s">
        <v>10</v>
      </c>
      <c r="S35" s="473" t="s">
        <v>221</v>
      </c>
      <c r="T35" s="473" t="s">
        <v>87</v>
      </c>
      <c r="U35" s="474" t="s">
        <v>251</v>
      </c>
      <c r="V35" s="2"/>
      <c r="W35" s="2"/>
      <c r="X35" s="2"/>
      <c r="Y35" s="102"/>
      <c r="Z35" s="102"/>
      <c r="AA35" s="109"/>
      <c r="AB35" s="105"/>
    </row>
    <row r="36" spans="2:28" ht="15.75">
      <c r="C36" s="462" t="str">
        <f>'SDG&amp;E INPUTS'!B17</f>
        <v>2027 ERRA FORECAST</v>
      </c>
      <c r="D36" s="357"/>
      <c r="E36" s="456"/>
      <c r="F36" s="106"/>
      <c r="G36" s="475" t="s">
        <v>145</v>
      </c>
      <c r="H36" s="477">
        <f>H13/IF(Summary!$D$2=2026,$E25,$E38)*100</f>
        <v>17.002647240799508</v>
      </c>
      <c r="I36" s="477">
        <f>I13/IF(Summary!$D$2=2026,$C25-$E25,$C38-$E38)*100</f>
        <v>1.6447603248070197E-3</v>
      </c>
      <c r="J36" s="477">
        <f>J13/IF(Summary!$D$2=2026,$C25,$C38)*100</f>
        <v>1.8204887094763069</v>
      </c>
      <c r="K36" s="477">
        <f>(K13-($AD$18*IF(Summary!$D$2=2026,D31,D32)))/IF(Summary!$D$2=2026,$C25,$C38)*100</f>
        <v>21.616989864869502</v>
      </c>
      <c r="L36" s="477">
        <f>L13/IF(Summary!$D$2=2026,$C25,$C38)*100</f>
        <v>-2.2561075107050663</v>
      </c>
      <c r="M36" s="477">
        <f>M13/IF(Summary!$D$2=2026,$D25,$D38)*100</f>
        <v>-9.4998055184518163E-3</v>
      </c>
      <c r="N36" s="477">
        <f>N13/IF(Summary!$D$2=2026,$D25,$D38)*100</f>
        <v>-3.2573273840589504E-4</v>
      </c>
      <c r="O36" s="477">
        <f>O13/IF(Summary!$D$2=2026,$D25,$D38)*100</f>
        <v>1.5108029756459913</v>
      </c>
      <c r="P36" s="477">
        <f>P13/IF(Summary!$D$2=2026,$D25,$D38)*100</f>
        <v>0</v>
      </c>
      <c r="Q36" s="477">
        <f>Q13/IF(Summary!$D$2=2026,$C25,$C38)*100</f>
        <v>0</v>
      </c>
      <c r="R36" s="477">
        <f>R13/IF(Summary!$D$2=2026,$C25,$C38)*100</f>
        <v>9.1960984090475719</v>
      </c>
      <c r="S36" s="477">
        <f>S13/IF(Summary!$D$2=2026,$D25,$D38)*100</f>
        <v>0.45751031053450048</v>
      </c>
      <c r="T36" s="477">
        <f>T13/IF(Summary!$D$2=2026,$C25,$C38)*100</f>
        <v>4.8402076978096547E-3</v>
      </c>
      <c r="U36" s="479">
        <f>U13/IF(Summary!$D$2=2026,$C25-$E25,$C38-$E38)*100</f>
        <v>3.1615677611223867</v>
      </c>
      <c r="V36" s="2"/>
      <c r="W36" s="2"/>
      <c r="X36" s="2"/>
      <c r="Y36" s="105"/>
      <c r="Z36" s="105"/>
      <c r="AA36" s="109"/>
      <c r="AB36" s="109"/>
    </row>
    <row r="37" spans="2:28" ht="31.5">
      <c r="B37" s="1"/>
      <c r="C37" s="83" t="s">
        <v>333</v>
      </c>
      <c r="D37" s="83" t="s">
        <v>334</v>
      </c>
      <c r="E37" s="83" t="s">
        <v>335</v>
      </c>
      <c r="F37" s="106"/>
      <c r="G37" s="476" t="s">
        <v>161</v>
      </c>
      <c r="H37" s="478">
        <f>H14/IF(Summary!$D$2=2026,$E26,$E39)*100</f>
        <v>17.04908320896147</v>
      </c>
      <c r="I37" s="478">
        <f>I14/IF(Summary!$D$2=2026,$C26-$E26,$C39-$E39)*100</f>
        <v>2.5578456393335674E-3</v>
      </c>
      <c r="J37" s="478">
        <f>J14/IF(Summary!$D$2=2026,$C26,$C39)*100</f>
        <v>1.4578642371102699</v>
      </c>
      <c r="K37" s="478">
        <f>(K14-$AD$18)/IF(Summary!$D$2=2026,$C26,$C39)*100</f>
        <v>17.120835263568388</v>
      </c>
      <c r="L37" s="478">
        <f>L14/IF(Summary!$D$2=2026,$C26,$C39)*100</f>
        <v>-0.78653819382767787</v>
      </c>
      <c r="M37" s="478">
        <f>M14/IF(Summary!$D$2=2026,$D26,$D39)*100</f>
        <v>-8.8154398303056346E-3</v>
      </c>
      <c r="N37" s="478">
        <f>N14/IF(Summary!$D$2=2026,$D26,$D39)*100</f>
        <v>-3.2573273840589499E-4</v>
      </c>
      <c r="O37" s="478">
        <f>O14/IF(Summary!$D$2=2026,$D26,$D39)*100</f>
        <v>1.5836400786230547</v>
      </c>
      <c r="P37" s="478">
        <f>P14/IF(Summary!$D$2=2026,$D26,$D39)*100</f>
        <v>0</v>
      </c>
      <c r="Q37" s="478">
        <f>Q14/IF(Summary!$D$2=2026,$C26,$C39)*100</f>
        <v>0</v>
      </c>
      <c r="R37" s="478">
        <f>R14/IF(Summary!$D$2=2026,$C26,$C39)*100</f>
        <v>6.4944473559494194</v>
      </c>
      <c r="S37" s="478">
        <f>S14/IF(Summary!$D$2=2026,$D26,$D39)*100</f>
        <v>0.45823163771584663</v>
      </c>
      <c r="T37" s="478">
        <f>T14/IF(Summary!$D$2=2026,$C26,$C39)*100</f>
        <v>4.8402076978096521E-3</v>
      </c>
      <c r="U37" s="480">
        <f>U14/IF(Summary!$D$2=2026,$C26-$E26,$C39-$E39)*100</f>
        <v>2.1374745383349412</v>
      </c>
      <c r="V37" s="2"/>
      <c r="W37" s="2"/>
      <c r="X37" s="2"/>
      <c r="Y37" s="2"/>
      <c r="Z37" s="104"/>
      <c r="AA37" s="104"/>
      <c r="AB37" s="105"/>
    </row>
    <row r="38" spans="2:28" ht="15.75">
      <c r="B38" s="106" t="s">
        <v>145</v>
      </c>
      <c r="C38" s="226">
        <f>'SDG&amp;E INPUTS'!L33</f>
        <v>5701842.6252899971</v>
      </c>
      <c r="D38" s="226">
        <f>'SDG&amp;E INPUTS'!M33</f>
        <v>7567850.4838881912</v>
      </c>
      <c r="E38" s="226">
        <f>'SDG&amp;E INPUTS'!N33</f>
        <v>1354543.9616701207</v>
      </c>
      <c r="F38" s="1"/>
      <c r="G38" s="20"/>
      <c r="H38" s="20"/>
      <c r="I38" s="20"/>
      <c r="J38" s="20"/>
      <c r="K38" s="20"/>
      <c r="L38" s="20"/>
      <c r="M38" s="1"/>
      <c r="N38" s="1"/>
      <c r="O38" s="1"/>
      <c r="P38" s="1"/>
      <c r="Q38" s="1"/>
      <c r="R38" s="2"/>
      <c r="S38" s="2"/>
      <c r="T38" s="2"/>
      <c r="U38" s="2"/>
      <c r="V38" s="2"/>
      <c r="W38" s="2"/>
      <c r="X38" s="2"/>
      <c r="Y38" s="2"/>
      <c r="Z38" s="104"/>
      <c r="AA38" s="109"/>
      <c r="AB38" s="104"/>
    </row>
    <row r="39" spans="2:28" ht="15.75">
      <c r="B39" s="106" t="s">
        <v>161</v>
      </c>
      <c r="C39" s="226">
        <f>'SDG&amp;E INPUTS'!L35</f>
        <v>17519483.354244851</v>
      </c>
      <c r="D39" s="226">
        <f>'SDG&amp;E INPUTS'!M35</f>
        <v>19648724.998666488</v>
      </c>
      <c r="E39" s="226">
        <f>'SDG&amp;E INPUTS'!N35</f>
        <v>3056061.0825226498</v>
      </c>
      <c r="F39" s="1"/>
      <c r="G39" s="20"/>
      <c r="H39" s="20"/>
      <c r="I39" s="20"/>
      <c r="J39" s="20"/>
      <c r="K39" s="20"/>
      <c r="L39" s="20"/>
      <c r="M39" s="1"/>
      <c r="N39" s="1"/>
      <c r="O39" s="1"/>
      <c r="P39" s="1"/>
      <c r="Q39" s="1"/>
      <c r="R39" s="2"/>
      <c r="S39" s="2"/>
      <c r="T39" s="2"/>
      <c r="U39" s="2"/>
      <c r="V39" s="2"/>
      <c r="W39" s="2"/>
      <c r="X39" s="2"/>
      <c r="Y39" s="2"/>
      <c r="Z39" s="109"/>
      <c r="AA39" s="105"/>
      <c r="AB39" s="105"/>
    </row>
    <row r="40" spans="2:28" ht="15.75">
      <c r="B40" s="2"/>
      <c r="C40" s="2"/>
      <c r="E40" s="1"/>
      <c r="F40" s="1"/>
      <c r="G40" s="20"/>
      <c r="H40" s="20"/>
      <c r="I40" s="20"/>
      <c r="J40" s="20"/>
      <c r="K40" s="20"/>
      <c r="L40" s="20"/>
      <c r="M40" s="1"/>
      <c r="N40" s="1"/>
      <c r="O40" s="1"/>
      <c r="P40" s="1"/>
      <c r="Q40" s="1"/>
      <c r="R40" s="2"/>
      <c r="S40" s="2"/>
      <c r="T40" s="2"/>
      <c r="U40" s="2"/>
      <c r="V40" s="2"/>
      <c r="W40" s="2"/>
      <c r="X40" s="2"/>
      <c r="Y40" s="2"/>
      <c r="Z40" s="109"/>
      <c r="AA40" s="109"/>
      <c r="AB40" s="105"/>
    </row>
    <row r="41" spans="2:28" ht="15.75">
      <c r="B41" s="2"/>
      <c r="C41" s="2"/>
      <c r="E41" s="1"/>
      <c r="F41" s="1"/>
      <c r="G41" s="20"/>
      <c r="H41" s="20"/>
      <c r="I41" s="20"/>
      <c r="J41" s="20"/>
      <c r="K41" s="20"/>
      <c r="L41" s="20"/>
      <c r="M41" s="1"/>
      <c r="N41" s="1"/>
      <c r="O41" s="1"/>
      <c r="P41" s="1"/>
      <c r="Q41" s="1"/>
      <c r="R41" s="2"/>
      <c r="S41" s="2"/>
      <c r="T41" s="2"/>
      <c r="U41" s="2"/>
      <c r="V41" s="2"/>
      <c r="W41" s="2"/>
      <c r="X41" s="2"/>
      <c r="Y41" s="2"/>
      <c r="Z41" s="109"/>
      <c r="AA41" s="109"/>
      <c r="AB41" s="109"/>
    </row>
    <row r="42" spans="2:28" ht="15.75">
      <c r="B42" s="2"/>
      <c r="C42" s="2"/>
      <c r="E42" s="1"/>
      <c r="F42" s="1"/>
      <c r="G42" s="20"/>
      <c r="H42" s="20"/>
      <c r="I42" s="20"/>
      <c r="J42" s="20"/>
      <c r="K42" s="20"/>
      <c r="L42" s="20"/>
      <c r="M42" s="1"/>
      <c r="N42" s="1"/>
      <c r="O42" s="1"/>
      <c r="P42" s="1"/>
      <c r="Q42" s="1"/>
      <c r="R42" s="1"/>
      <c r="S42" s="1"/>
      <c r="T42" s="1"/>
      <c r="U42" s="103"/>
      <c r="V42" s="104"/>
      <c r="W42" s="104"/>
      <c r="X42" s="104"/>
      <c r="Y42" s="2"/>
      <c r="Z42" s="109"/>
      <c r="AA42" s="105"/>
      <c r="AB42" s="105"/>
    </row>
    <row r="43" spans="2:28" ht="15.75">
      <c r="B43" s="2"/>
      <c r="C43" s="2"/>
      <c r="D43" s="1"/>
      <c r="E43" s="1"/>
      <c r="F43" s="1"/>
      <c r="G43" s="20"/>
      <c r="H43" s="20"/>
      <c r="I43" s="20"/>
      <c r="J43" s="20"/>
      <c r="K43" s="20"/>
      <c r="L43" s="20"/>
      <c r="M43" s="1"/>
      <c r="N43" s="1"/>
      <c r="O43" s="1"/>
      <c r="P43" s="1"/>
      <c r="Q43" s="1"/>
      <c r="R43" s="1"/>
      <c r="S43" s="1"/>
      <c r="T43" s="1"/>
      <c r="U43" s="103"/>
      <c r="V43" s="843"/>
      <c r="W43" s="843"/>
      <c r="X43" s="104"/>
      <c r="Y43" s="2"/>
      <c r="Z43" s="109"/>
      <c r="AA43" s="102"/>
      <c r="AB43" s="105"/>
    </row>
    <row r="44" spans="2:28" ht="15.75">
      <c r="B44" s="2"/>
      <c r="C44" s="2"/>
      <c r="D44" s="1"/>
      <c r="E44" s="1"/>
      <c r="F44" s="1"/>
      <c r="G44" s="20"/>
      <c r="H44" s="20"/>
      <c r="I44" s="20"/>
      <c r="J44" s="20"/>
      <c r="K44" s="20"/>
      <c r="L44" s="20"/>
      <c r="M44" s="1"/>
      <c r="N44" s="1"/>
      <c r="O44" s="1"/>
      <c r="P44" s="1"/>
      <c r="Q44" s="1"/>
      <c r="R44" s="1"/>
      <c r="S44" s="1"/>
      <c r="T44" s="1"/>
      <c r="U44" s="103"/>
      <c r="V44" s="104"/>
      <c r="W44" s="103"/>
      <c r="X44" s="109"/>
      <c r="Y44" s="2"/>
      <c r="Z44" s="109"/>
      <c r="AA44" s="105"/>
      <c r="AB44" s="102"/>
    </row>
    <row r="45" spans="2:28" ht="15.75">
      <c r="B45" s="2"/>
      <c r="C45" s="2"/>
      <c r="D45" s="1"/>
      <c r="E45" s="1"/>
      <c r="F45" s="1"/>
      <c r="G45" s="20"/>
      <c r="H45" s="20"/>
      <c r="I45" s="20"/>
      <c r="J45" s="20"/>
      <c r="K45" s="20"/>
      <c r="L45" s="20"/>
      <c r="M45" s="1"/>
      <c r="N45" s="1"/>
      <c r="O45" s="1"/>
      <c r="P45" s="1"/>
      <c r="Q45" s="1"/>
      <c r="R45" s="1"/>
      <c r="S45" s="1"/>
      <c r="T45" s="1"/>
      <c r="U45" s="103"/>
      <c r="V45" s="104"/>
      <c r="W45" s="103"/>
      <c r="X45" s="109"/>
      <c r="Y45" s="2"/>
      <c r="Z45" s="102"/>
      <c r="AA45" s="104"/>
      <c r="AB45" s="105"/>
    </row>
    <row r="46" spans="2:28" ht="15.75">
      <c r="B46" s="2"/>
      <c r="C46" s="2"/>
      <c r="D46" s="1"/>
      <c r="E46" s="1"/>
      <c r="F46" s="1"/>
      <c r="G46" s="20"/>
      <c r="H46" s="20"/>
      <c r="I46" s="20"/>
      <c r="J46" s="20"/>
      <c r="K46" s="20"/>
      <c r="L46" s="20"/>
      <c r="M46" s="1"/>
      <c r="N46" s="1"/>
      <c r="O46" s="1"/>
      <c r="P46" s="1"/>
      <c r="Q46" s="1"/>
      <c r="R46" s="1"/>
      <c r="S46" s="1"/>
      <c r="T46" s="1"/>
      <c r="U46" s="103"/>
      <c r="V46" s="104"/>
      <c r="W46" s="104"/>
      <c r="X46" s="102"/>
      <c r="Y46" s="2"/>
      <c r="Z46" s="109"/>
      <c r="AA46" s="104"/>
      <c r="AB46" s="104"/>
    </row>
    <row r="47" spans="2:28" ht="15.75">
      <c r="B47" s="2"/>
      <c r="C47" s="2"/>
      <c r="D47" s="1"/>
      <c r="E47" s="1"/>
      <c r="F47" s="1"/>
      <c r="G47" s="20"/>
      <c r="H47" s="20"/>
      <c r="I47" s="20"/>
      <c r="J47" s="20"/>
      <c r="K47" s="20"/>
      <c r="L47" s="20"/>
      <c r="M47" s="1"/>
      <c r="N47" s="1"/>
      <c r="O47" s="1"/>
      <c r="P47" s="1"/>
      <c r="Q47" s="1"/>
      <c r="R47" s="1"/>
      <c r="S47" s="1"/>
      <c r="T47" s="1"/>
      <c r="U47" s="103"/>
      <c r="V47" s="104"/>
      <c r="W47" s="103"/>
      <c r="X47" s="109"/>
      <c r="Y47" s="104"/>
      <c r="Z47" s="104"/>
      <c r="AA47" s="105"/>
      <c r="AB47" s="104"/>
    </row>
    <row r="48" spans="2:28" ht="15.75">
      <c r="B48" s="2"/>
      <c r="C48" s="2"/>
      <c r="D48" s="1"/>
      <c r="E48" s="1"/>
      <c r="F48" s="1"/>
      <c r="G48" s="20"/>
      <c r="H48" s="20"/>
      <c r="I48" s="20"/>
      <c r="J48" s="20"/>
      <c r="K48" s="20"/>
      <c r="L48" s="20"/>
      <c r="M48" s="1"/>
      <c r="N48" s="1"/>
      <c r="O48" s="1"/>
      <c r="P48" s="1"/>
      <c r="Q48" s="1"/>
      <c r="R48" s="1"/>
      <c r="S48" s="1"/>
      <c r="T48" s="1"/>
      <c r="U48" s="103"/>
      <c r="V48" s="104"/>
      <c r="W48" s="104"/>
      <c r="X48" s="104"/>
      <c r="Y48" s="104"/>
      <c r="Z48" s="104"/>
      <c r="AA48" s="105"/>
      <c r="AB48" s="105"/>
    </row>
    <row r="49" spans="2:28" ht="15.75">
      <c r="B49" s="2"/>
      <c r="C49" s="2"/>
      <c r="D49" s="1"/>
      <c r="E49" s="1"/>
      <c r="F49" s="1"/>
      <c r="G49" s="20"/>
      <c r="H49" s="20"/>
      <c r="I49" s="20"/>
      <c r="J49" s="20"/>
      <c r="K49" s="20"/>
      <c r="L49" s="20"/>
      <c r="M49" s="1"/>
      <c r="N49" s="1"/>
      <c r="O49" s="1"/>
      <c r="P49" s="1"/>
      <c r="Q49" s="1"/>
      <c r="R49" s="1"/>
      <c r="S49" s="1"/>
      <c r="T49" s="1"/>
      <c r="U49" s="103"/>
      <c r="V49" s="843"/>
      <c r="W49" s="843"/>
      <c r="X49" s="104"/>
      <c r="Y49" s="109"/>
      <c r="Z49" s="109"/>
      <c r="AA49" s="105"/>
      <c r="AB49" s="105"/>
    </row>
    <row r="50" spans="2:28" ht="15.75">
      <c r="B50" s="2"/>
      <c r="C50" s="2"/>
      <c r="D50" s="1"/>
      <c r="E50" s="1"/>
      <c r="F50" s="1"/>
      <c r="G50" s="20"/>
      <c r="H50" s="20"/>
      <c r="I50" s="20"/>
      <c r="J50" s="20"/>
      <c r="K50" s="20"/>
      <c r="L50" s="20"/>
      <c r="M50" s="1"/>
      <c r="N50" s="1"/>
      <c r="O50" s="1"/>
      <c r="P50" s="1"/>
      <c r="Q50" s="1"/>
      <c r="R50" s="1"/>
      <c r="S50" s="1"/>
      <c r="T50" s="1"/>
      <c r="U50" s="103"/>
      <c r="V50" s="104"/>
      <c r="W50" s="103"/>
      <c r="X50" s="109"/>
      <c r="Y50" s="109"/>
      <c r="Z50" s="109"/>
      <c r="AA50" s="109"/>
      <c r="AB50" s="105"/>
    </row>
    <row r="51" spans="2:28" ht="15.75">
      <c r="B51" s="2"/>
      <c r="C51" s="2"/>
      <c r="D51" s="1"/>
      <c r="E51" s="1"/>
      <c r="F51" s="1"/>
      <c r="G51" s="20"/>
      <c r="H51" s="20"/>
      <c r="I51" s="20"/>
      <c r="J51" s="20"/>
      <c r="K51" s="20"/>
      <c r="L51" s="20"/>
      <c r="M51" s="1"/>
      <c r="N51" s="1"/>
      <c r="O51" s="1"/>
      <c r="P51" s="1"/>
      <c r="Q51" s="1"/>
      <c r="R51" s="1"/>
      <c r="S51" s="1"/>
      <c r="T51" s="1"/>
      <c r="U51" s="103"/>
      <c r="V51" s="104"/>
      <c r="W51" s="103"/>
      <c r="X51" s="109"/>
      <c r="Y51" s="102"/>
      <c r="Z51" s="102"/>
      <c r="AA51" s="109"/>
      <c r="AB51" s="105"/>
    </row>
    <row r="52" spans="2:28" ht="15.75">
      <c r="B52" s="2"/>
      <c r="C52" s="2"/>
      <c r="D52" s="1"/>
      <c r="E52" s="1"/>
      <c r="F52" s="1"/>
      <c r="G52" s="20"/>
      <c r="H52" s="20"/>
      <c r="I52" s="20"/>
      <c r="J52" s="20"/>
      <c r="K52" s="20"/>
      <c r="L52" s="20"/>
      <c r="M52" s="1"/>
      <c r="N52" s="1"/>
      <c r="O52" s="1"/>
      <c r="P52" s="1"/>
      <c r="Q52" s="1"/>
      <c r="R52" s="1"/>
      <c r="S52" s="1"/>
      <c r="T52" s="1"/>
      <c r="U52" s="103"/>
      <c r="V52" s="104"/>
      <c r="W52" s="103"/>
      <c r="X52" s="105"/>
      <c r="Y52" s="109"/>
      <c r="Z52" s="109"/>
      <c r="AA52" s="105"/>
      <c r="AB52" s="105"/>
    </row>
    <row r="53" spans="2:28" ht="15.75">
      <c r="B53" s="2"/>
      <c r="C53" s="2"/>
      <c r="D53" s="1"/>
      <c r="E53" s="1"/>
      <c r="F53" s="1"/>
      <c r="G53" s="20"/>
      <c r="H53" s="20"/>
      <c r="I53" s="20"/>
      <c r="J53" s="20"/>
      <c r="K53" s="20"/>
      <c r="L53" s="20"/>
      <c r="M53" s="1"/>
      <c r="N53" s="1"/>
      <c r="O53" s="1"/>
      <c r="P53" s="1"/>
      <c r="Q53" s="1"/>
      <c r="R53" s="1"/>
      <c r="S53" s="1"/>
      <c r="T53" s="1"/>
      <c r="U53" s="103"/>
      <c r="V53" s="104"/>
      <c r="W53" s="103"/>
      <c r="X53" s="109"/>
      <c r="Y53" s="104"/>
      <c r="Z53" s="104"/>
      <c r="AA53" s="102"/>
      <c r="AB53" s="105"/>
    </row>
    <row r="54" spans="2:28" ht="15.75">
      <c r="B54" s="2"/>
      <c r="C54" s="2"/>
      <c r="D54" s="1"/>
      <c r="E54" s="1"/>
      <c r="F54" s="1"/>
      <c r="G54" s="20"/>
      <c r="H54" s="20"/>
      <c r="I54" s="20"/>
      <c r="J54" s="20"/>
      <c r="K54" s="20"/>
      <c r="L54" s="20"/>
      <c r="M54" s="1"/>
      <c r="N54" s="1"/>
      <c r="O54" s="1"/>
      <c r="P54" s="1"/>
      <c r="Q54" s="1"/>
      <c r="R54" s="1"/>
      <c r="S54" s="1"/>
      <c r="T54" s="1"/>
      <c r="U54" s="103"/>
      <c r="V54" s="104"/>
      <c r="W54" s="103"/>
      <c r="X54" s="109"/>
      <c r="Y54" s="104"/>
      <c r="Z54" s="104"/>
      <c r="AA54" s="105"/>
      <c r="AB54" s="102"/>
    </row>
    <row r="55" spans="2:28" ht="15.75">
      <c r="B55" s="2"/>
      <c r="C55" s="2"/>
      <c r="D55" s="1"/>
      <c r="E55" s="1"/>
      <c r="F55" s="1"/>
      <c r="G55" s="20"/>
      <c r="H55" s="20"/>
      <c r="I55" s="20"/>
      <c r="J55" s="20"/>
      <c r="K55" s="20"/>
      <c r="L55" s="20"/>
      <c r="M55" s="1"/>
      <c r="N55" s="1"/>
      <c r="O55" s="1"/>
      <c r="P55" s="1"/>
      <c r="Q55" s="1"/>
      <c r="R55" s="1"/>
      <c r="S55" s="1"/>
      <c r="T55" s="1"/>
      <c r="U55" s="103"/>
      <c r="V55" s="104"/>
      <c r="W55" s="104"/>
      <c r="X55" s="102"/>
      <c r="Y55" s="109"/>
      <c r="Z55" s="109"/>
      <c r="AA55" s="104"/>
      <c r="AB55" s="105"/>
    </row>
    <row r="56" spans="2:28" ht="15.75">
      <c r="B56" s="1"/>
      <c r="C56" s="1"/>
      <c r="D56" s="1"/>
      <c r="E56" s="1"/>
      <c r="F56" s="1"/>
      <c r="G56" s="20"/>
      <c r="H56" s="20"/>
      <c r="I56" s="20"/>
      <c r="J56" s="20"/>
      <c r="K56" s="20"/>
      <c r="L56" s="20"/>
      <c r="M56" s="1"/>
      <c r="N56" s="1"/>
      <c r="O56" s="1"/>
      <c r="P56" s="1"/>
      <c r="Q56" s="1"/>
      <c r="R56" s="1"/>
      <c r="S56" s="1"/>
      <c r="T56" s="1"/>
      <c r="U56" s="103"/>
      <c r="V56" s="104"/>
      <c r="W56" s="103"/>
      <c r="X56" s="105"/>
      <c r="Y56" s="109"/>
      <c r="Z56" s="109"/>
      <c r="AA56" s="104"/>
      <c r="AB56" s="104"/>
    </row>
    <row r="57" spans="2:28" ht="15.75">
      <c r="B57" s="1"/>
      <c r="C57" s="1"/>
      <c r="D57" s="1"/>
      <c r="E57" s="1"/>
      <c r="F57" s="1"/>
      <c r="G57" s="20"/>
      <c r="H57" s="20"/>
      <c r="I57" s="20"/>
      <c r="J57" s="20"/>
      <c r="K57" s="20"/>
      <c r="L57" s="20"/>
      <c r="M57" s="1"/>
      <c r="N57" s="1"/>
      <c r="O57" s="1"/>
      <c r="P57" s="1"/>
      <c r="Q57" s="1"/>
      <c r="R57" s="1"/>
      <c r="S57" s="1"/>
      <c r="T57" s="1"/>
      <c r="U57" s="103"/>
      <c r="V57" s="104"/>
      <c r="W57" s="104"/>
      <c r="X57" s="104"/>
      <c r="Y57" s="105"/>
      <c r="Z57" s="105"/>
      <c r="AA57" s="109"/>
      <c r="AB57" s="104"/>
    </row>
    <row r="58" spans="2:28" ht="15.75">
      <c r="B58" s="1"/>
      <c r="C58" s="1"/>
      <c r="D58" s="1"/>
      <c r="E58" s="1"/>
      <c r="F58" s="1"/>
      <c r="G58" s="20"/>
      <c r="H58" s="20"/>
      <c r="I58" s="20"/>
      <c r="J58" s="20"/>
      <c r="K58" s="20"/>
      <c r="L58" s="20"/>
      <c r="M58" s="1"/>
      <c r="N58" s="1"/>
      <c r="O58" s="1"/>
      <c r="P58" s="1"/>
      <c r="Q58" s="1"/>
      <c r="R58" s="1"/>
      <c r="S58" s="1"/>
      <c r="T58" s="1"/>
      <c r="U58" s="103"/>
      <c r="V58" s="104"/>
      <c r="W58" s="104"/>
      <c r="X58" s="104"/>
      <c r="Y58" s="109"/>
      <c r="Z58" s="109"/>
      <c r="AA58" s="109"/>
      <c r="AB58" s="105"/>
    </row>
    <row r="59" spans="2:28" ht="15.75">
      <c r="B59" s="1"/>
      <c r="C59" s="1"/>
      <c r="D59" s="1"/>
      <c r="E59" s="1"/>
      <c r="F59" s="1"/>
      <c r="G59" s="20"/>
      <c r="H59" s="20"/>
      <c r="I59" s="20"/>
      <c r="J59" s="20"/>
      <c r="K59" s="20"/>
      <c r="L59" s="20"/>
      <c r="M59" s="1"/>
      <c r="N59" s="1"/>
      <c r="O59" s="1"/>
      <c r="P59" s="1"/>
      <c r="Q59" s="1"/>
      <c r="R59" s="1"/>
      <c r="S59" s="1"/>
      <c r="T59" s="1"/>
      <c r="U59" s="103"/>
      <c r="V59" s="104"/>
      <c r="W59" s="103"/>
      <c r="X59" s="105"/>
      <c r="Y59" s="109"/>
      <c r="Z59" s="109"/>
      <c r="AA59" s="102"/>
      <c r="AB59" s="105"/>
    </row>
    <row r="60" spans="2:28" ht="15.75">
      <c r="B60" s="1"/>
      <c r="C60" s="1"/>
      <c r="D60" s="1"/>
      <c r="E60" s="1"/>
      <c r="F60" s="1"/>
      <c r="G60" s="20"/>
      <c r="H60" s="20"/>
      <c r="I60" s="20"/>
      <c r="J60" s="20"/>
      <c r="K60" s="20"/>
      <c r="L60" s="20"/>
      <c r="M60" s="1"/>
      <c r="N60" s="1"/>
      <c r="O60" s="1"/>
      <c r="P60" s="1"/>
      <c r="Q60" s="1"/>
      <c r="R60" s="1"/>
      <c r="S60" s="1"/>
      <c r="T60" s="1"/>
      <c r="U60" s="103"/>
      <c r="V60" s="104"/>
      <c r="W60" s="104"/>
      <c r="X60" s="102"/>
      <c r="Y60" s="102"/>
      <c r="Z60" s="102"/>
      <c r="AA60" s="109"/>
      <c r="AB60" s="102"/>
    </row>
    <row r="61" spans="2:28" ht="15.75">
      <c r="B61" s="1"/>
      <c r="C61" s="1"/>
      <c r="D61" s="1"/>
      <c r="E61" s="1"/>
      <c r="F61" s="1"/>
      <c r="G61" s="20"/>
      <c r="H61" s="20"/>
      <c r="I61" s="20"/>
      <c r="J61" s="20"/>
      <c r="K61" s="20"/>
      <c r="L61" s="20"/>
      <c r="M61" s="1"/>
      <c r="N61" s="1"/>
      <c r="O61" s="1"/>
      <c r="P61" s="1"/>
      <c r="Q61" s="1"/>
      <c r="R61" s="1"/>
      <c r="S61" s="1"/>
      <c r="T61" s="1"/>
      <c r="U61" s="103"/>
      <c r="V61" s="843"/>
      <c r="W61" s="843"/>
      <c r="X61" s="104"/>
      <c r="Y61" s="105"/>
      <c r="Z61" s="105"/>
      <c r="AA61" s="104"/>
      <c r="AB61" s="105"/>
    </row>
    <row r="62" spans="2:28" ht="15.75">
      <c r="B62" s="1"/>
      <c r="C62" s="1"/>
      <c r="D62" s="1"/>
      <c r="E62" s="1"/>
      <c r="F62" s="1"/>
      <c r="G62" s="20"/>
      <c r="H62" s="20"/>
      <c r="I62" s="20"/>
      <c r="J62" s="20"/>
      <c r="K62" s="20"/>
      <c r="L62" s="20"/>
      <c r="M62" s="1"/>
      <c r="N62" s="1"/>
      <c r="O62" s="1"/>
      <c r="P62" s="1"/>
      <c r="Q62" s="1"/>
      <c r="R62" s="1"/>
      <c r="S62" s="1"/>
      <c r="T62" s="1"/>
      <c r="U62" s="103"/>
      <c r="V62" s="104"/>
      <c r="W62" s="104"/>
      <c r="X62" s="104"/>
      <c r="Y62" s="104"/>
      <c r="Z62" s="104"/>
      <c r="AA62" s="104"/>
      <c r="AB62" s="104"/>
    </row>
    <row r="63" spans="2:28" ht="15.75">
      <c r="B63" s="1"/>
      <c r="C63" s="1"/>
      <c r="D63" s="1"/>
      <c r="E63" s="1"/>
      <c r="F63" s="1"/>
      <c r="G63" s="20"/>
      <c r="H63" s="20"/>
      <c r="I63" s="20"/>
      <c r="J63" s="20"/>
      <c r="K63" s="20"/>
      <c r="L63" s="20"/>
      <c r="M63" s="1"/>
      <c r="N63" s="1"/>
      <c r="O63" s="1"/>
      <c r="P63" s="1"/>
      <c r="Q63" s="1"/>
      <c r="R63" s="1"/>
      <c r="S63" s="1"/>
      <c r="T63" s="1"/>
      <c r="U63" s="103"/>
      <c r="V63" s="104"/>
      <c r="W63" s="103"/>
      <c r="X63" s="104"/>
      <c r="Y63" s="104"/>
      <c r="Z63" s="104"/>
      <c r="AA63" s="109"/>
      <c r="AB63" s="104"/>
    </row>
    <row r="64" spans="2:28" ht="15.75">
      <c r="B64" s="1"/>
      <c r="C64" s="1"/>
      <c r="D64" s="1"/>
      <c r="E64" s="1"/>
      <c r="F64" s="1"/>
      <c r="G64" s="20"/>
      <c r="H64" s="20"/>
      <c r="I64" s="20"/>
      <c r="J64" s="20"/>
      <c r="K64" s="20"/>
      <c r="L64" s="20"/>
      <c r="M64" s="1"/>
      <c r="N64" s="1"/>
      <c r="O64" s="1"/>
      <c r="P64" s="1"/>
      <c r="Q64" s="1"/>
      <c r="R64" s="1"/>
      <c r="S64" s="1"/>
      <c r="T64" s="1"/>
      <c r="U64" s="103"/>
      <c r="V64" s="104"/>
      <c r="W64" s="104"/>
      <c r="X64" s="102"/>
      <c r="Y64" s="105"/>
      <c r="Z64" s="105"/>
      <c r="AA64" s="109"/>
      <c r="AB64" s="105"/>
    </row>
    <row r="65" spans="2:28" ht="15.75">
      <c r="B65" s="1"/>
      <c r="C65" s="1"/>
      <c r="D65" s="1"/>
      <c r="E65" s="1"/>
      <c r="F65" s="1"/>
      <c r="G65" s="20"/>
      <c r="H65" s="20"/>
      <c r="I65" s="20"/>
      <c r="J65" s="20"/>
      <c r="K65" s="20"/>
      <c r="L65" s="20"/>
      <c r="M65" s="1"/>
      <c r="N65" s="1"/>
      <c r="O65" s="1"/>
      <c r="P65" s="1"/>
      <c r="Q65" s="1"/>
      <c r="R65" s="1"/>
      <c r="S65" s="1"/>
      <c r="T65" s="1"/>
      <c r="U65" s="103"/>
      <c r="V65" s="104"/>
      <c r="W65" s="103"/>
      <c r="X65" s="104"/>
      <c r="Y65" s="102"/>
      <c r="Z65" s="102"/>
      <c r="AA65" s="109"/>
      <c r="AB65" s="105"/>
    </row>
    <row r="66" spans="2:28" ht="15.75">
      <c r="B66" s="1"/>
      <c r="C66" s="1"/>
      <c r="D66" s="1"/>
      <c r="E66" s="1"/>
      <c r="F66" s="1"/>
      <c r="G66" s="20"/>
      <c r="H66" s="20"/>
      <c r="I66" s="20"/>
      <c r="J66" s="20"/>
      <c r="K66" s="20"/>
      <c r="L66" s="20"/>
      <c r="M66" s="1"/>
      <c r="N66" s="1"/>
      <c r="O66" s="1"/>
      <c r="P66" s="1"/>
      <c r="Q66" s="1"/>
      <c r="R66" s="1"/>
      <c r="S66" s="1"/>
      <c r="T66" s="1"/>
      <c r="U66" s="103"/>
      <c r="V66" s="104"/>
      <c r="W66" s="104"/>
      <c r="X66" s="104"/>
      <c r="Y66" s="104"/>
      <c r="Z66" s="104"/>
      <c r="AA66" s="109"/>
      <c r="AB66" s="105"/>
    </row>
    <row r="67" spans="2:28" ht="15.75">
      <c r="B67" s="1"/>
      <c r="C67" s="1"/>
      <c r="D67" s="1"/>
      <c r="E67" s="1"/>
      <c r="F67" s="1"/>
      <c r="G67" s="20"/>
      <c r="H67" s="20"/>
      <c r="I67" s="20"/>
      <c r="J67" s="20"/>
      <c r="K67" s="20"/>
      <c r="L67" s="20"/>
      <c r="M67" s="1"/>
      <c r="N67" s="1"/>
      <c r="O67" s="1"/>
      <c r="P67" s="1"/>
      <c r="Q67" s="1"/>
      <c r="R67" s="1"/>
      <c r="S67" s="1"/>
      <c r="T67" s="1"/>
      <c r="U67" s="103"/>
      <c r="V67" s="104"/>
      <c r="W67" s="104"/>
      <c r="X67" s="102"/>
      <c r="Y67" s="104"/>
      <c r="Z67" s="104"/>
      <c r="AA67" s="109"/>
      <c r="AB67" s="109"/>
    </row>
    <row r="68" spans="2:28" ht="15.75">
      <c r="B68" s="1"/>
      <c r="C68" s="1"/>
      <c r="D68" s="1"/>
      <c r="E68" s="1"/>
      <c r="F68" s="1"/>
      <c r="G68" s="20"/>
      <c r="H68" s="20"/>
      <c r="I68" s="20"/>
      <c r="J68" s="20"/>
      <c r="K68" s="20"/>
      <c r="L68" s="20"/>
      <c r="M68" s="1"/>
      <c r="N68" s="1"/>
      <c r="O68" s="1"/>
      <c r="P68" s="1"/>
      <c r="Q68" s="1"/>
      <c r="R68" s="1"/>
      <c r="S68" s="1"/>
      <c r="T68" s="1"/>
      <c r="U68" s="103"/>
      <c r="V68" s="843"/>
      <c r="W68" s="843"/>
      <c r="X68" s="105"/>
      <c r="Y68" s="104"/>
      <c r="Z68" s="104"/>
      <c r="AA68" s="102"/>
      <c r="AB68" s="109"/>
    </row>
    <row r="69" spans="2:28" ht="15.75">
      <c r="B69" s="1"/>
      <c r="C69" s="1"/>
      <c r="D69" s="1"/>
      <c r="E69" s="1"/>
      <c r="F69" s="1"/>
      <c r="G69" s="20"/>
      <c r="H69" s="20"/>
      <c r="I69" s="20"/>
      <c r="J69" s="20"/>
      <c r="K69" s="20"/>
      <c r="L69" s="20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02"/>
      <c r="Z69" s="102"/>
      <c r="AA69" s="109"/>
      <c r="AB69" s="102"/>
    </row>
    <row r="70" spans="2:28" ht="15.75">
      <c r="B70" s="1"/>
      <c r="C70" s="1"/>
      <c r="D70" s="1"/>
      <c r="E70" s="1"/>
      <c r="F70" s="1"/>
      <c r="Y70" s="104"/>
      <c r="Z70" s="104"/>
      <c r="AA70" s="104"/>
      <c r="AB70" s="105"/>
    </row>
    <row r="71" spans="2:28" ht="15.75">
      <c r="B71" s="1"/>
      <c r="C71" s="1"/>
      <c r="D71" s="1"/>
      <c r="E71" s="1"/>
      <c r="F71" s="1"/>
      <c r="Y71" s="104"/>
      <c r="Z71" s="104"/>
      <c r="AA71" s="104"/>
      <c r="AB71" s="104"/>
    </row>
    <row r="72" spans="2:28" ht="15.75">
      <c r="B72" s="1"/>
      <c r="C72" s="1"/>
      <c r="D72" s="1"/>
      <c r="E72" s="1"/>
      <c r="F72" s="1"/>
      <c r="Y72" s="102"/>
      <c r="Z72" s="102"/>
      <c r="AA72" s="105"/>
      <c r="AB72" s="104"/>
    </row>
    <row r="73" spans="2:28" ht="15.75">
      <c r="B73" s="1"/>
      <c r="C73" s="1"/>
      <c r="D73" s="1"/>
      <c r="E73" s="1"/>
      <c r="F73" s="1"/>
      <c r="Y73" s="105"/>
      <c r="Z73" s="105"/>
      <c r="AA73" s="102"/>
      <c r="AB73" s="105"/>
    </row>
    <row r="74" spans="2:28" ht="15.75">
      <c r="B74" s="1"/>
      <c r="C74" s="1"/>
      <c r="D74" s="1"/>
      <c r="E74" s="1"/>
      <c r="F74" s="1"/>
      <c r="Y74" s="1"/>
      <c r="Z74" s="1"/>
      <c r="AA74" s="104"/>
      <c r="AB74" s="102"/>
    </row>
    <row r="75" spans="2:28" ht="15.75">
      <c r="B75" s="1"/>
      <c r="C75" s="1"/>
      <c r="D75" s="1"/>
      <c r="E75" s="1"/>
      <c r="AA75" s="104"/>
      <c r="AB75" s="104"/>
    </row>
    <row r="76" spans="2:28" ht="15.75">
      <c r="B76" s="1"/>
      <c r="C76" s="1"/>
      <c r="D76" s="1"/>
      <c r="AA76" s="104"/>
      <c r="AB76" s="104"/>
    </row>
    <row r="77" spans="2:28" ht="15.75">
      <c r="B77" s="1"/>
      <c r="C77" s="1"/>
      <c r="D77" s="1"/>
      <c r="AA77" s="102"/>
      <c r="AB77" s="104"/>
    </row>
    <row r="78" spans="2:28" ht="15.75">
      <c r="B78" s="1"/>
      <c r="C78" s="1"/>
      <c r="D78" s="1"/>
      <c r="AA78" s="104"/>
      <c r="AB78" s="102"/>
    </row>
    <row r="79" spans="2:28" ht="15.75">
      <c r="B79" s="1"/>
      <c r="C79" s="1"/>
      <c r="D79" s="1"/>
      <c r="AA79" s="104"/>
      <c r="AB79" s="104"/>
    </row>
    <row r="80" spans="2:28" ht="15.75">
      <c r="B80" s="1"/>
      <c r="C80" s="1"/>
      <c r="D80" s="1"/>
      <c r="AA80" s="102"/>
      <c r="AB80" s="104"/>
    </row>
    <row r="81" spans="2:28" ht="15.75">
      <c r="B81" s="1"/>
      <c r="C81" s="1"/>
      <c r="D81" s="1"/>
      <c r="AA81" s="105"/>
      <c r="AB81" s="102"/>
    </row>
    <row r="82" spans="2:28" ht="15.75">
      <c r="B82" s="1"/>
      <c r="C82" s="1"/>
      <c r="D82" s="1"/>
      <c r="AA82" s="1"/>
      <c r="AB82" s="105"/>
    </row>
    <row r="83" spans="2:28" ht="15.75">
      <c r="B83" s="1"/>
      <c r="C83" s="1"/>
      <c r="D83" s="1"/>
      <c r="AB83" s="1"/>
    </row>
    <row r="84" spans="2:28" ht="15.75">
      <c r="B84" s="1"/>
      <c r="C84" s="1"/>
      <c r="D84" s="1"/>
    </row>
  </sheetData>
  <autoFilter ref="A1:AE83" xr:uid="{D2A1145E-5B3D-42A6-AF79-8205DD936E88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hiddenButton="1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</autoFilter>
  <mergeCells count="20">
    <mergeCell ref="AC24:AD24"/>
    <mergeCell ref="AE24:AF24"/>
    <mergeCell ref="V68:W68"/>
    <mergeCell ref="V16:W16"/>
    <mergeCell ref="V17:W17"/>
    <mergeCell ref="X16:Y16"/>
    <mergeCell ref="X17:Y17"/>
    <mergeCell ref="Q22:W22"/>
    <mergeCell ref="V43:W43"/>
    <mergeCell ref="V49:W49"/>
    <mergeCell ref="H17:U17"/>
    <mergeCell ref="H28:U28"/>
    <mergeCell ref="H34:U34"/>
    <mergeCell ref="C2:D2"/>
    <mergeCell ref="G22:L22"/>
    <mergeCell ref="V61:W61"/>
    <mergeCell ref="Z16:Z17"/>
    <mergeCell ref="AA16:AA17"/>
    <mergeCell ref="H4:U4"/>
    <mergeCell ref="H8:U8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8EA0D-CBEA-47CF-914F-850629EEBABF}">
  <dimension ref="A1:AI169"/>
  <sheetViews>
    <sheetView zoomScale="85" zoomScaleNormal="85" workbookViewId="0"/>
  </sheetViews>
  <sheetFormatPr defaultColWidth="8.85546875" defaultRowHeight="15"/>
  <cols>
    <col min="1" max="1" width="7.42578125" style="6" customWidth="1"/>
    <col min="2" max="2" width="18.5703125" style="6" customWidth="1"/>
    <col min="3" max="3" width="13" style="6" customWidth="1"/>
    <col min="4" max="4" width="13.42578125" style="6" bestFit="1" customWidth="1"/>
    <col min="5" max="5" width="18" style="6" bestFit="1" customWidth="1"/>
    <col min="6" max="6" width="13.5703125" style="6" customWidth="1"/>
    <col min="7" max="7" width="15" style="6" bestFit="1" customWidth="1"/>
    <col min="8" max="8" width="14.140625" style="6" customWidth="1"/>
    <col min="9" max="9" width="15" style="6" customWidth="1"/>
    <col min="10" max="10" width="14" style="6" customWidth="1"/>
    <col min="11" max="11" width="15" style="6" bestFit="1" customWidth="1"/>
    <col min="12" max="12" width="13" style="6" customWidth="1"/>
    <col min="13" max="14" width="14.140625" style="6" customWidth="1"/>
    <col min="15" max="15" width="14.5703125" style="6" customWidth="1"/>
    <col min="16" max="16" width="20.140625" style="6" customWidth="1"/>
    <col min="17" max="17" width="13" style="6" customWidth="1"/>
    <col min="18" max="18" width="13.5703125" style="6" customWidth="1"/>
    <col min="19" max="19" width="14" style="6" customWidth="1"/>
    <col min="20" max="20" width="15.5703125" style="6" customWidth="1"/>
    <col min="21" max="21" width="16.5703125" style="6" customWidth="1"/>
    <col min="22" max="23" width="14" style="6" customWidth="1"/>
    <col min="24" max="24" width="29.140625" style="6" bestFit="1" customWidth="1"/>
    <col min="25" max="25" width="14.85546875" style="6" bestFit="1" customWidth="1"/>
    <col min="26" max="26" width="16.140625" style="6" customWidth="1"/>
    <col min="27" max="27" width="13.5703125" style="6" customWidth="1"/>
    <col min="28" max="28" width="16.85546875" style="6" customWidth="1"/>
    <col min="29" max="31" width="20.5703125" style="6" customWidth="1"/>
    <col min="32" max="33" width="12.5703125" style="6" customWidth="1"/>
    <col min="34" max="16384" width="8.85546875" style="6"/>
  </cols>
  <sheetData>
    <row r="1" spans="1:31" s="170" customFormat="1" ht="25.5" customHeight="1">
      <c r="A1" s="384"/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5"/>
      <c r="AA1" s="385"/>
      <c r="AB1" s="385"/>
      <c r="AC1" s="385"/>
    </row>
    <row r="2" spans="1:31">
      <c r="A2" s="87"/>
      <c r="B2" s="858"/>
      <c r="C2" s="858"/>
      <c r="D2" s="858"/>
      <c r="F2" s="87"/>
    </row>
    <row r="3" spans="1:31">
      <c r="E3" s="859" t="s">
        <v>518</v>
      </c>
      <c r="F3" s="859"/>
      <c r="G3" s="859"/>
      <c r="H3" s="859"/>
      <c r="I3" s="859"/>
      <c r="J3" s="859"/>
      <c r="K3" s="859"/>
      <c r="M3" s="110"/>
      <c r="N3" s="110"/>
      <c r="O3" s="110"/>
      <c r="P3" s="859" t="s">
        <v>519</v>
      </c>
      <c r="Q3" s="859"/>
      <c r="R3" s="859"/>
      <c r="S3" s="859"/>
      <c r="T3" s="859"/>
      <c r="U3" s="859"/>
      <c r="V3" s="859"/>
    </row>
    <row r="4" spans="1:31" ht="15.75" customHeight="1">
      <c r="D4" s="148"/>
      <c r="E4" s="148">
        <f>YEAR(F4)</f>
        <v>2026</v>
      </c>
      <c r="F4" s="175">
        <v>46174</v>
      </c>
      <c r="G4" s="175">
        <f>F4</f>
        <v>46174</v>
      </c>
      <c r="H4" s="111" t="s">
        <v>174</v>
      </c>
      <c r="I4" s="111" t="s">
        <v>174</v>
      </c>
      <c r="J4" s="111" t="s">
        <v>174</v>
      </c>
      <c r="K4" s="111" t="s">
        <v>174</v>
      </c>
      <c r="L4" s="20"/>
      <c r="O4" s="1"/>
      <c r="P4" s="148">
        <f>E4</f>
        <v>2026</v>
      </c>
      <c r="Q4" s="175">
        <f>F4</f>
        <v>46174</v>
      </c>
      <c r="R4" s="175">
        <f>F4</f>
        <v>46174</v>
      </c>
      <c r="S4" s="111" t="s">
        <v>174</v>
      </c>
      <c r="T4" s="111" t="s">
        <v>174</v>
      </c>
      <c r="U4" s="111" t="s">
        <v>174</v>
      </c>
      <c r="V4" s="111" t="s">
        <v>174</v>
      </c>
    </row>
    <row r="5" spans="1:31" ht="30.75" customHeight="1">
      <c r="E5" s="111" t="s">
        <v>261</v>
      </c>
      <c r="F5" s="111" t="s">
        <v>175</v>
      </c>
      <c r="G5" s="111" t="s">
        <v>176</v>
      </c>
      <c r="H5" s="111" t="s">
        <v>177</v>
      </c>
      <c r="I5" s="111" t="s">
        <v>178</v>
      </c>
      <c r="J5" s="111" t="s">
        <v>179</v>
      </c>
      <c r="K5" s="111" t="s">
        <v>180</v>
      </c>
      <c r="L5" s="83"/>
      <c r="M5" s="112"/>
      <c r="N5" s="112"/>
      <c r="O5" s="83"/>
      <c r="P5" s="111" t="s">
        <v>126</v>
      </c>
      <c r="Q5" s="111" t="s">
        <v>175</v>
      </c>
      <c r="R5" s="111" t="s">
        <v>176</v>
      </c>
      <c r="S5" s="111" t="s">
        <v>177</v>
      </c>
      <c r="T5" s="111" t="s">
        <v>178</v>
      </c>
      <c r="U5" s="111" t="s">
        <v>179</v>
      </c>
      <c r="V5" s="111" t="s">
        <v>180</v>
      </c>
    </row>
    <row r="6" spans="1:31" ht="42" customHeight="1">
      <c r="B6" s="113"/>
      <c r="D6" s="113"/>
      <c r="E6" s="1"/>
      <c r="F6" s="1"/>
      <c r="G6" s="1"/>
      <c r="J6" s="20"/>
      <c r="K6" s="20"/>
      <c r="L6" s="20"/>
      <c r="O6" s="113"/>
      <c r="P6" s="1"/>
      <c r="Q6" s="1"/>
      <c r="R6" s="1"/>
      <c r="U6" s="20"/>
      <c r="V6" s="20"/>
      <c r="AD6" s="47"/>
      <c r="AE6" s="47"/>
    </row>
    <row r="7" spans="1:31" ht="15.6" customHeight="1">
      <c r="C7" s="501" t="s">
        <v>192</v>
      </c>
      <c r="D7" s="502" t="s">
        <v>390</v>
      </c>
      <c r="E7" s="238">
        <f>'SDG&amp;E INPUTS'!F149</f>
        <v>379043295.13798183</v>
      </c>
      <c r="F7" s="115">
        <f>'SDG&amp;E INPUTS'!G149</f>
        <v>0.69135000000000002</v>
      </c>
      <c r="G7" s="116">
        <f t="shared" ref="G7:G12" si="0">F7*E7</f>
        <v>262051582.09364375</v>
      </c>
      <c r="H7" s="172">
        <f>F7+(F7*$AD$18)</f>
        <v>0.68199965182853062</v>
      </c>
      <c r="I7" s="116">
        <f t="shared" ref="I7:I12" si="1">E7*H7</f>
        <v>258507395.31204259</v>
      </c>
      <c r="J7" s="172">
        <f>F7+(F7*$AE$18)</f>
        <v>0.7814705776581008</v>
      </c>
      <c r="K7" s="116">
        <f t="shared" ref="K7:K12" si="2">E7*J7</f>
        <v>296211182.80890864</v>
      </c>
      <c r="L7" s="117"/>
      <c r="N7" s="501" t="s">
        <v>192</v>
      </c>
      <c r="O7" s="502" t="s">
        <v>390</v>
      </c>
      <c r="P7" s="238">
        <f>'SDG&amp;E INPUTS'!L149</f>
        <v>108249773.83043668</v>
      </c>
      <c r="Q7" s="115">
        <f>'SDG&amp;E INPUTS'!M149</f>
        <v>0.43991999999999998</v>
      </c>
      <c r="R7" s="116">
        <f t="shared" ref="R7:R12" si="3">Q7*P7</f>
        <v>47621240.503485702</v>
      </c>
      <c r="S7" s="172">
        <f>H7*(1+(Q7/F7-1))</f>
        <v>0.43397018417936961</v>
      </c>
      <c r="T7" s="116">
        <f t="shared" ref="T7:T12" si="4">P7*S7</f>
        <v>46977174.286569707</v>
      </c>
      <c r="U7" s="172">
        <f>J7*(1+(Q7/F7-1))</f>
        <v>0.49726554787495725</v>
      </c>
      <c r="V7" s="116">
        <f t="shared" ref="V7:V12" si="5">P7*U7</f>
        <v>53828883.091132306</v>
      </c>
      <c r="W7" s="117"/>
      <c r="X7" s="6" t="s">
        <v>182</v>
      </c>
      <c r="Y7" s="259" t="s">
        <v>112</v>
      </c>
      <c r="Z7" s="259" t="s">
        <v>324</v>
      </c>
      <c r="AA7" s="259" t="s">
        <v>3</v>
      </c>
      <c r="AC7" s="47"/>
      <c r="AD7" s="47"/>
      <c r="AE7" s="47"/>
    </row>
    <row r="8" spans="1:31" ht="15.75">
      <c r="D8" s="118" t="s">
        <v>391</v>
      </c>
      <c r="E8" s="238">
        <f>'SDG&amp;E INPUTS'!F150</f>
        <v>404043826.57948077</v>
      </c>
      <c r="F8" s="115">
        <f>'SDG&amp;E INPUTS'!G150</f>
        <v>0.46421000000000001</v>
      </c>
      <c r="G8" s="116">
        <f t="shared" si="0"/>
        <v>187561184.73646078</v>
      </c>
      <c r="H8" s="172">
        <f>F8+(F8*$AD$18)</f>
        <v>0.45793166757116111</v>
      </c>
      <c r="I8" s="116">
        <f t="shared" si="1"/>
        <v>185024463.27737466</v>
      </c>
      <c r="J8" s="172">
        <f>F8+(F8*$AE$18)</f>
        <v>0.52472185847207198</v>
      </c>
      <c r="K8" s="116">
        <f t="shared" si="2"/>
        <v>212010627.58695272</v>
      </c>
      <c r="L8" s="117"/>
      <c r="O8" s="118" t="s">
        <v>391</v>
      </c>
      <c r="P8" s="238">
        <f>'SDG&amp;E INPUTS'!L150</f>
        <v>125446804.73852286</v>
      </c>
      <c r="Q8" s="115">
        <f>'SDG&amp;E INPUTS'!M150</f>
        <v>0.29227999999999998</v>
      </c>
      <c r="R8" s="116">
        <f t="shared" si="3"/>
        <v>36665592.088975459</v>
      </c>
      <c r="S8" s="172">
        <f t="shared" ref="S8:S15" si="6">H8*(1+(Q8/F8-1))</f>
        <v>0.28832698088731168</v>
      </c>
      <c r="T8" s="116">
        <f t="shared" si="4"/>
        <v>36169698.472218402</v>
      </c>
      <c r="U8" s="172">
        <f t="shared" ref="U8:U15" si="7">J8*(1+(Q8/F8-1))</f>
        <v>0.33038001075852991</v>
      </c>
      <c r="V8" s="116">
        <f t="shared" si="5"/>
        <v>41445116.699136384</v>
      </c>
      <c r="W8" s="117"/>
      <c r="X8" s="6" t="s">
        <v>184</v>
      </c>
      <c r="Y8" s="119">
        <f>'Res Bill Impact'!Y8</f>
        <v>1660098559</v>
      </c>
      <c r="Z8" s="119">
        <f>'Res Bill Impact'!Z8</f>
        <v>1422569805</v>
      </c>
      <c r="AA8" s="119">
        <f>'Res Bill Impact'!AA8</f>
        <v>237528754</v>
      </c>
      <c r="AC8" s="98"/>
      <c r="AD8" s="98"/>
      <c r="AE8" s="98"/>
    </row>
    <row r="9" spans="1:31" ht="15.75">
      <c r="D9" s="118" t="s">
        <v>520</v>
      </c>
      <c r="E9" s="238">
        <f>'SDG&amp;E INPUTS'!F151</f>
        <v>427204947.6000455</v>
      </c>
      <c r="F9" s="115">
        <f>'SDG&amp;E INPUTS'!G151</f>
        <v>0.37433</v>
      </c>
      <c r="G9" s="116">
        <f t="shared" si="0"/>
        <v>159915628.03512502</v>
      </c>
      <c r="H9" s="172">
        <f>F9+(F9*$AD$18)</f>
        <v>0.36926727369490686</v>
      </c>
      <c r="I9" s="116">
        <f t="shared" si="1"/>
        <v>157752806.30924433</v>
      </c>
      <c r="J9" s="172">
        <f>F9+(F9*$AE$18)</f>
        <v>0.4231255967813074</v>
      </c>
      <c r="K9" s="116">
        <f t="shared" si="2"/>
        <v>180761348.40119642</v>
      </c>
      <c r="L9" s="117"/>
      <c r="O9" s="118" t="s">
        <v>520</v>
      </c>
      <c r="P9" s="238">
        <f>'SDG&amp;E INPUTS'!L151</f>
        <v>142224544.76875436</v>
      </c>
      <c r="Q9" s="115">
        <f>'SDG&amp;E INPUTS'!M151</f>
        <v>0.23386000000000001</v>
      </c>
      <c r="R9" s="116">
        <f t="shared" si="3"/>
        <v>33260632.039620899</v>
      </c>
      <c r="S9" s="172">
        <f t="shared" si="6"/>
        <v>0.23069709781821099</v>
      </c>
      <c r="T9" s="116">
        <f t="shared" si="4"/>
        <v>32810789.716667853</v>
      </c>
      <c r="U9" s="172">
        <f t="shared" si="7"/>
        <v>0.2643447013685159</v>
      </c>
      <c r="V9" s="116">
        <f t="shared" si="5"/>
        <v>37596304.814169489</v>
      </c>
      <c r="W9" s="117"/>
      <c r="X9" s="6" t="s">
        <v>186</v>
      </c>
      <c r="Y9" s="171">
        <f>SUM('SAR and RAR'!W19+'SAR and RAR'!Z19-'SAR and RAR'!L10)*1000-Y8</f>
        <v>101714646.73784447</v>
      </c>
      <c r="Z9" s="171">
        <f>(('SAR and RAR'!W19-'SAR and RAR'!L10)*1000)-Z8</f>
        <v>76743899.300056458</v>
      </c>
      <c r="AA9" s="171">
        <f>('SAR and RAR'!Z19*1000)-AA8</f>
        <v>24970747.43778801</v>
      </c>
      <c r="AD9" s="47"/>
      <c r="AE9" s="47"/>
    </row>
    <row r="10" spans="1:31" ht="15.75">
      <c r="D10" s="118" t="s">
        <v>521</v>
      </c>
      <c r="E10" s="238">
        <f>'SDG&amp;E INPUTS'!F152</f>
        <v>649456518.82908928</v>
      </c>
      <c r="F10" s="115">
        <f>'SDG&amp;E INPUTS'!G152</f>
        <v>-0.10702</v>
      </c>
      <c r="G10" s="116">
        <f t="shared" si="0"/>
        <v>-69504836.645089135</v>
      </c>
      <c r="H10" s="172">
        <f>F10+(F10*$AD$18)</f>
        <v>-0.10557257935732893</v>
      </c>
      <c r="I10" s="116">
        <f t="shared" si="1"/>
        <v>-68564799.873218626</v>
      </c>
      <c r="J10" s="172">
        <f>F10+(F10*$AE$18)</f>
        <v>-0.1209705376740724</v>
      </c>
      <c r="K10" s="116">
        <f t="shared" si="2"/>
        <v>-78565104.278686255</v>
      </c>
      <c r="L10" s="117"/>
      <c r="O10" s="118" t="s">
        <v>521</v>
      </c>
      <c r="P10" s="238">
        <f>'SDG&amp;E INPUTS'!L152</f>
        <v>231919441.18433508</v>
      </c>
      <c r="Q10" s="115">
        <f>'SDG&amp;E INPUTS'!M152</f>
        <v>-6.9559999999999997E-2</v>
      </c>
      <c r="R10" s="116">
        <f t="shared" si="3"/>
        <v>-16132316.328782348</v>
      </c>
      <c r="S10" s="172">
        <f t="shared" si="6"/>
        <v>-6.8619217156566992E-2</v>
      </c>
      <c r="T10" s="116">
        <f t="shared" si="4"/>
        <v>-15914130.497457555</v>
      </c>
      <c r="U10" s="172">
        <f t="shared" si="7"/>
        <v>-7.8627458424672725E-2</v>
      </c>
      <c r="V10" s="116">
        <f t="shared" si="5"/>
        <v>-18235236.219594639</v>
      </c>
      <c r="W10" s="117"/>
      <c r="X10" s="6" t="s">
        <v>187</v>
      </c>
      <c r="Y10" s="119">
        <f>Y8+Y9</f>
        <v>1761813205.7378445</v>
      </c>
      <c r="Z10" s="119">
        <f>Z8+Z9</f>
        <v>1499313704.3000565</v>
      </c>
      <c r="AA10" s="119">
        <f>AA8+AA9</f>
        <v>262499501.43778801</v>
      </c>
      <c r="AC10" s="47"/>
      <c r="AD10" s="47"/>
      <c r="AE10" s="47"/>
    </row>
    <row r="11" spans="1:31" ht="15.75">
      <c r="D11" s="118"/>
      <c r="E11" s="238"/>
      <c r="F11" s="121"/>
      <c r="G11" s="116"/>
      <c r="H11" s="172"/>
      <c r="I11" s="116"/>
      <c r="J11" s="172"/>
      <c r="K11" s="116"/>
      <c r="L11" s="117"/>
      <c r="O11" s="118"/>
      <c r="P11" s="238"/>
      <c r="Q11" s="115"/>
      <c r="R11" s="116"/>
      <c r="S11" s="172"/>
      <c r="T11" s="116"/>
      <c r="U11" s="172"/>
      <c r="V11" s="116"/>
      <c r="W11" s="117"/>
      <c r="X11" s="6" t="s">
        <v>189</v>
      </c>
      <c r="Y11" s="209">
        <f>SUM('SAR and RAR'!Y19+'SAR and RAR'!AA19-'SAR and RAR'!L13)*1000-Y8</f>
        <v>579416380.65406656</v>
      </c>
      <c r="Z11" s="209">
        <f>(('SAR and RAR'!Y19-'SAR and RAR'!L13)*1000)-Z8</f>
        <v>586636803.12974524</v>
      </c>
      <c r="AA11" s="209">
        <f>('SAR and RAR'!AA19*1000)-AA8</f>
        <v>-7220422.4756788611</v>
      </c>
      <c r="AC11" s="98"/>
      <c r="AD11" s="261"/>
      <c r="AE11" s="262"/>
    </row>
    <row r="12" spans="1:31" ht="15.75">
      <c r="C12" s="501" t="s">
        <v>193</v>
      </c>
      <c r="D12" s="502" t="s">
        <v>390</v>
      </c>
      <c r="E12" s="238">
        <f>'SDG&amp;E INPUTS'!F154</f>
        <v>438275700.07140857</v>
      </c>
      <c r="F12" s="115">
        <f>'SDG&amp;E INPUTS'!G154</f>
        <v>0.61470999999999998</v>
      </c>
      <c r="G12" s="116">
        <f t="shared" si="0"/>
        <v>269412455.59089553</v>
      </c>
      <c r="H12" s="172">
        <f>F12+(F12*$AD$18)</f>
        <v>0.60639619002750567</v>
      </c>
      <c r="I12" s="116">
        <f t="shared" si="1"/>
        <v>265768714.70493996</v>
      </c>
      <c r="J12" s="172">
        <f>F12+(F12*$AE$18)</f>
        <v>0.69484020943402203</v>
      </c>
      <c r="K12" s="116">
        <f t="shared" si="2"/>
        <v>304531579.22746015</v>
      </c>
      <c r="L12" s="117"/>
      <c r="N12" s="501" t="s">
        <v>193</v>
      </c>
      <c r="O12" s="502" t="s">
        <v>390</v>
      </c>
      <c r="P12" s="238">
        <f>'SDG&amp;E INPUTS'!L154</f>
        <v>122190139.22050184</v>
      </c>
      <c r="Q12" s="115">
        <f>'SDG&amp;E INPUTS'!M154</f>
        <v>0.3901</v>
      </c>
      <c r="R12" s="116">
        <f t="shared" si="3"/>
        <v>47666373.30991777</v>
      </c>
      <c r="S12" s="172">
        <f t="shared" si="6"/>
        <v>0.3848239881077743</v>
      </c>
      <c r="T12" s="116">
        <f t="shared" si="4"/>
        <v>47021696.682277687</v>
      </c>
      <c r="U12" s="172">
        <f t="shared" si="7"/>
        <v>0.4409512871113403</v>
      </c>
      <c r="V12" s="116">
        <f t="shared" si="5"/>
        <v>53879899.161594152</v>
      </c>
      <c r="W12" s="117"/>
      <c r="X12" s="6" t="s">
        <v>190</v>
      </c>
      <c r="Y12" s="119">
        <f>Y8+Y11</f>
        <v>2239514939.6540666</v>
      </c>
      <c r="Z12" s="119">
        <f>Z8+Z11</f>
        <v>2009206608.1297452</v>
      </c>
      <c r="AA12" s="119">
        <f>AA8+AA11</f>
        <v>230308331.52432114</v>
      </c>
    </row>
    <row r="13" spans="1:31" ht="15.75">
      <c r="D13" s="118" t="s">
        <v>391</v>
      </c>
      <c r="E13" s="238">
        <f>'SDG&amp;E INPUTS'!F155</f>
        <v>480644180.56269532</v>
      </c>
      <c r="F13" s="115">
        <f>'SDG&amp;E INPUTS'!G155</f>
        <v>0.53059999999999996</v>
      </c>
      <c r="G13" s="116">
        <f t="shared" ref="G13:G15" si="8">F13*E13</f>
        <v>255029802.20656613</v>
      </c>
      <c r="H13" s="172">
        <f>F13+(F13*$AD$18)</f>
        <v>0.52342375824143828</v>
      </c>
      <c r="I13" s="116">
        <f t="shared" ref="I13:I15" si="9">E13*H13</f>
        <v>251580583.36700246</v>
      </c>
      <c r="J13" s="172">
        <f>F13+(F13*$AE$18)</f>
        <v>0.59976609315887508</v>
      </c>
      <c r="K13" s="116">
        <f t="shared" ref="K13:K15" si="10">E13*J13</f>
        <v>288274082.3756367</v>
      </c>
      <c r="L13" s="117"/>
      <c r="O13" s="118" t="s">
        <v>391</v>
      </c>
      <c r="P13" s="238">
        <f>'SDG&amp;E INPUTS'!L155</f>
        <v>148207747.67935795</v>
      </c>
      <c r="Q13" s="115">
        <f>'SDG&amp;E INPUTS'!M155</f>
        <v>0.33543000000000001</v>
      </c>
      <c r="R13" s="116">
        <f t="shared" ref="R13:R15" si="11">Q13*P13</f>
        <v>49713324.804087035</v>
      </c>
      <c r="S13" s="172">
        <f t="shared" si="6"/>
        <v>0.33089338715967892</v>
      </c>
      <c r="T13" s="116">
        <f t="shared" ref="T13:T15" si="12">P13*S13</f>
        <v>49040963.632929794</v>
      </c>
      <c r="U13" s="172">
        <f t="shared" si="7"/>
        <v>0.37915480706423194</v>
      </c>
      <c r="V13" s="116">
        <f t="shared" ref="V13:V15" si="13">P13*U13</f>
        <v>56193679.97679133</v>
      </c>
      <c r="Z13" s="296"/>
    </row>
    <row r="14" spans="1:31" ht="15.75">
      <c r="D14" s="118" t="s">
        <v>520</v>
      </c>
      <c r="E14" s="238">
        <f>'SDG&amp;E INPUTS'!F156</f>
        <v>525340192.49439591</v>
      </c>
      <c r="F14" s="115">
        <f>'SDG&amp;E INPUTS'!G156</f>
        <v>0.43718999999999997</v>
      </c>
      <c r="G14" s="116">
        <f t="shared" si="8"/>
        <v>229673478.75662494</v>
      </c>
      <c r="H14" s="172">
        <f>F14+(F14*$AD$18)</f>
        <v>0.43127710679527775</v>
      </c>
      <c r="I14" s="116">
        <f t="shared" si="9"/>
        <v>226567198.30225736</v>
      </c>
      <c r="J14" s="172">
        <f>F14+(F14*$AE$18)</f>
        <v>0.49417968011332186</v>
      </c>
      <c r="K14" s="116">
        <f t="shared" si="10"/>
        <v>259612448.2775515</v>
      </c>
      <c r="L14" s="117"/>
      <c r="O14" s="118" t="s">
        <v>520</v>
      </c>
      <c r="P14" s="238">
        <f>'SDG&amp;E INPUTS'!L156</f>
        <v>172069640.66619059</v>
      </c>
      <c r="Q14" s="115">
        <f>'SDG&amp;E INPUTS'!M156</f>
        <v>0.27472000000000002</v>
      </c>
      <c r="R14" s="116">
        <f t="shared" si="11"/>
        <v>47270971.683815882</v>
      </c>
      <c r="S14" s="172">
        <f t="shared" si="6"/>
        <v>0.27100447580868442</v>
      </c>
      <c r="T14" s="116">
        <f t="shared" si="12"/>
        <v>46631642.771329671</v>
      </c>
      <c r="U14" s="172">
        <f t="shared" si="7"/>
        <v>0.31053098588881678</v>
      </c>
      <c r="V14" s="116">
        <f t="shared" si="13"/>
        <v>53432955.157606602</v>
      </c>
      <c r="Z14" s="296"/>
    </row>
    <row r="15" spans="1:31" ht="15.75">
      <c r="D15" s="118" t="s">
        <v>521</v>
      </c>
      <c r="E15" s="238">
        <f>'SDG&amp;E INPUTS'!F157</f>
        <v>893595074.5783267</v>
      </c>
      <c r="F15" s="115">
        <f>'SDG&amp;E INPUTS'!G157</f>
        <v>-0.10702</v>
      </c>
      <c r="G15" s="116">
        <f t="shared" si="8"/>
        <v>-95632544.881372526</v>
      </c>
      <c r="H15" s="172">
        <f>F15+(F15*$AD$18)</f>
        <v>-0.10557257935732893</v>
      </c>
      <c r="I15" s="116">
        <f t="shared" si="9"/>
        <v>-94339136.924238652</v>
      </c>
      <c r="J15" s="172">
        <f>F15+(F15*$AE$18)</f>
        <v>-0.1209705376740724</v>
      </c>
      <c r="K15" s="116">
        <f t="shared" si="10"/>
        <v>-108098676.634643</v>
      </c>
      <c r="L15" s="117"/>
      <c r="O15" s="118" t="s">
        <v>521</v>
      </c>
      <c r="P15" s="238">
        <f>'SDG&amp;E INPUTS'!L157</f>
        <v>311451292.19018537</v>
      </c>
      <c r="Q15" s="115">
        <f>'SDG&amp;E INPUTS'!M157</f>
        <v>-6.9559999999999997E-2</v>
      </c>
      <c r="R15" s="116">
        <f t="shared" si="11"/>
        <v>-21664551.884749293</v>
      </c>
      <c r="S15" s="172">
        <f t="shared" si="6"/>
        <v>-6.8619217156566992E-2</v>
      </c>
      <c r="T15" s="116">
        <f t="shared" si="12"/>
        <v>-21371543.852491725</v>
      </c>
      <c r="U15" s="172">
        <f t="shared" si="7"/>
        <v>-7.8627458424672725E-2</v>
      </c>
      <c r="V15" s="116">
        <f t="shared" si="13"/>
        <v>-24488623.527994398</v>
      </c>
      <c r="Z15" s="296"/>
    </row>
    <row r="16" spans="1:31" ht="15.75">
      <c r="D16" s="118"/>
      <c r="E16" s="120"/>
      <c r="F16" s="121"/>
      <c r="G16" s="122"/>
      <c r="H16" s="1"/>
      <c r="I16" s="123"/>
      <c r="J16" s="1"/>
      <c r="K16" s="123"/>
      <c r="L16" s="117"/>
      <c r="O16" s="118"/>
      <c r="P16" s="122"/>
      <c r="Q16" s="121"/>
      <c r="R16" s="122"/>
      <c r="S16" s="1"/>
      <c r="T16" s="123"/>
      <c r="U16" s="1"/>
      <c r="V16" s="123"/>
      <c r="Z16" s="296"/>
      <c r="AD16" s="47" t="s">
        <v>326</v>
      </c>
      <c r="AE16" s="47" t="s">
        <v>328</v>
      </c>
    </row>
    <row r="17" spans="1:31" ht="15.75">
      <c r="D17" s="118"/>
      <c r="E17" s="118" t="s">
        <v>459</v>
      </c>
      <c r="F17" s="115">
        <f>'SDG&amp;E INPUTS'!G158</f>
        <v>0.79342999999999997</v>
      </c>
      <c r="G17" s="121"/>
      <c r="H17" s="172"/>
      <c r="I17" s="122"/>
      <c r="J17" s="122"/>
      <c r="K17" s="122"/>
      <c r="L17" s="117"/>
      <c r="O17" s="118"/>
      <c r="P17" s="118" t="s">
        <v>459</v>
      </c>
      <c r="Q17" s="115">
        <f>'SDG&amp;E INPUTS'!M158</f>
        <v>0.19713</v>
      </c>
      <c r="R17" s="121"/>
      <c r="S17" s="116"/>
      <c r="T17" s="122"/>
      <c r="U17" s="122"/>
      <c r="V17" s="122"/>
      <c r="X17" s="6" t="s">
        <v>362</v>
      </c>
      <c r="Y17" s="259" t="s">
        <v>112</v>
      </c>
      <c r="Z17" s="259" t="s">
        <v>324</v>
      </c>
      <c r="AA17" s="259" t="s">
        <v>3</v>
      </c>
      <c r="AC17" s="133" t="s">
        <v>325</v>
      </c>
      <c r="AD17" s="259" t="s">
        <v>327</v>
      </c>
      <c r="AE17" s="259" t="s">
        <v>327</v>
      </c>
    </row>
    <row r="18" spans="1:31" ht="15.75">
      <c r="D18" s="118"/>
      <c r="E18" s="118" t="s">
        <v>460</v>
      </c>
      <c r="F18" s="605">
        <f>F17*30</f>
        <v>23.802899999999998</v>
      </c>
      <c r="G18" s="453" t="s">
        <v>461</v>
      </c>
      <c r="I18" s="122"/>
      <c r="J18" s="236"/>
      <c r="K18" s="122"/>
      <c r="L18" s="117"/>
      <c r="O18" s="124"/>
      <c r="P18" s="118" t="s">
        <v>460</v>
      </c>
      <c r="Q18" s="605">
        <f>Q17*30</f>
        <v>5.9138999999999999</v>
      </c>
      <c r="R18" s="453" t="s">
        <v>461</v>
      </c>
      <c r="T18" s="122"/>
      <c r="U18" s="122"/>
      <c r="V18" s="122"/>
      <c r="X18" s="6" t="s">
        <v>363</v>
      </c>
      <c r="Y18" s="296">
        <f>+Z18+AA18</f>
        <v>45.649000000000001</v>
      </c>
      <c r="Z18" s="296">
        <f>'Res Bill Impact'!Z15</f>
        <v>27.564</v>
      </c>
      <c r="AA18" s="296">
        <f>'Res Bill Impact'!AA15</f>
        <v>18.085000000000001</v>
      </c>
      <c r="AB18" s="425"/>
      <c r="AC18" s="6">
        <f>'SAR and RAR'!$AF$26/100</f>
        <v>0.45649000000000001</v>
      </c>
      <c r="AD18" s="298">
        <f>$Y20/100/$AC$18</f>
        <v>-1.3524767731929359E-2</v>
      </c>
      <c r="AE18" s="298">
        <f>$Y22/100/$AC$18</f>
        <v>0.13035449144152858</v>
      </c>
    </row>
    <row r="19" spans="1:31" ht="15.75">
      <c r="E19" s="239"/>
      <c r="P19" s="122"/>
      <c r="Q19" s="121"/>
      <c r="X19" s="6" t="s">
        <v>187</v>
      </c>
      <c r="Y19" s="296">
        <f>+Z19+AA19</f>
        <v>45.031607877805158</v>
      </c>
      <c r="Z19" s="296">
        <f>SUM('SAR and RAR'!J30:K30,'SAR and RAR'!M30:T30)</f>
        <v>25.652428695305069</v>
      </c>
      <c r="AA19" s="296">
        <f>'SAR and RAR'!H30</f>
        <v>19.379179182500089</v>
      </c>
    </row>
    <row r="20" spans="1:31">
      <c r="O20" s="125"/>
      <c r="X20" s="6" t="s">
        <v>186</v>
      </c>
      <c r="Y20" s="424">
        <f>+Y19-Y18</f>
        <v>-0.6173921221948433</v>
      </c>
      <c r="Z20" s="296">
        <f>+Z19-Z18</f>
        <v>-1.911571304694931</v>
      </c>
      <c r="AA20" s="296">
        <f>+AA19-AA18</f>
        <v>1.2941791825000877</v>
      </c>
      <c r="AD20" s="423"/>
      <c r="AE20" s="423"/>
    </row>
    <row r="21" spans="1:31">
      <c r="X21" s="6" t="s">
        <v>190</v>
      </c>
      <c r="Y21" s="296">
        <f>+Z21+AA21</f>
        <v>51.599552179814339</v>
      </c>
      <c r="Z21" s="296">
        <f>SUM('SAR and RAR'!J36:K36,'SAR and RAR'!M36:T36)</f>
        <v>34.596904939014827</v>
      </c>
      <c r="AA21" s="296">
        <f>'SAR and RAR'!H36</f>
        <v>17.002647240799508</v>
      </c>
      <c r="AD21" s="167"/>
      <c r="AE21" s="167"/>
    </row>
    <row r="22" spans="1:31">
      <c r="B22" s="7"/>
      <c r="X22" s="6" t="s">
        <v>189</v>
      </c>
      <c r="Y22" s="424">
        <f>+Y21-Y18</f>
        <v>5.9505521798143377</v>
      </c>
      <c r="Z22" s="296">
        <f>+Z21-Z18</f>
        <v>7.0329049390148271</v>
      </c>
      <c r="AA22" s="296">
        <f>+AA21-AA18</f>
        <v>-1.0823527592004929</v>
      </c>
      <c r="AD22" s="167"/>
      <c r="AE22" s="167"/>
    </row>
    <row r="23" spans="1:31">
      <c r="B23" s="126" t="s">
        <v>522</v>
      </c>
      <c r="C23" s="126"/>
      <c r="E23" s="127" t="s">
        <v>174</v>
      </c>
      <c r="F23" s="127" t="s">
        <v>174</v>
      </c>
      <c r="H23" s="126" t="s">
        <v>271</v>
      </c>
      <c r="I23" s="126"/>
      <c r="J23" s="126"/>
      <c r="K23" s="126" t="s">
        <v>272</v>
      </c>
      <c r="L23" s="126"/>
      <c r="M23" s="126"/>
      <c r="N23" s="126"/>
      <c r="P23" s="6" t="s">
        <v>498</v>
      </c>
      <c r="Y23" s="174"/>
      <c r="AD23" s="167"/>
      <c r="AE23" s="167"/>
    </row>
    <row r="24" spans="1:31" ht="15.75">
      <c r="B24" s="130" t="s">
        <v>175</v>
      </c>
      <c r="C24" s="131" t="str">
        <f>Summary!D31</f>
        <v>6/1/2026</v>
      </c>
      <c r="D24" s="315" t="str">
        <f>Summary!E31</f>
        <v>8/1/2026</v>
      </c>
      <c r="E24" s="132" t="s">
        <v>154</v>
      </c>
      <c r="F24" s="132" t="s">
        <v>162</v>
      </c>
      <c r="H24" s="133" t="s">
        <v>191</v>
      </c>
      <c r="I24" s="133" t="s">
        <v>192</v>
      </c>
      <c r="J24" s="133" t="s">
        <v>193</v>
      </c>
      <c r="K24" s="133" t="s">
        <v>191</v>
      </c>
      <c r="L24" s="133" t="s">
        <v>192</v>
      </c>
      <c r="M24" s="133" t="s">
        <v>193</v>
      </c>
      <c r="P24" s="128" t="s">
        <v>191</v>
      </c>
      <c r="Q24" s="129" t="s">
        <v>192</v>
      </c>
      <c r="R24" s="129" t="s">
        <v>193</v>
      </c>
      <c r="S24" s="129" t="s">
        <v>192</v>
      </c>
      <c r="T24" s="129" t="s">
        <v>193</v>
      </c>
      <c r="U24" s="789" t="s">
        <v>196</v>
      </c>
      <c r="V24" s="790"/>
      <c r="Y24" s="425"/>
      <c r="Z24" s="294"/>
      <c r="AA24" s="294"/>
      <c r="AB24" s="47"/>
      <c r="AC24" s="47"/>
      <c r="AD24" s="47"/>
    </row>
    <row r="25" spans="1:31" ht="15.75">
      <c r="A25" s="501" t="s">
        <v>192</v>
      </c>
      <c r="B25" s="134" t="s">
        <v>390</v>
      </c>
      <c r="C25" s="217">
        <f>'SDG&amp;E INPUTS'!H149</f>
        <v>0.68459000000000003</v>
      </c>
      <c r="D25" s="136">
        <f>F7</f>
        <v>0.69135000000000002</v>
      </c>
      <c r="E25" s="137">
        <f>H7</f>
        <v>0.68199965182853062</v>
      </c>
      <c r="F25" s="137">
        <f>J7</f>
        <v>0.7814705776581008</v>
      </c>
      <c r="H25" s="6" t="s">
        <v>125</v>
      </c>
      <c r="I25" s="155">
        <f>'SDG&amp;E INPUTS'!O59</f>
        <v>351</v>
      </c>
      <c r="J25" s="155">
        <f>'SDG&amp;E INPUTS'!P59</f>
        <v>359</v>
      </c>
      <c r="K25" s="6" t="s">
        <v>125</v>
      </c>
      <c r="L25" s="155">
        <f>'SDG&amp;E INPUTS'!S59</f>
        <v>235</v>
      </c>
      <c r="M25" s="155">
        <f>'SDG&amp;E INPUTS'!T59</f>
        <v>343</v>
      </c>
      <c r="N25" s="119"/>
      <c r="P25" s="52"/>
      <c r="Q25" s="792" t="s">
        <v>149</v>
      </c>
      <c r="R25" s="793"/>
      <c r="S25" s="792" t="s">
        <v>150</v>
      </c>
      <c r="T25" s="793"/>
      <c r="U25" s="47" t="s">
        <v>149</v>
      </c>
      <c r="V25" s="47" t="s">
        <v>150</v>
      </c>
      <c r="Y25" s="426"/>
      <c r="AD25" s="295"/>
    </row>
    <row r="26" spans="1:31" ht="15.75">
      <c r="B26" s="134" t="s">
        <v>391</v>
      </c>
      <c r="C26" s="135">
        <f>'SDG&amp;E INPUTS'!H150</f>
        <v>0.46392</v>
      </c>
      <c r="D26" s="136">
        <f t="shared" ref="D26:D28" si="14">F8</f>
        <v>0.46421000000000001</v>
      </c>
      <c r="E26" s="137">
        <f t="shared" ref="E26:E28" si="15">H8</f>
        <v>0.45793166757116111</v>
      </c>
      <c r="F26" s="137">
        <f t="shared" ref="F26:F28" si="16">J8</f>
        <v>0.52472185847207198</v>
      </c>
      <c r="H26" s="6" t="s">
        <v>197</v>
      </c>
      <c r="I26" s="155">
        <f>'SDG&amp;E INPUTS'!O60</f>
        <v>530</v>
      </c>
      <c r="J26" s="155">
        <f>'SDG&amp;E INPUTS'!P60</f>
        <v>503</v>
      </c>
      <c r="K26" s="6" t="s">
        <v>197</v>
      </c>
      <c r="L26" s="155">
        <f>'SDG&amp;E INPUTS'!S60</f>
        <v>593</v>
      </c>
      <c r="M26" s="155">
        <f>'SDG&amp;E INPUTS'!T60</f>
        <v>863</v>
      </c>
      <c r="N26" s="119"/>
      <c r="P26" s="206" t="s">
        <v>223</v>
      </c>
      <c r="Q26" s="139">
        <f>'SDG&amp;E INPUTS'!E59</f>
        <v>334.36541599999998</v>
      </c>
      <c r="R26" s="139">
        <f>'SDG&amp;E INPUTS'!F59</f>
        <v>309.27334100000002</v>
      </c>
      <c r="S26" s="139">
        <f>'SDG&amp;E INPUTS'!G59</f>
        <v>329.33632999999998</v>
      </c>
      <c r="T26" s="139">
        <f>'SDG&amp;E INPUTS'!H59</f>
        <v>300.562815</v>
      </c>
      <c r="U26" s="577">
        <f>'SDG&amp;E INPUTS'!I59</f>
        <v>0.59302976011933228</v>
      </c>
      <c r="V26" s="577">
        <f>'SDG&amp;E INPUTS'!J59</f>
        <v>0.5004157582517873</v>
      </c>
      <c r="Z26" s="500"/>
      <c r="AA26" s="500"/>
      <c r="AB26" s="500"/>
      <c r="AC26" s="500"/>
      <c r="AD26" s="295"/>
    </row>
    <row r="27" spans="1:31" ht="15.75">
      <c r="B27" s="134" t="s">
        <v>520</v>
      </c>
      <c r="C27" s="135">
        <f>'SDG&amp;E INPUTS'!H151</f>
        <v>0.37659999999999993</v>
      </c>
      <c r="D27" s="136">
        <f t="shared" si="14"/>
        <v>0.37433</v>
      </c>
      <c r="E27" s="137">
        <f t="shared" si="15"/>
        <v>0.36926727369490686</v>
      </c>
      <c r="F27" s="137">
        <f t="shared" si="16"/>
        <v>0.4231255967813074</v>
      </c>
      <c r="H27" s="6" t="s">
        <v>198</v>
      </c>
      <c r="I27" s="156">
        <f>'SDG&amp;E INPUTS'!O61</f>
        <v>620</v>
      </c>
      <c r="J27" s="156">
        <f>'SDG&amp;E INPUTS'!P61</f>
        <v>425</v>
      </c>
      <c r="K27" s="6" t="s">
        <v>198</v>
      </c>
      <c r="L27" s="156">
        <f>'SDG&amp;E INPUTS'!S61</f>
        <v>662</v>
      </c>
      <c r="M27" s="156">
        <f>'SDG&amp;E INPUTS'!T61</f>
        <v>667</v>
      </c>
      <c r="N27" s="119"/>
      <c r="P27" s="207" t="s">
        <v>225</v>
      </c>
      <c r="Q27" s="139">
        <f>'SDG&amp;E INPUTS'!E60</f>
        <v>370.89176200000003</v>
      </c>
      <c r="R27" s="139">
        <f>'SDG&amp;E INPUTS'!F60</f>
        <v>320.932299</v>
      </c>
      <c r="S27" s="139">
        <f>'SDG&amp;E INPUTS'!G60</f>
        <v>595.62742000000003</v>
      </c>
      <c r="T27" s="139">
        <f>'SDG&amp;E INPUTS'!H60</f>
        <v>535.42582900000002</v>
      </c>
      <c r="U27" s="577">
        <f>'SDG&amp;E INPUTS'!I60</f>
        <v>8.43340424866614E-3</v>
      </c>
      <c r="V27" s="577">
        <f>'SDG&amp;E INPUTS'!J60</f>
        <v>7.9450387872027576E-3</v>
      </c>
      <c r="W27" s="437"/>
      <c r="X27" s="437"/>
      <c r="Z27" s="500"/>
      <c r="AA27" s="500"/>
      <c r="AB27" s="500"/>
      <c r="AC27" s="500"/>
      <c r="AD27" s="295"/>
      <c r="AE27" s="295"/>
    </row>
    <row r="28" spans="1:31" ht="15.75">
      <c r="B28" s="134" t="s">
        <v>521</v>
      </c>
      <c r="C28" s="135">
        <f>'SDG&amp;E INPUTS'!H152</f>
        <v>-0.10663</v>
      </c>
      <c r="D28" s="136">
        <f t="shared" si="14"/>
        <v>-0.10702</v>
      </c>
      <c r="E28" s="137">
        <f t="shared" si="15"/>
        <v>-0.10557257935732893</v>
      </c>
      <c r="F28" s="137">
        <f t="shared" si="16"/>
        <v>-0.1209705376740724</v>
      </c>
      <c r="H28" s="6" t="s">
        <v>199</v>
      </c>
      <c r="I28" s="155">
        <f>'SDG&amp;E INPUTS'!O62</f>
        <v>406</v>
      </c>
      <c r="J28" s="155">
        <f>'SDG&amp;E INPUTS'!P62</f>
        <v>374</v>
      </c>
      <c r="K28" s="6" t="s">
        <v>199</v>
      </c>
      <c r="L28" s="155">
        <f>'SDG&amp;E INPUTS'!S62</f>
        <v>341</v>
      </c>
      <c r="M28" s="155">
        <f>'SDG&amp;E INPUTS'!T62</f>
        <v>475</v>
      </c>
      <c r="N28" s="119"/>
      <c r="P28" s="207" t="s">
        <v>222</v>
      </c>
      <c r="Q28" s="139">
        <f>'SDG&amp;E INPUTS'!E61</f>
        <v>400.96965999999998</v>
      </c>
      <c r="R28" s="139">
        <f>'SDG&amp;E INPUTS'!F61</f>
        <v>153.73130499999999</v>
      </c>
      <c r="S28" s="139">
        <f>'SDG&amp;E INPUTS'!G61</f>
        <v>651.39212799999996</v>
      </c>
      <c r="T28" s="139">
        <f>'SDG&amp;E INPUTS'!H61</f>
        <v>320.86506100000003</v>
      </c>
      <c r="U28" s="577">
        <f>'SDG&amp;E INPUTS'!I61</f>
        <v>1.1233729911021911E-3</v>
      </c>
      <c r="V28" s="577">
        <f>'SDG&amp;E INPUTS'!J61</f>
        <v>1.5362774425797293E-3</v>
      </c>
      <c r="W28" s="437"/>
      <c r="X28" s="437"/>
      <c r="Z28" s="500"/>
      <c r="AA28" s="500"/>
      <c r="AB28" s="500"/>
      <c r="AC28" s="500"/>
      <c r="AD28" s="295"/>
      <c r="AE28" s="295"/>
    </row>
    <row r="29" spans="1:31" ht="15.75">
      <c r="B29" s="134"/>
      <c r="C29" s="136"/>
      <c r="D29" s="136"/>
      <c r="E29" s="137"/>
      <c r="F29" s="137"/>
      <c r="I29" s="149"/>
      <c r="J29" s="119"/>
      <c r="L29" s="149"/>
      <c r="M29" s="119"/>
      <c r="N29" s="119"/>
      <c r="P29" s="208" t="s">
        <v>224</v>
      </c>
      <c r="Q29" s="145">
        <f>'SDG&amp;E INPUTS'!E62</f>
        <v>325.12078600000001</v>
      </c>
      <c r="R29" s="145">
        <f>'SDG&amp;E INPUTS'!F62</f>
        <v>273.16046899999998</v>
      </c>
      <c r="S29" s="145">
        <f>'SDG&amp;E INPUTS'!G62</f>
        <v>427.16779600000001</v>
      </c>
      <c r="T29" s="145">
        <f>'SDG&amp;E INPUTS'!H62</f>
        <v>342.00768900000003</v>
      </c>
      <c r="U29" s="577">
        <f>'SDG&amp;E INPUTS'!I62</f>
        <v>0.39741346264089933</v>
      </c>
      <c r="V29" s="577">
        <f>'SDG&amp;E INPUTS'!J62</f>
        <v>0.49010292551843027</v>
      </c>
      <c r="W29" s="437"/>
      <c r="X29" s="437"/>
      <c r="Z29" s="500"/>
      <c r="AA29" s="500"/>
      <c r="AB29" s="500"/>
      <c r="AC29" s="500"/>
      <c r="AD29" s="295"/>
      <c r="AE29" s="295"/>
    </row>
    <row r="30" spans="1:31">
      <c r="A30" s="501" t="s">
        <v>193</v>
      </c>
      <c r="B30" s="134" t="s">
        <v>390</v>
      </c>
      <c r="C30" s="757">
        <f>'SDG&amp;E INPUTS'!H154</f>
        <v>0.6101399999999999</v>
      </c>
      <c r="D30" s="136">
        <f>F12</f>
        <v>0.61470999999999998</v>
      </c>
      <c r="E30" s="136">
        <f>H12</f>
        <v>0.60639619002750567</v>
      </c>
      <c r="F30" s="136">
        <f>J12</f>
        <v>0.69484020943402203</v>
      </c>
      <c r="N30" s="119"/>
    </row>
    <row r="31" spans="1:31">
      <c r="B31" s="134" t="s">
        <v>391</v>
      </c>
      <c r="C31" s="757">
        <f>'SDG&amp;E INPUTS'!H155</f>
        <v>0.52842999999999996</v>
      </c>
      <c r="D31" s="136">
        <f t="shared" ref="D31:D33" si="17">F13</f>
        <v>0.53059999999999996</v>
      </c>
      <c r="E31" s="136">
        <f t="shared" ref="E31:E33" si="18">H13</f>
        <v>0.52342375824143828</v>
      </c>
      <c r="F31" s="136">
        <f t="shared" ref="F31:F33" si="19">J13</f>
        <v>0.59976609315887508</v>
      </c>
      <c r="H31" s="126" t="s">
        <v>267</v>
      </c>
      <c r="I31" s="126"/>
      <c r="J31" s="126"/>
      <c r="K31" s="126" t="s">
        <v>266</v>
      </c>
      <c r="L31" s="126"/>
      <c r="M31" s="126"/>
      <c r="N31" s="119"/>
      <c r="P31" s="6" t="s">
        <v>499</v>
      </c>
    </row>
    <row r="32" spans="1:31">
      <c r="B32" s="134" t="s">
        <v>520</v>
      </c>
      <c r="C32" s="757">
        <f>'SDG&amp;E INPUTS'!H156</f>
        <v>0.43766999999999995</v>
      </c>
      <c r="D32" s="136">
        <f t="shared" si="17"/>
        <v>0.43718999999999997</v>
      </c>
      <c r="E32" s="136">
        <f t="shared" si="18"/>
        <v>0.43127710679527775</v>
      </c>
      <c r="F32" s="136">
        <f t="shared" si="19"/>
        <v>0.49417968011332186</v>
      </c>
      <c r="H32" s="133" t="s">
        <v>191</v>
      </c>
      <c r="I32" s="133" t="s">
        <v>192</v>
      </c>
      <c r="J32" s="133" t="s">
        <v>193</v>
      </c>
      <c r="K32" s="133" t="s">
        <v>191</v>
      </c>
      <c r="L32" s="133" t="s">
        <v>192</v>
      </c>
      <c r="M32" s="133" t="s">
        <v>193</v>
      </c>
      <c r="N32" s="119"/>
      <c r="P32" s="128" t="s">
        <v>191</v>
      </c>
      <c r="Q32" s="129" t="s">
        <v>192</v>
      </c>
      <c r="R32" s="129" t="s">
        <v>193</v>
      </c>
      <c r="S32" s="129" t="s">
        <v>192</v>
      </c>
      <c r="T32" s="129" t="s">
        <v>193</v>
      </c>
      <c r="U32" s="789" t="s">
        <v>196</v>
      </c>
      <c r="V32" s="790"/>
    </row>
    <row r="33" spans="1:30">
      <c r="B33" s="134" t="s">
        <v>521</v>
      </c>
      <c r="C33" s="757">
        <f>'SDG&amp;E INPUTS'!H157</f>
        <v>-0.10663</v>
      </c>
      <c r="D33" s="136">
        <f t="shared" si="17"/>
        <v>-0.10702</v>
      </c>
      <c r="E33" s="136">
        <f t="shared" si="18"/>
        <v>-0.10557257935732893</v>
      </c>
      <c r="F33" s="136">
        <f t="shared" si="19"/>
        <v>-0.1209705376740724</v>
      </c>
      <c r="H33" s="6" t="s">
        <v>125</v>
      </c>
      <c r="I33" s="155">
        <f>'SDG&amp;E INPUTS'!O66</f>
        <v>270</v>
      </c>
      <c r="J33" s="155">
        <f>'SDG&amp;E INPUTS'!P66</f>
        <v>276</v>
      </c>
      <c r="K33" s="6" t="s">
        <v>125</v>
      </c>
      <c r="L33" s="155">
        <f>'SDG&amp;E INPUTS'!S66</f>
        <v>181</v>
      </c>
      <c r="M33" s="155">
        <f>'SDG&amp;E INPUTS'!T66</f>
        <v>264</v>
      </c>
      <c r="N33" s="119"/>
      <c r="P33" s="52"/>
      <c r="Q33" s="792" t="s">
        <v>149</v>
      </c>
      <c r="R33" s="793"/>
      <c r="S33" s="792" t="s">
        <v>150</v>
      </c>
      <c r="T33" s="793"/>
      <c r="U33" s="47" t="s">
        <v>149</v>
      </c>
      <c r="V33" s="47" t="s">
        <v>150</v>
      </c>
    </row>
    <row r="34" spans="1:30" ht="15.75">
      <c r="H34" s="6" t="s">
        <v>197</v>
      </c>
      <c r="I34" s="155">
        <f>'SDG&amp;E INPUTS'!O67</f>
        <v>408</v>
      </c>
      <c r="J34" s="155">
        <f>'SDG&amp;E INPUTS'!P67</f>
        <v>387</v>
      </c>
      <c r="K34" s="6" t="s">
        <v>197</v>
      </c>
      <c r="L34" s="155">
        <f>'SDG&amp;E INPUTS'!S67</f>
        <v>456</v>
      </c>
      <c r="M34" s="155">
        <f>'SDG&amp;E INPUTS'!T67</f>
        <v>664</v>
      </c>
      <c r="N34" s="119"/>
      <c r="P34" s="206" t="s">
        <v>223</v>
      </c>
      <c r="Q34" s="139">
        <f>'SDG&amp;E INPUTS'!E66</f>
        <v>283.425005</v>
      </c>
      <c r="R34" s="139">
        <f>'SDG&amp;E INPUTS'!F66</f>
        <v>272.60744599999998</v>
      </c>
      <c r="S34" s="139">
        <f>'SDG&amp;E INPUTS'!G66</f>
        <v>293.30439200000001</v>
      </c>
      <c r="T34" s="139">
        <f>'SDG&amp;E INPUTS'!H66</f>
        <v>284.82109400000002</v>
      </c>
      <c r="U34" s="577">
        <f>'SDG&amp;E INPUTS'!I66</f>
        <v>0.58383763710758863</v>
      </c>
      <c r="V34" s="577">
        <f>'SDG&amp;E INPUTS'!J66</f>
        <v>0.44804334178157046</v>
      </c>
      <c r="Z34" s="500"/>
      <c r="AA34" s="500"/>
      <c r="AB34" s="500"/>
      <c r="AC34" s="500"/>
    </row>
    <row r="35" spans="1:30" ht="15.75">
      <c r="B35" s="126" t="s">
        <v>523</v>
      </c>
      <c r="C35" s="126"/>
      <c r="D35" s="126"/>
      <c r="E35" s="127" t="s">
        <v>174</v>
      </c>
      <c r="F35" s="127" t="s">
        <v>174</v>
      </c>
      <c r="H35" s="6" t="s">
        <v>198</v>
      </c>
      <c r="I35" s="156">
        <f>'SDG&amp;E INPUTS'!O68</f>
        <v>477</v>
      </c>
      <c r="J35" s="156">
        <f>'SDG&amp;E INPUTS'!P68</f>
        <v>327</v>
      </c>
      <c r="K35" s="6" t="s">
        <v>198</v>
      </c>
      <c r="L35" s="156">
        <f>'SDG&amp;E INPUTS'!S68</f>
        <v>509</v>
      </c>
      <c r="M35" s="156">
        <f>'SDG&amp;E INPUTS'!T68</f>
        <v>513</v>
      </c>
      <c r="N35" s="126"/>
      <c r="P35" s="207" t="s">
        <v>225</v>
      </c>
      <c r="Q35" s="139">
        <f>'SDG&amp;E INPUTS'!E67</f>
        <v>393.67990800000001</v>
      </c>
      <c r="R35" s="139">
        <f>'SDG&amp;E INPUTS'!F67</f>
        <v>457.21679599999999</v>
      </c>
      <c r="S35" s="139">
        <f>'SDG&amp;E INPUTS'!G67</f>
        <v>614.42968800000006</v>
      </c>
      <c r="T35" s="139">
        <f>'SDG&amp;E INPUTS'!H67</f>
        <v>691.41233199999999</v>
      </c>
      <c r="U35" s="577">
        <f>'SDG&amp;E INPUTS'!I67</f>
        <v>2.0596224598562734E-2</v>
      </c>
      <c r="V35" s="577">
        <f>'SDG&amp;E INPUTS'!J67</f>
        <v>1.4334875717906388E-2</v>
      </c>
      <c r="Z35" s="500"/>
      <c r="AA35" s="500"/>
      <c r="AB35" s="500"/>
      <c r="AC35" s="500"/>
    </row>
    <row r="36" spans="1:30" ht="15.75">
      <c r="B36" s="130" t="s">
        <v>175</v>
      </c>
      <c r="C36" s="131" t="str">
        <f>C24</f>
        <v>6/1/2026</v>
      </c>
      <c r="D36" s="131" t="str">
        <f>D24</f>
        <v>8/1/2026</v>
      </c>
      <c r="E36" s="132" t="s">
        <v>154</v>
      </c>
      <c r="F36" s="132" t="s">
        <v>162</v>
      </c>
      <c r="H36" s="6" t="s">
        <v>199</v>
      </c>
      <c r="I36" s="155">
        <f>'SDG&amp;E INPUTS'!O69</f>
        <v>312</v>
      </c>
      <c r="J36" s="155">
        <f>'SDG&amp;E INPUTS'!P69</f>
        <v>288</v>
      </c>
      <c r="K36" s="6" t="s">
        <v>199</v>
      </c>
      <c r="L36" s="155">
        <f>'SDG&amp;E INPUTS'!S69</f>
        <v>262</v>
      </c>
      <c r="M36" s="155">
        <f>'SDG&amp;E INPUTS'!T69</f>
        <v>365</v>
      </c>
      <c r="P36" s="207" t="s">
        <v>222</v>
      </c>
      <c r="Q36" s="139">
        <f>'SDG&amp;E INPUTS'!E68</f>
        <v>347.61028700000003</v>
      </c>
      <c r="R36" s="139">
        <f>'SDG&amp;E INPUTS'!F68</f>
        <v>178.718932</v>
      </c>
      <c r="S36" s="139">
        <f>'SDG&amp;E INPUTS'!G68</f>
        <v>706.90564700000004</v>
      </c>
      <c r="T36" s="139">
        <f>'SDG&amp;E INPUTS'!H68</f>
        <v>394.63204200000001</v>
      </c>
      <c r="U36" s="577">
        <f>'SDG&amp;E INPUTS'!I68</f>
        <v>5.596052676821511E-3</v>
      </c>
      <c r="V36" s="577">
        <f>'SDG&amp;E INPUTS'!J68</f>
        <v>3.7086985839514496E-3</v>
      </c>
      <c r="Z36" s="500"/>
      <c r="AA36" s="500"/>
      <c r="AB36" s="500"/>
      <c r="AC36" s="500"/>
    </row>
    <row r="37" spans="1:30" ht="15.75">
      <c r="A37" s="501" t="s">
        <v>192</v>
      </c>
      <c r="B37" s="134" t="s">
        <v>390</v>
      </c>
      <c r="C37" s="135">
        <f>'SDG&amp;E INPUTS'!N149</f>
        <v>0.43552999999999997</v>
      </c>
      <c r="D37" s="136">
        <f>Q7</f>
        <v>0.43991999999999998</v>
      </c>
      <c r="E37" s="137">
        <f>S7</f>
        <v>0.43397018417936961</v>
      </c>
      <c r="F37" s="137">
        <f>U7</f>
        <v>0.49726554787495725</v>
      </c>
      <c r="G37" s="153"/>
      <c r="N37" s="119"/>
      <c r="P37" s="208" t="s">
        <v>224</v>
      </c>
      <c r="Q37" s="139">
        <f>'SDG&amp;E INPUTS'!E69</f>
        <v>331.02294799999999</v>
      </c>
      <c r="R37" s="139">
        <f>'SDG&amp;E INPUTS'!F69</f>
        <v>327.76564100000002</v>
      </c>
      <c r="S37" s="139">
        <f>'SDG&amp;E INPUTS'!G69</f>
        <v>390.24194699999998</v>
      </c>
      <c r="T37" s="139">
        <f>'SDG&amp;E INPUTS'!H69</f>
        <v>346.22200400000003</v>
      </c>
      <c r="U37" s="577">
        <f>'SDG&amp;E INPUTS'!I69</f>
        <v>0.38997008561702712</v>
      </c>
      <c r="V37" s="577">
        <f>'SDG&amp;E INPUTS'!J69</f>
        <v>0.53391308391657177</v>
      </c>
      <c r="Z37" s="500"/>
      <c r="AA37" s="500"/>
      <c r="AB37" s="500"/>
      <c r="AC37" s="500"/>
    </row>
    <row r="38" spans="1:30">
      <c r="B38" s="134" t="s">
        <v>391</v>
      </c>
      <c r="C38" s="135">
        <f>'SDG&amp;E INPUTS'!N150</f>
        <v>0.29209000000000002</v>
      </c>
      <c r="D38" s="136">
        <f t="shared" ref="D38:D40" si="20">Q8</f>
        <v>0.29227999999999998</v>
      </c>
      <c r="E38" s="137">
        <f t="shared" ref="E38:E40" si="21">S8</f>
        <v>0.28832698088731168</v>
      </c>
      <c r="F38" s="137">
        <f t="shared" ref="F38:F40" si="22">U8</f>
        <v>0.33038001075852991</v>
      </c>
      <c r="G38" s="153"/>
      <c r="N38" s="119"/>
    </row>
    <row r="39" spans="1:30">
      <c r="B39" s="134" t="s">
        <v>520</v>
      </c>
      <c r="C39" s="135">
        <f>'SDG&amp;E INPUTS'!N151</f>
        <v>0.23533000000000001</v>
      </c>
      <c r="D39" s="136">
        <f t="shared" si="20"/>
        <v>0.23386000000000001</v>
      </c>
      <c r="E39" s="137">
        <f t="shared" si="21"/>
        <v>0.23069709781821099</v>
      </c>
      <c r="F39" s="137">
        <f t="shared" si="22"/>
        <v>0.2643447013685159</v>
      </c>
      <c r="H39" s="503" t="s">
        <v>524</v>
      </c>
      <c r="N39" s="119"/>
      <c r="P39" s="503" t="s">
        <v>526</v>
      </c>
    </row>
    <row r="40" spans="1:30" ht="15.75">
      <c r="B40" s="134" t="s">
        <v>521</v>
      </c>
      <c r="C40" s="135">
        <f>'SDG&amp;E INPUTS'!N152</f>
        <v>-6.9309999999999997E-2</v>
      </c>
      <c r="D40" s="136">
        <f t="shared" si="20"/>
        <v>-6.9559999999999997E-2</v>
      </c>
      <c r="E40" s="137">
        <f t="shared" si="21"/>
        <v>-6.8619217156566992E-2</v>
      </c>
      <c r="F40" s="137">
        <f t="shared" si="22"/>
        <v>-7.8627458424672725E-2</v>
      </c>
      <c r="I40" s="866" t="str">
        <f>C24</f>
        <v>6/1/2026</v>
      </c>
      <c r="J40" s="866"/>
      <c r="L40" s="867" t="str">
        <f>D24</f>
        <v>8/1/2026</v>
      </c>
      <c r="M40" s="867"/>
      <c r="N40" s="119"/>
      <c r="Q40" s="866" t="str">
        <f>C24</f>
        <v>6/1/2026</v>
      </c>
      <c r="R40" s="866"/>
      <c r="T40" s="867" t="str">
        <f>D24</f>
        <v>8/1/2026</v>
      </c>
      <c r="U40" s="868"/>
      <c r="Z40" s="511"/>
      <c r="AA40" s="500"/>
      <c r="AB40" s="500"/>
      <c r="AC40" s="500"/>
    </row>
    <row r="41" spans="1:30" ht="15.75">
      <c r="B41" s="134"/>
      <c r="C41" s="136"/>
      <c r="D41" s="136"/>
      <c r="E41" s="137"/>
      <c r="F41" s="137"/>
      <c r="H41" s="259" t="s">
        <v>525</v>
      </c>
      <c r="I41" s="259" t="s">
        <v>192</v>
      </c>
      <c r="J41" s="259" t="s">
        <v>193</v>
      </c>
      <c r="K41" s="259" t="s">
        <v>525</v>
      </c>
      <c r="L41" s="259" t="s">
        <v>192</v>
      </c>
      <c r="M41" s="259" t="s">
        <v>193</v>
      </c>
      <c r="N41" s="119"/>
      <c r="P41" s="259" t="s">
        <v>525</v>
      </c>
      <c r="Q41" s="259" t="s">
        <v>192</v>
      </c>
      <c r="R41" s="259" t="s">
        <v>193</v>
      </c>
      <c r="S41" s="259" t="s">
        <v>525</v>
      </c>
      <c r="T41" s="259" t="s">
        <v>192</v>
      </c>
      <c r="U41" s="259" t="s">
        <v>193</v>
      </c>
      <c r="V41" s="358"/>
      <c r="Z41" s="511"/>
      <c r="AA41" s="500"/>
      <c r="AB41" s="500"/>
      <c r="AC41" s="500"/>
    </row>
    <row r="42" spans="1:30" ht="15.75">
      <c r="A42" s="501" t="s">
        <v>193</v>
      </c>
      <c r="B42" s="134" t="s">
        <v>390</v>
      </c>
      <c r="C42" s="757">
        <f>'SDG&amp;E INPUTS'!N154</f>
        <v>0.38712999999999997</v>
      </c>
      <c r="D42" s="136">
        <f>Q12</f>
        <v>0.3901</v>
      </c>
      <c r="E42" s="136">
        <f>S12</f>
        <v>0.3848239881077743</v>
      </c>
      <c r="F42" s="136">
        <f>U12</f>
        <v>0.4409512871113403</v>
      </c>
      <c r="G42" s="153"/>
      <c r="H42" s="134" t="s">
        <v>390</v>
      </c>
      <c r="I42" s="504">
        <f>'SDG&amp;E INPUTS'!E167</f>
        <v>0.31318332553540318</v>
      </c>
      <c r="J42" s="504">
        <f>'SDG&amp;E INPUTS'!F167</f>
        <v>0.30346037270284215</v>
      </c>
      <c r="K42" s="134" t="s">
        <v>390</v>
      </c>
      <c r="L42" s="504">
        <f>'SDG&amp;E INPUTS'!G167</f>
        <v>0.31318332553540318</v>
      </c>
      <c r="M42" s="504">
        <f>'SDG&amp;E INPUTS'!H167</f>
        <v>0.30346037270284215</v>
      </c>
      <c r="N42" s="119"/>
      <c r="P42" s="134" t="s">
        <v>390</v>
      </c>
      <c r="Q42" s="504">
        <f>'SDG&amp;E INPUTS'!K167</f>
        <v>0.28795874216727374</v>
      </c>
      <c r="R42" s="504">
        <f>'SDG&amp;E INPUTS'!L167</f>
        <v>0.2761561732962689</v>
      </c>
      <c r="S42" s="134" t="s">
        <v>390</v>
      </c>
      <c r="T42" s="504">
        <f>'SDG&amp;E INPUTS'!M167</f>
        <v>0.28795874216727374</v>
      </c>
      <c r="U42" s="504">
        <f>'SDG&amp;E INPUTS'!N167</f>
        <v>0.2761561732962689</v>
      </c>
      <c r="Z42" s="511"/>
    </row>
    <row r="43" spans="1:30">
      <c r="B43" s="134" t="s">
        <v>391</v>
      </c>
      <c r="C43" s="757">
        <f>'SDG&amp;E INPUTS'!N155</f>
        <v>0.33401999999999998</v>
      </c>
      <c r="D43" s="136">
        <f t="shared" ref="D43:D45" si="23">Q13</f>
        <v>0.33543000000000001</v>
      </c>
      <c r="E43" s="136">
        <f t="shared" ref="E43:E45" si="24">S13</f>
        <v>0.33089338715967892</v>
      </c>
      <c r="F43" s="136">
        <f t="shared" ref="F43:F45" si="25">U13</f>
        <v>0.37915480706423194</v>
      </c>
      <c r="G43" s="153"/>
      <c r="H43" s="134" t="s">
        <v>391</v>
      </c>
      <c r="I43" s="504">
        <f>'SDG&amp;E INPUTS'!E168</f>
        <v>0.33383993568372622</v>
      </c>
      <c r="J43" s="504">
        <f>'SDG&amp;E INPUTS'!F168</f>
        <v>0.33279614212524944</v>
      </c>
      <c r="K43" s="134" t="s">
        <v>391</v>
      </c>
      <c r="L43" s="504">
        <f>'SDG&amp;E INPUTS'!G168</f>
        <v>0.33383993568372622</v>
      </c>
      <c r="M43" s="504">
        <f>'SDG&amp;E INPUTS'!H168</f>
        <v>0.33279614212524944</v>
      </c>
      <c r="N43" s="119"/>
      <c r="P43" s="134" t="s">
        <v>391</v>
      </c>
      <c r="Q43" s="504">
        <f>'SDG&amp;E INPUTS'!K168</f>
        <v>0.3337051230979271</v>
      </c>
      <c r="R43" s="504">
        <f>'SDG&amp;E INPUTS'!L168</f>
        <v>0.33495734363745799</v>
      </c>
      <c r="S43" s="134" t="s">
        <v>391</v>
      </c>
      <c r="T43" s="504">
        <f>'SDG&amp;E INPUTS'!M168</f>
        <v>0.3337051230979271</v>
      </c>
      <c r="U43" s="504">
        <f>'SDG&amp;E INPUTS'!N168</f>
        <v>0.33495734363745799</v>
      </c>
      <c r="V43" s="142"/>
    </row>
    <row r="44" spans="1:30">
      <c r="B44" s="134" t="s">
        <v>520</v>
      </c>
      <c r="C44" s="757">
        <f>'SDG&amp;E INPUTS'!N156</f>
        <v>0.27503</v>
      </c>
      <c r="D44" s="136">
        <f t="shared" si="23"/>
        <v>0.27472000000000002</v>
      </c>
      <c r="E44" s="136">
        <f t="shared" si="24"/>
        <v>0.27100447580868442</v>
      </c>
      <c r="F44" s="136">
        <f t="shared" si="25"/>
        <v>0.31053098588881678</v>
      </c>
      <c r="H44" s="134" t="s">
        <v>520</v>
      </c>
      <c r="I44" s="504">
        <f>'SDG&amp;E INPUTS'!E169</f>
        <v>0.35297673878087071</v>
      </c>
      <c r="J44" s="504">
        <f>'SDG&amp;E INPUTS'!F169</f>
        <v>0.36374348517190846</v>
      </c>
      <c r="K44" s="134" t="s">
        <v>520</v>
      </c>
      <c r="L44" s="504">
        <f>'SDG&amp;E INPUTS'!G169</f>
        <v>0.35297673878087071</v>
      </c>
      <c r="M44" s="504">
        <f>'SDG&amp;E INPUTS'!H169</f>
        <v>0.36374348517190846</v>
      </c>
      <c r="N44" s="119"/>
      <c r="P44" s="134" t="s">
        <v>520</v>
      </c>
      <c r="Q44" s="504">
        <f>'SDG&amp;E INPUTS'!K169</f>
        <v>0.3783361347347991</v>
      </c>
      <c r="R44" s="504">
        <f>'SDG&amp;E INPUTS'!L169</f>
        <v>0.38888648306627316</v>
      </c>
      <c r="S44" s="134" t="s">
        <v>520</v>
      </c>
      <c r="T44" s="504">
        <f>'SDG&amp;E INPUTS'!M169</f>
        <v>0.3783361347347991</v>
      </c>
      <c r="U44" s="504">
        <f>'SDG&amp;E INPUTS'!N169</f>
        <v>0.38888648306627316</v>
      </c>
      <c r="V44" s="142"/>
      <c r="Z44" s="260"/>
    </row>
    <row r="45" spans="1:30">
      <c r="B45" s="134" t="s">
        <v>521</v>
      </c>
      <c r="C45" s="757">
        <f>'SDG&amp;E INPUTS'!N157</f>
        <v>-6.9309999999999997E-2</v>
      </c>
      <c r="D45" s="136">
        <f t="shared" si="23"/>
        <v>-6.9559999999999997E-2</v>
      </c>
      <c r="E45" s="136">
        <f t="shared" si="24"/>
        <v>-6.8619217156566992E-2</v>
      </c>
      <c r="F45" s="136">
        <f t="shared" si="25"/>
        <v>-7.8627458424672725E-2</v>
      </c>
      <c r="I45" s="505">
        <f>SUM(I42:I44)</f>
        <v>1</v>
      </c>
      <c r="J45" s="505">
        <f>SUM(J42:J44)</f>
        <v>1</v>
      </c>
      <c r="L45" s="505">
        <f>SUM(L42:L44)</f>
        <v>1</v>
      </c>
      <c r="M45" s="505">
        <f>SUM(M42:M44)</f>
        <v>1</v>
      </c>
      <c r="N45" s="119"/>
      <c r="Q45" s="505">
        <f>SUM(Q42:Q44)</f>
        <v>1</v>
      </c>
      <c r="R45" s="505">
        <f>SUM(R42:R44)</f>
        <v>1</v>
      </c>
      <c r="T45" s="505">
        <f>SUM(T42:T44)</f>
        <v>1</v>
      </c>
      <c r="U45" s="505">
        <f>SUM(U42:U44)</f>
        <v>1</v>
      </c>
      <c r="V45" s="142"/>
    </row>
    <row r="46" spans="1:30">
      <c r="B46" s="7"/>
      <c r="C46" s="8"/>
      <c r="D46" s="8"/>
      <c r="E46" s="9"/>
      <c r="F46" s="9"/>
    </row>
    <row r="47" spans="1:30" ht="18.75">
      <c r="B47" s="235"/>
      <c r="C47" s="860" t="s">
        <v>260</v>
      </c>
      <c r="D47" s="860"/>
      <c r="E47" s="860"/>
      <c r="F47" s="860"/>
      <c r="G47" s="860"/>
      <c r="H47" s="860"/>
      <c r="I47" s="860"/>
      <c r="J47" s="860"/>
      <c r="M47" s="235"/>
      <c r="N47" s="860" t="s">
        <v>260</v>
      </c>
      <c r="O47" s="860"/>
      <c r="P47" s="860"/>
      <c r="Q47" s="860"/>
      <c r="R47" s="860"/>
      <c r="S47" s="860"/>
      <c r="T47" s="860"/>
      <c r="U47" s="860"/>
    </row>
    <row r="48" spans="1:30">
      <c r="B48" s="7"/>
      <c r="C48" s="461" t="s">
        <v>511</v>
      </c>
      <c r="D48" s="461"/>
      <c r="E48" s="461"/>
      <c r="F48" s="461"/>
      <c r="G48" s="461"/>
      <c r="H48" s="461"/>
      <c r="I48" s="461"/>
      <c r="J48" s="461"/>
      <c r="M48" s="7"/>
      <c r="N48" s="461" t="s">
        <v>512</v>
      </c>
      <c r="O48" s="461"/>
      <c r="P48" s="461"/>
      <c r="Q48" s="461"/>
      <c r="R48" s="461"/>
      <c r="S48" s="461"/>
      <c r="T48" s="461"/>
      <c r="U48" s="461"/>
      <c r="X48" s="174"/>
      <c r="AD48" s="498"/>
    </row>
    <row r="49" spans="2:35" ht="15" customHeight="1">
      <c r="B49" s="7"/>
      <c r="C49" s="862" t="str">
        <f>C36</f>
        <v>6/1/2026</v>
      </c>
      <c r="D49" s="862"/>
      <c r="E49" s="861" t="str">
        <f>D36</f>
        <v>8/1/2026</v>
      </c>
      <c r="F49" s="862"/>
      <c r="G49" s="862" t="str">
        <f>E24</f>
        <v>Authorized</v>
      </c>
      <c r="H49" s="862"/>
      <c r="I49" s="861" t="str">
        <f>F24</f>
        <v>w/Pending</v>
      </c>
      <c r="J49" s="862"/>
      <c r="M49" s="7"/>
      <c r="N49" s="862" t="str">
        <f>C49</f>
        <v>6/1/2026</v>
      </c>
      <c r="O49" s="862"/>
      <c r="P49" s="861" t="str">
        <f>E49</f>
        <v>8/1/2026</v>
      </c>
      <c r="Q49" s="862"/>
      <c r="R49" s="862" t="str">
        <f>G49</f>
        <v>Authorized</v>
      </c>
      <c r="S49" s="862"/>
      <c r="T49" s="861" t="str">
        <f>I49</f>
        <v>w/Pending</v>
      </c>
      <c r="U49" s="862"/>
      <c r="X49" s="440"/>
      <c r="Y49" s="440"/>
      <c r="Z49" s="497"/>
      <c r="AA49" s="440"/>
      <c r="AB49" s="497"/>
      <c r="AC49" s="440"/>
      <c r="AD49" s="497"/>
      <c r="AE49" s="440"/>
      <c r="AF49" s="497"/>
      <c r="AG49" s="440"/>
      <c r="AH49" s="497"/>
      <c r="AI49" s="440"/>
    </row>
    <row r="50" spans="2:35">
      <c r="B50" s="7"/>
      <c r="C50" s="8" t="s">
        <v>192</v>
      </c>
      <c r="D50" s="8" t="s">
        <v>193</v>
      </c>
      <c r="E50" s="8" t="s">
        <v>192</v>
      </c>
      <c r="F50" s="8" t="s">
        <v>193</v>
      </c>
      <c r="G50" s="8" t="s">
        <v>192</v>
      </c>
      <c r="H50" s="8" t="s">
        <v>193</v>
      </c>
      <c r="I50" s="8" t="s">
        <v>192</v>
      </c>
      <c r="J50" s="8" t="s">
        <v>193</v>
      </c>
      <c r="M50" s="7"/>
      <c r="N50" s="8" t="s">
        <v>192</v>
      </c>
      <c r="O50" s="8" t="s">
        <v>193</v>
      </c>
      <c r="P50" s="8" t="s">
        <v>192</v>
      </c>
      <c r="Q50" s="8" t="s">
        <v>193</v>
      </c>
      <c r="R50" s="8" t="s">
        <v>192</v>
      </c>
      <c r="S50" s="8" t="s">
        <v>193</v>
      </c>
      <c r="T50" s="8" t="s">
        <v>192</v>
      </c>
      <c r="U50" s="8" t="s">
        <v>193</v>
      </c>
      <c r="X50" s="496"/>
      <c r="Y50" s="496"/>
      <c r="Z50" s="496"/>
      <c r="AA50" s="496"/>
      <c r="AB50" s="496"/>
      <c r="AC50" s="496"/>
      <c r="AD50" s="496"/>
      <c r="AE50" s="496"/>
      <c r="AF50" s="496"/>
      <c r="AG50" s="496"/>
      <c r="AH50" s="496"/>
      <c r="AI50" s="496"/>
    </row>
    <row r="51" spans="2:35">
      <c r="B51" s="138" t="s">
        <v>223</v>
      </c>
      <c r="C51" s="159">
        <f>$F$18+(SUMPRODUCT($C$25:$C$27,$I$42:$I$44)*$Q26)+(MIN($I25,$Q26)*$C$28)+('Incremental Rev Req'!$F$87*$Q26)</f>
        <v>156.40494672813998</v>
      </c>
      <c r="D51" s="159">
        <f>$F$18+(SUMPRODUCT($C$30:$C$32,$J$42:$J$44)*$R26)+(MIN($J25,$R26)*$C$33)+('Incremental Rev Req'!$F$87*$R26)</f>
        <v>152.02218036146922</v>
      </c>
      <c r="E51" s="159">
        <f>$F$18+(SUMPRODUCT($D$25:$D$27,$L$42:$L$44)*$Q26)+(MIN($I25,$Q26)*$D$28)+('Incremental Rev Req'!$F$87*$Q26)</f>
        <v>156.7468941022791</v>
      </c>
      <c r="F51" s="159">
        <f>$F$18+(SUMPRODUCT($D$30:$D$32,$M$42:$M$44)*$R26)+(MIN($J25,$R26)*$D$33)+('Incremental Rev Req'!$F$87*$R26)</f>
        <v>152.49981736467964</v>
      </c>
      <c r="G51" s="159">
        <f>$F$18+(SUMPRODUCT($E$25:$E$27,$L$42:$L$44)*$Q26)+(MIN($I25,$Q26)*$E$28)+('Incremental Rev Req'!$F$87*$Q26)</f>
        <v>154.95337967527976</v>
      </c>
      <c r="H51" s="159">
        <f>$F$18+(SUMPRODUCT($E$30:$E$32,$M$42:$M$44)*$R26)+(MIN($J25,$R26)*$E$33)+('Incremental Rev Req'!$F$87*$R26)</f>
        <v>150.76340429960976</v>
      </c>
      <c r="I51" s="159">
        <f>$F$18+(SUMPRODUCT($F$25:$F$27,$L$42:$L$44)*$Q26)+(MIN($I25,$Q26)*$F$28)+('Incremental Rev Req'!$F$87*$Q26)</f>
        <v>174.03315480992893</v>
      </c>
      <c r="J51" s="159">
        <f>$F$18+(SUMPRODUCT($F$30:$F$32,$M$42:$M$44)*$R26)+(MIN($J25,$R26)*$F$33)+('Incremental Rev Req'!$F$87*$R26)</f>
        <v>169.23572340876242</v>
      </c>
      <c r="M51" s="138" t="s">
        <v>223</v>
      </c>
      <c r="N51" s="159">
        <f>$F$18+(SUMPRODUCT($C$25:$C$27,$I$42:$I$44)*$Q34)+(MIN($L25,$Q34)*$C$28)+('Incremental Rev Req'!$F$87*$Q34)</f>
        <v>141.36664669537893</v>
      </c>
      <c r="O51" s="159">
        <f>$F$18+(SUMPRODUCT($C$30:$C$32,$J$42:$J$44)*$R34)+(MIN($M25,$R34)*$C$33)+('Incremental Rev Req'!$F$87*$R34)</f>
        <v>136.82114604176951</v>
      </c>
      <c r="P51" s="159">
        <f>$F$18+(SUMPRODUCT($D$25:$D$27,$L$42:$L$44)*$Q34)+(MIN($L25,$Q34)*$D$28)+('Incremental Rev Req'!$F$87*$Q34)</f>
        <v>141.67538430277656</v>
      </c>
      <c r="Q51" s="159">
        <f>$F$18+(SUMPRODUCT($D$30:$D$32,$M$42:$M$44)*$R34)+(MIN($M25,$R34)*$D$33)+('Incremental Rev Req'!$F$87*$R34)</f>
        <v>137.24215679924143</v>
      </c>
      <c r="R51" s="159">
        <f>$F$18+(SUMPRODUCT($E$25:$E$27,$L$42:$L$44)*$Q34)+(MIN($L25,$Q34)*$E$28)+('Incremental Rev Req'!$F$87*$Q34)</f>
        <v>140.08501958795804</v>
      </c>
      <c r="S51" s="159">
        <f>$F$18+(SUMPRODUCT($E$30:$E$32,$M$42:$M$44)*$R34)+(MIN($M25,$R34)*$E$33)+('Incremental Rev Req'!$F$87*$R34)</f>
        <v>135.71160415173816</v>
      </c>
      <c r="T51" s="159">
        <f>$F$18+(SUMPRODUCT($F$25:$F$27,$L$42:$L$44)*$Q34)+(MIN($L25,$Q34)*$F$28)+('Incremental Rev Req'!$F$87*$Q34)</f>
        <v>157.00364632662595</v>
      </c>
      <c r="U51" s="159">
        <f>$F$18+(SUMPRODUCT($F$30:$F$32,$M$42:$M$44)*$R34)+(MIN($M25,$R34)*$F$33)+('Incremental Rev Req'!$F$87*$R34)</f>
        <v>151.99393782382504</v>
      </c>
      <c r="X51" s="499"/>
      <c r="Y51" s="499"/>
      <c r="Z51" s="499"/>
      <c r="AA51" s="499"/>
      <c r="AB51" s="499"/>
      <c r="AC51" s="499"/>
      <c r="AD51" s="499"/>
      <c r="AE51" s="499"/>
      <c r="AF51" s="499"/>
      <c r="AG51" s="499"/>
      <c r="AH51" s="499"/>
      <c r="AI51" s="499"/>
    </row>
    <row r="52" spans="2:35">
      <c r="B52" s="141" t="s">
        <v>225</v>
      </c>
      <c r="C52" s="159">
        <f>$F$18+(SUMPRODUCT($C$25:$C$27,$I$42:$I$44)*$Q27)+(MIN($I26,$Q27)*$C$28)+('Incremental Rev Req'!$F$87*$Q27)</f>
        <v>170.89050057830318</v>
      </c>
      <c r="D52" s="159">
        <f>$F$18+(SUMPRODUCT($C$30:$C$32,$J$42:$J$44)*$R27)+(MIN($J26,$R27)*$C$33)+('Incremental Rev Req'!$F$87*$R27)</f>
        <v>156.85577901465734</v>
      </c>
      <c r="E52" s="159">
        <f>$F$18+(SUMPRODUCT($D$25:$D$27,$L$42:$L$44)*$Q27)+(MIN($I26,$Q27)*$D$28)+('Incremental Rev Req'!$F$87*$Q27)</f>
        <v>171.26980255762547</v>
      </c>
      <c r="F52" s="159">
        <f>$F$18+(SUMPRODUCT($D$30:$D$32,$M$42:$M$44)*$R27)+(MIN($J26,$R27)*$D$33)+('Incremental Rev Req'!$F$87*$R27)</f>
        <v>157.35142193374037</v>
      </c>
      <c r="G52" s="159">
        <f>$F$18+(SUMPRODUCT($E$25:$E$27,$L$42:$L$44)*$Q27)+(MIN($I26,$Q27)*$E$28)+('Incremental Rev Req'!$F$87*$Q27)</f>
        <v>169.28036317732125</v>
      </c>
      <c r="H52" s="159">
        <f>$F$18+(SUMPRODUCT($E$30:$E$32,$M$42:$M$44)*$R27)+(MIN($J26,$R27)*$E$33)+('Incremental Rev Req'!$F$87*$R27)</f>
        <v>155.5495497284457</v>
      </c>
      <c r="I52" s="159">
        <f>$F$18+(SUMPRODUCT($F$25:$F$27,$L$42:$L$44)*$Q27)+(MIN($I26,$Q27)*$F$28)+('Incremental Rev Req'!$F$87*$Q27)</f>
        <v>190.44442823796683</v>
      </c>
      <c r="J52" s="159">
        <f>$F$18+(SUMPRODUCT($F$30:$F$32,$M$42:$M$44)*$R27)+(MIN($J26,$R27)*$F$33)+('Incremental Rev Req'!$F$87*$R27)</f>
        <v>174.7182366265576</v>
      </c>
      <c r="M52" s="141" t="s">
        <v>225</v>
      </c>
      <c r="N52" s="159">
        <f>$F$18+(SUMPRODUCT($C$25:$C$27,$I$42:$I$44)*$Q35)+(MIN($L26,$Q35)*$C$28)+('Incremental Rev Req'!$F$87*$Q35)</f>
        <v>179.92778331193276</v>
      </c>
      <c r="O52" s="159">
        <f>$F$18+(SUMPRODUCT($C$30:$C$32,$J$42:$J$44)*$R35)+(MIN($M26,$R35)*$C$33)+('Incremental Rev Req'!$F$87*$R35)</f>
        <v>213.35693127454391</v>
      </c>
      <c r="P52" s="159">
        <f>$F$18+(SUMPRODUCT($D$25:$D$27,$L$42:$L$44)*$Q35)+(MIN($L26,$Q35)*$D$28)+('Incremental Rev Req'!$F$87*$Q35)</f>
        <v>180.33039017361827</v>
      </c>
      <c r="Q52" s="159">
        <f>$F$18+(SUMPRODUCT($D$30:$D$32,$M$42:$M$44)*$R35)+(MIN($M26,$R35)*$D$33)+('Incremental Rev Req'!$F$87*$R35)</f>
        <v>214.06304988002344</v>
      </c>
      <c r="R52" s="159">
        <f>$F$18+(SUMPRODUCT($E$25:$E$27,$L$42:$L$44)*$Q35)+(MIN($L26,$Q35)*$E$28)+('Incremental Rev Req'!$F$87*$Q35)</f>
        <v>178.21871665467458</v>
      </c>
      <c r="S52" s="159">
        <f>$F$18+(SUMPRODUCT($E$30:$E$32,$M$42:$M$44)*$R35)+(MIN($M26,$R35)*$E$33)+('Incremental Rev Req'!$F$87*$R35)</f>
        <v>211.4960092952231</v>
      </c>
      <c r="T52" s="159">
        <f>$F$18+(SUMPRODUCT($F$25:$F$27,$L$42:$L$44)*$Q35)+(MIN($L26,$Q35)*$F$28)+('Incremental Rev Req'!$F$87*$Q35)</f>
        <v>200.68313360762102</v>
      </c>
      <c r="U52" s="159">
        <f>$F$18+(SUMPRODUCT($F$30:$F$32,$M$42:$M$44)*$R35)+(MIN($M26,$R35)*$F$33)+('Incremental Rev Req'!$F$87*$R35)</f>
        <v>238.8047146963018</v>
      </c>
      <c r="X52" s="499"/>
      <c r="Y52" s="499"/>
      <c r="Z52" s="499"/>
      <c r="AA52" s="499"/>
      <c r="AB52" s="499"/>
      <c r="AC52" s="499"/>
      <c r="AD52" s="499"/>
      <c r="AE52" s="499"/>
      <c r="AF52" s="499"/>
      <c r="AG52" s="499"/>
      <c r="AH52" s="499"/>
      <c r="AI52" s="499"/>
    </row>
    <row r="53" spans="2:35">
      <c r="B53" s="141" t="s">
        <v>222</v>
      </c>
      <c r="C53" s="159">
        <f>$F$18+(SUMPRODUCT($C$25:$C$27,$I$42:$I$44)*$Q28)+(MIN($I27,$Q28)*$C$28)+('Incremental Rev Req'!$F$87*$Q28)</f>
        <v>182.81874029816768</v>
      </c>
      <c r="D53" s="159">
        <f>$F$18+(SUMPRODUCT($C$30:$C$32,$J$42:$J$44)*$R28)+(MIN($J27,$R28)*$C$33)+('Incremental Rev Req'!$F$87*$R28)</f>
        <v>87.537191589424552</v>
      </c>
      <c r="E53" s="159">
        <f>$F$18+(SUMPRODUCT($D$25:$D$27,$L$42:$L$44)*$Q28)+(MIN($I27,$Q28)*$D$28)+('Incremental Rev Req'!$F$87*$Q28)</f>
        <v>183.22880221182697</v>
      </c>
      <c r="F53" s="159">
        <f>$F$18+(SUMPRODUCT($D$30:$D$32,$M$42:$M$44)*$R28)+(MIN($J27,$R28)*$D$33)+('Incremental Rev Req'!$F$87*$R28)</f>
        <v>87.774611858440963</v>
      </c>
      <c r="G53" s="159">
        <f>$F$18+(SUMPRODUCT($E$25:$E$27,$L$42:$L$44)*$Q28)+(MIN($I27,$Q28)*$E$28)+('Incremental Rev Req'!$F$87*$Q28)</f>
        <v>181.07802693547774</v>
      </c>
      <c r="H53" s="159">
        <f>$F$18+(SUMPRODUCT($E$30:$E$32,$M$42:$M$44)*$R28)+(MIN($J27,$R28)*$E$33)+('Incremental Rev Req'!$F$87*$R28)</f>
        <v>86.911488494334904</v>
      </c>
      <c r="I53" s="159">
        <f>$F$18+(SUMPRODUCT($F$25:$F$27,$L$42:$L$44)*$Q28)+(MIN($I27,$Q28)*$F$28)+('Incremental Rev Req'!$F$87*$Q28)</f>
        <v>203.95841642114377</v>
      </c>
      <c r="J53" s="159">
        <f>$F$18+(SUMPRODUCT($F$30:$F$32,$M$42:$M$44)*$R28)+(MIN($J27,$R28)*$F$33)+('Incremental Rev Req'!$F$87*$R28)</f>
        <v>96.093572258310147</v>
      </c>
      <c r="M53" s="141" t="s">
        <v>222</v>
      </c>
      <c r="N53" s="159">
        <f>$F$18+(SUMPRODUCT($C$25:$C$27,$I$42:$I$44)*$Q36)+(MIN($L27,$Q36)*$C$28)+('Incremental Rev Req'!$F$87*$Q36)</f>
        <v>161.6575743002756</v>
      </c>
      <c r="O53" s="159">
        <f>$F$18+(SUMPRODUCT($C$30:$C$32,$J$42:$J$44)*$R36)+(MIN($M27,$R36)*$C$33)+('Incremental Rev Req'!$F$87*$R36)</f>
        <v>97.896621670017296</v>
      </c>
      <c r="P53" s="159">
        <f>$F$18+(SUMPRODUCT($D$25:$D$27,$L$42:$L$44)*$Q36)+(MIN($L27,$Q36)*$D$28)+('Incremental Rev Req'!$F$87*$Q36)</f>
        <v>162.01306688167162</v>
      </c>
      <c r="Q53" s="159">
        <f>$F$18+(SUMPRODUCT($D$30:$D$32,$M$42:$M$44)*$R36)+(MIN($M27,$R36)*$D$33)+('Incremental Rev Req'!$F$87*$R36)</f>
        <v>98.172632446831884</v>
      </c>
      <c r="R53" s="159">
        <f>$F$18+(SUMPRODUCT($E$25:$E$27,$L$42:$L$44)*$Q36)+(MIN($L27,$Q36)*$E$28)+('Incremental Rev Req'!$F$87*$Q36)</f>
        <v>160.14850782479868</v>
      </c>
      <c r="S53" s="159">
        <f>$F$18+(SUMPRODUCT($E$30:$E$32,$M$42:$M$44)*$R36)+(MIN($M27,$R36)*$E$33)+('Incremental Rev Req'!$F$87*$R36)</f>
        <v>97.169216221247339</v>
      </c>
      <c r="T53" s="159">
        <f>$F$18+(SUMPRODUCT($F$25:$F$27,$L$42:$L$44)*$Q36)+(MIN($L27,$Q36)*$F$28)+('Incremental Rev Req'!$F$87*$Q36)</f>
        <v>179.98407033539897</v>
      </c>
      <c r="U53" s="159">
        <f>$F$18+(SUMPRODUCT($F$30:$F$32,$M$42:$M$44)*$R36)+(MIN($M27,$R36)*$F$33)+('Incremental Rev Req'!$F$87*$R36)</f>
        <v>107.84376428308939</v>
      </c>
      <c r="X53" s="499"/>
      <c r="Y53" s="499"/>
      <c r="Z53" s="499"/>
      <c r="AA53" s="499"/>
      <c r="AB53" s="499"/>
      <c r="AC53" s="499"/>
      <c r="AD53" s="499"/>
      <c r="AE53" s="499"/>
      <c r="AF53" s="499"/>
      <c r="AG53" s="499"/>
      <c r="AH53" s="499"/>
      <c r="AI53" s="499"/>
    </row>
    <row r="54" spans="2:35">
      <c r="B54" s="144" t="s">
        <v>224</v>
      </c>
      <c r="C54" s="159">
        <f>$F$18+(SUMPRODUCT($C$25:$C$27,$I$42:$I$44)*$Q29)+(MIN($I28,$Q29)*$C$28)+('Incremental Rev Req'!$F$87*$Q29)</f>
        <v>152.73872767382142</v>
      </c>
      <c r="D54" s="159">
        <f>$F$18+(SUMPRODUCT($C$30:$C$32,$J$42:$J$44)*$R29)+(MIN($J28,$R29)*$C$33)+('Incremental Rev Req'!$F$87*$R29)</f>
        <v>137.05041963791609</v>
      </c>
      <c r="E54" s="159">
        <f>$F$18+(SUMPRODUCT($D$25:$D$27,$L$42:$L$44)*$Q29)+(MIN($I28,$Q29)*$D$28)+('Incremental Rev Req'!$F$87*$Q29)</f>
        <v>153.07122078982817</v>
      </c>
      <c r="F54" s="159">
        <f>$F$18+(SUMPRODUCT($D$30:$D$32,$M$42:$M$44)*$R29)+(MIN($J28,$R29)*$D$33)+('Incremental Rev Req'!$F$87*$R29)</f>
        <v>137.47228447562517</v>
      </c>
      <c r="G54" s="159">
        <f>$F$18+(SUMPRODUCT($E$25:$E$27,$L$42:$L$44)*$Q29)+(MIN($I28,$Q29)*$E$28)+('Incremental Rev Req'!$F$87*$Q29)</f>
        <v>151.32729395916468</v>
      </c>
      <c r="H54" s="159">
        <f>$F$18+(SUMPRODUCT($E$30:$E$32,$M$42:$M$44)*$R29)+(MIN($J28,$R29)*$E$33)+('Incremental Rev Req'!$F$87*$R29)</f>
        <v>135.93862688425776</v>
      </c>
      <c r="I54" s="159">
        <f>$F$18+(SUMPRODUCT($F$25:$F$27,$L$42:$L$44)*$Q29)+(MIN($I28,$Q29)*$F$28)+('Incremental Rev Req'!$F$87*$Q29)</f>
        <v>169.87954605117051</v>
      </c>
      <c r="J54" s="159">
        <f>$F$18+(SUMPRODUCT($F$30:$F$32,$M$42:$M$44)*$R29)+(MIN($J28,$R29)*$F$33)+('Incremental Rev Req'!$F$87*$R29)</f>
        <v>152.25399158739847</v>
      </c>
      <c r="M54" s="144" t="s">
        <v>224</v>
      </c>
      <c r="N54" s="159">
        <f>$F$18+(SUMPRODUCT($C$25:$C$27,$I$42:$I$44)*$Q37)+(MIN($L28,$Q37)*$C$28)+('Incremental Rev Req'!$F$87*$Q37)</f>
        <v>155.07939666609855</v>
      </c>
      <c r="O54" s="159">
        <f>$F$18+(SUMPRODUCT($C$30:$C$32,$J$42:$J$44)*$R37)+(MIN($M28,$R37)*$C$33)+('Incremental Rev Req'!$F$87*$R37)</f>
        <v>159.68876226135694</v>
      </c>
      <c r="P54" s="159">
        <f>$F$18+(SUMPRODUCT($D$25:$D$27,$L$42:$L$44)*$Q37)+(MIN($L28,$Q37)*$D$28)+('Incremental Rev Req'!$F$87*$Q37)</f>
        <v>155.4179257795532</v>
      </c>
      <c r="Q54" s="159">
        <f>$F$18+(SUMPRODUCT($D$30:$D$32,$M$42:$M$44)*$R37)+(MIN($M28,$R37)*$D$33)+('Incremental Rev Req'!$F$87*$R37)</f>
        <v>160.19495848899297</v>
      </c>
      <c r="R54" s="159">
        <f>$F$18+(SUMPRODUCT($E$25:$E$27,$L$42:$L$44)*$Q37)+(MIN($L28,$Q37)*$E$28)+('Incremental Rev Req'!$F$87*$Q37)</f>
        <v>153.6423401343385</v>
      </c>
      <c r="S54" s="159">
        <f>$F$18+(SUMPRODUCT($E$30:$E$32,$M$42:$M$44)*$R37)+(MIN($M28,$R37)*$E$33)+('Incremental Rev Req'!$F$87*$R37)</f>
        <v>158.35472053161462</v>
      </c>
      <c r="T54" s="159">
        <f>$F$18+(SUMPRODUCT($F$25:$F$27,$L$42:$L$44)*$Q37)+(MIN($L28,$Q37)*$F$28)+('Incremental Rev Req'!$F$87*$Q37)</f>
        <v>172.53138520306854</v>
      </c>
      <c r="U54" s="159">
        <f>$F$18+(SUMPRODUCT($F$30:$F$32,$M$42:$M$44)*$R37)+(MIN($M28,$R37)*$F$33)+('Incremental Rev Req'!$F$87*$R37)</f>
        <v>177.93155018654429</v>
      </c>
      <c r="X54" s="499"/>
      <c r="Y54" s="499"/>
      <c r="Z54" s="499"/>
      <c r="AA54" s="499"/>
      <c r="AB54" s="499"/>
      <c r="AC54" s="499"/>
      <c r="AD54" s="499"/>
      <c r="AE54" s="499"/>
      <c r="AF54" s="499"/>
      <c r="AG54" s="499"/>
      <c r="AH54" s="499"/>
      <c r="AI54" s="499"/>
    </row>
    <row r="55" spans="2:35" s="10" customFormat="1">
      <c r="B55" s="6" t="s">
        <v>112</v>
      </c>
      <c r="C55" s="157">
        <f t="shared" ref="C55:J55" si="26">SUMPRODUCT(C51:C54,$U$26:$U$29)</f>
        <v>155.09977699263655</v>
      </c>
      <c r="D55" s="157">
        <f t="shared" si="26"/>
        <v>146.04052408719105</v>
      </c>
      <c r="E55" s="157">
        <f t="shared" si="26"/>
        <v>155.43835866183466</v>
      </c>
      <c r="F55" s="157">
        <f t="shared" si="26"/>
        <v>146.49587847916681</v>
      </c>
      <c r="G55" s="157">
        <f t="shared" si="26"/>
        <v>153.66249736167663</v>
      </c>
      <c r="H55" s="157">
        <f t="shared" si="26"/>
        <v>144.8404721556426</v>
      </c>
      <c r="I55" s="157">
        <f t="shared" si="26"/>
        <v>172.55447490435489</v>
      </c>
      <c r="J55" s="157">
        <f t="shared" si="26"/>
        <v>162.45102489714583</v>
      </c>
      <c r="M55" s="6" t="s">
        <v>112</v>
      </c>
      <c r="N55" s="157">
        <f>SUMPRODUCT(N51:N54,$U$34:$U$37)</f>
        <v>147.62197190577433</v>
      </c>
      <c r="O55" s="157">
        <f t="shared" ref="O55:U55" si="27">SUMPRODUCT(O51:O54,$U$34:$U$37)</f>
        <v>147.09735683045636</v>
      </c>
      <c r="P55" s="157">
        <f t="shared" si="27"/>
        <v>147.94452230488127</v>
      </c>
      <c r="Q55" s="157">
        <f t="shared" si="27"/>
        <v>147.55664809076399</v>
      </c>
      <c r="R55" s="157">
        <f t="shared" si="27"/>
        <v>146.2696555687813</v>
      </c>
      <c r="S55" s="157">
        <f t="shared" si="27"/>
        <v>145.88692958128905</v>
      </c>
      <c r="T55" s="157">
        <f t="shared" si="27"/>
        <v>164.08723217938933</v>
      </c>
      <c r="U55" s="157">
        <f t="shared" si="27"/>
        <v>163.6497382988324</v>
      </c>
      <c r="X55" s="499"/>
      <c r="Y55" s="499"/>
      <c r="Z55" s="499"/>
      <c r="AA55" s="499"/>
      <c r="AB55" s="499"/>
      <c r="AC55" s="499"/>
      <c r="AD55" s="499"/>
      <c r="AE55" s="499"/>
      <c r="AF55" s="499"/>
      <c r="AG55" s="499"/>
      <c r="AH55" s="499"/>
      <c r="AI55" s="499"/>
    </row>
    <row r="56" spans="2:35">
      <c r="B56" s="7"/>
      <c r="C56" s="143"/>
      <c r="D56" s="143"/>
      <c r="E56" s="158"/>
      <c r="F56" s="146"/>
      <c r="G56" s="147"/>
      <c r="H56" s="147"/>
      <c r="I56" s="147"/>
      <c r="J56" s="147"/>
      <c r="M56" s="7"/>
      <c r="N56" s="143"/>
      <c r="O56" s="143"/>
      <c r="P56" s="158"/>
      <c r="Q56" s="146"/>
      <c r="R56" s="147"/>
      <c r="S56" s="147"/>
      <c r="T56" s="147"/>
      <c r="U56" s="147"/>
      <c r="X56" s="10"/>
      <c r="Y56" s="10"/>
      <c r="Z56" s="10"/>
      <c r="AA56" s="10"/>
    </row>
    <row r="57" spans="2:35">
      <c r="B57" s="7"/>
      <c r="C57" s="143"/>
      <c r="D57" s="143"/>
      <c r="E57" s="158"/>
      <c r="F57" s="143"/>
      <c r="G57" s="147"/>
      <c r="H57" s="147"/>
      <c r="I57" s="147"/>
      <c r="J57" s="147"/>
      <c r="M57" s="7"/>
      <c r="N57" s="143"/>
      <c r="O57" s="143"/>
      <c r="P57" s="158"/>
      <c r="Q57" s="143"/>
      <c r="R57" s="147"/>
      <c r="S57" s="147"/>
      <c r="T57" s="147"/>
      <c r="U57" s="147"/>
    </row>
    <row r="58" spans="2:35">
      <c r="B58" s="7"/>
      <c r="C58" s="461" t="s">
        <v>513</v>
      </c>
      <c r="D58" s="461"/>
      <c r="E58" s="461"/>
      <c r="F58" s="461"/>
      <c r="G58" s="461"/>
      <c r="H58" s="461"/>
      <c r="I58" s="461"/>
      <c r="J58" s="461"/>
      <c r="M58" s="7"/>
      <c r="N58" s="461" t="s">
        <v>514</v>
      </c>
      <c r="O58" s="461"/>
      <c r="P58" s="461"/>
      <c r="Q58" s="461"/>
      <c r="R58" s="461"/>
      <c r="S58" s="461"/>
      <c r="T58" s="461"/>
      <c r="U58" s="461"/>
    </row>
    <row r="59" spans="2:35">
      <c r="B59" s="7"/>
      <c r="C59" s="863" t="str">
        <f>C36</f>
        <v>6/1/2026</v>
      </c>
      <c r="D59" s="863"/>
      <c r="E59" s="864" t="str">
        <f>D36</f>
        <v>8/1/2026</v>
      </c>
      <c r="F59" s="863"/>
      <c r="G59" s="863" t="str">
        <f>E36</f>
        <v>Authorized</v>
      </c>
      <c r="H59" s="863"/>
      <c r="I59" s="864" t="str">
        <f>F36</f>
        <v>w/Pending</v>
      </c>
      <c r="J59" s="863"/>
      <c r="M59" s="7"/>
      <c r="N59" s="863" t="str">
        <f>N49</f>
        <v>6/1/2026</v>
      </c>
      <c r="O59" s="863"/>
      <c r="P59" s="864" t="str">
        <f>P49</f>
        <v>8/1/2026</v>
      </c>
      <c r="Q59" s="863"/>
      <c r="R59" s="863" t="str">
        <f>R49</f>
        <v>Authorized</v>
      </c>
      <c r="S59" s="863"/>
      <c r="T59" s="864" t="str">
        <f>T49</f>
        <v>w/Pending</v>
      </c>
      <c r="U59" s="863"/>
      <c r="AD59" s="10"/>
      <c r="AE59" s="10"/>
    </row>
    <row r="60" spans="2:35">
      <c r="B60" s="7"/>
      <c r="C60" s="143" t="s">
        <v>192</v>
      </c>
      <c r="D60" s="143" t="s">
        <v>193</v>
      </c>
      <c r="E60" s="143" t="s">
        <v>192</v>
      </c>
      <c r="F60" s="143" t="s">
        <v>193</v>
      </c>
      <c r="G60" s="143" t="s">
        <v>192</v>
      </c>
      <c r="H60" s="143" t="s">
        <v>193</v>
      </c>
      <c r="I60" s="143" t="s">
        <v>192</v>
      </c>
      <c r="J60" s="143" t="s">
        <v>193</v>
      </c>
      <c r="M60" s="7"/>
      <c r="N60" s="143" t="s">
        <v>192</v>
      </c>
      <c r="O60" s="143" t="s">
        <v>193</v>
      </c>
      <c r="P60" s="143" t="s">
        <v>192</v>
      </c>
      <c r="Q60" s="143" t="s">
        <v>193</v>
      </c>
      <c r="R60" s="143" t="s">
        <v>192</v>
      </c>
      <c r="S60" s="143" t="s">
        <v>193</v>
      </c>
      <c r="T60" s="143" t="s">
        <v>192</v>
      </c>
      <c r="U60" s="143" t="s">
        <v>193</v>
      </c>
      <c r="AB60" s="10"/>
      <c r="AC60" s="10"/>
    </row>
    <row r="61" spans="2:35">
      <c r="B61" s="138" t="s">
        <v>223</v>
      </c>
      <c r="C61" s="159">
        <f>$Q$18+(SUMPRODUCT($C$37:$C$39,$Q$42:$Q$44)*$S26)+(MIN($I25,$S26)*$C$40)+('Incremental Rev Req'!$F$87*$S26)</f>
        <v>86.143669237060564</v>
      </c>
      <c r="D61" s="159">
        <f>$Q$18+(SUMPRODUCT($C$42:$C$44,$R$42:$R$44)*$T26)+(MIN($J25,$T26)*$C$45)+('Incremental Rev Req'!$F$87*$T26)</f>
        <v>83.289661196130766</v>
      </c>
      <c r="E61" s="159">
        <f>$Q$18+(SUMPRODUCT($D$37:$D$39,$T$42:$T$44)*$S26)+(MIN($I25,$S26)*$D$40)+('Incremental Rev Req'!$F$87*$S26)</f>
        <v>86.315381489035957</v>
      </c>
      <c r="F61" s="159">
        <f>$Q$18+(SUMPRODUCT($D$42:$D$44,$U$42:$U$44)*$T26)+(MIN($J25,$T26)*$D$45)+('Incremental Rev Req'!$F$87*$T26)</f>
        <v>83.566755729745381</v>
      </c>
      <c r="G61" s="159">
        <f>$Q$18+(SUMPRODUCT($E$37:$E$39,$T$42:$T$44)*$S26)+(MIN($I25,$S26)*$E$40)+('Incremental Rev Req'!$F$87*$S26)</f>
        <v>85.232424323962675</v>
      </c>
      <c r="H61" s="159">
        <f>$Q$18+(SUMPRODUCT($E$42:$E$44,$U$42:$U$44)*$T26)+(MIN($J25,$T26)*$E$45)+('Incremental Rev Req'!$F$87*$T26)</f>
        <v>82.520583934541293</v>
      </c>
      <c r="I61" s="159">
        <f>$Q$18+(SUMPRODUCT($F$37:$F$39,$T$42:$T$44)*$S26)+(MIN($I25,$S26)*$F$40)+('Incremental Rev Req'!$F$87*$S26)</f>
        <v>96.75314524987435</v>
      </c>
      <c r="J61" s="159">
        <f>$Q$18+(SUMPRODUCT($F$42:$F$44,$U$42:$U$44)*$T26)+(MIN($J25,$T26)*$F$45)+('Incremental Rev Req'!$F$87*$T26)</f>
        <v>93.649974534483178</v>
      </c>
      <c r="M61" s="138" t="s">
        <v>223</v>
      </c>
      <c r="N61" s="159">
        <f>$Q$18+(SUMPRODUCT($C$37:$C$39,$Q$42:$Q$44)*$S34)+(MIN($L25,$S34)*$C$40)+('Incremental Rev Req'!$F$87*$S34)</f>
        <v>81.406990269371661</v>
      </c>
      <c r="O61" s="159">
        <f>$Q$18+(SUMPRODUCT($C$42:$C$44,$R$42:$R$44)*$T34)+(MIN($M25,$T34)*$C$45)+('Incremental Rev Req'!$F$87*$T34)</f>
        <v>79.237171719306701</v>
      </c>
      <c r="P61" s="159">
        <f>$Q$18+(SUMPRODUCT($D$37:$D$39,$T$42:$T$44)*$S34)+(MIN($L25,$S34)*$D$40)+('Incremental Rev Req'!$F$87*$S34)</f>
        <v>81.574491972829762</v>
      </c>
      <c r="Q61" s="159">
        <f>$Q$18+(SUMPRODUCT($D$42:$D$44,$U$42:$U$44)*$T34)+(MIN($M25,$T34)*$D$45)+('Incremental Rev Req'!$F$87*$T34)</f>
        <v>79.49975366313609</v>
      </c>
      <c r="R61" s="159">
        <f>$Q$18+(SUMPRODUCT($E$37:$E$39,$T$42:$T$44)*$S34)+(MIN($L25,$S34)*$E$40)+('Incremental Rev Req'!$F$87*$S34)</f>
        <v>80.555166913713521</v>
      </c>
      <c r="S61" s="159">
        <f>$Q$18+(SUMPRODUCT($E$42:$E$44,$U$42:$U$44)*$T34)+(MIN($M25,$T34)*$E$45)+('Incremental Rev Req'!$F$87*$T34)</f>
        <v>78.508374223127944</v>
      </c>
      <c r="T61" s="159">
        <f>$Q$18+(SUMPRODUCT($F$37:$F$39,$T$42:$T$44)*$S34)+(MIN($L25,$S34)*$F$40)+('Incremental Rev Req'!$F$87*$S34)</f>
        <v>91.398956416756249</v>
      </c>
      <c r="U61" s="159">
        <f>$Q$18+(SUMPRODUCT($F$42:$F$44,$U$42:$U$44)*$T34)+(MIN($M25,$T34)*$F$45)+('Incremental Rev Req'!$F$87*$T34)</f>
        <v>89.05487248582476</v>
      </c>
      <c r="X61" s="499"/>
      <c r="Y61" s="499"/>
      <c r="Z61" s="499"/>
      <c r="AA61" s="499"/>
      <c r="AB61" s="499"/>
      <c r="AC61" s="499"/>
      <c r="AD61" s="499"/>
      <c r="AE61" s="499"/>
      <c r="AF61" s="499"/>
      <c r="AG61" s="499"/>
      <c r="AH61" s="499"/>
      <c r="AI61" s="499"/>
    </row>
    <row r="62" spans="2:35">
      <c r="B62" s="141" t="s">
        <v>225</v>
      </c>
      <c r="C62" s="159">
        <f>$Q$18+(SUMPRODUCT($C$37:$C$39,$Q$42:$Q$44)*$S27)+(MIN($I26,$S27)*$C$40)+('Incremental Rev Req'!$F$87*$S27)</f>
        <v>155.56359611083886</v>
      </c>
      <c r="D62" s="159">
        <f>$Q$18+(SUMPRODUCT($C$42:$C$44,$R$42:$R$44)*$T27)+(MIN($J26,$T27)*$C$45)+('Incremental Rev Req'!$F$87*$T27)</f>
        <v>145.99934681425452</v>
      </c>
      <c r="E62" s="159">
        <f>$Q$18+(SUMPRODUCT($D$37:$D$39,$T$42:$T$44)*$S27)+(MIN($I26,$S27)*$D$40)+('Incremental Rev Req'!$F$87*$S27)</f>
        <v>155.89055639195644</v>
      </c>
      <c r="F62" s="159">
        <f>$Q$18+(SUMPRODUCT($D$42:$D$44,$U$42:$U$44)*$T27)+(MIN($J26,$T27)*$D$45)+('Incremental Rev Req'!$F$87*$T27)</f>
        <v>146.50107245181454</v>
      </c>
      <c r="G62" s="159">
        <f>$Q$18+(SUMPRODUCT($E$37:$E$39,$T$42:$T$44)*$S27)+(MIN($I26,$S27)*$E$40)+('Incremental Rev Req'!$F$87*$S27)</f>
        <v>153.87021267155416</v>
      </c>
      <c r="H62" s="159">
        <f>$Q$18+(SUMPRODUCT($E$42:$E$44,$U$42:$U$44)*$T27)+(MIN($J26,$T27)*$E$45)+('Incremental Rev Req'!$F$87*$T27)</f>
        <v>144.60690510828996</v>
      </c>
      <c r="I62" s="159">
        <f>$Q$18+(SUMPRODUCT($F$37:$F$39,$T$42:$T$44)*$S27)+(MIN($I26,$S27)*$F$40)+('Incremental Rev Req'!$F$87*$S27)</f>
        <v>175.36304445460812</v>
      </c>
      <c r="J62" s="159">
        <f>$Q$18+(SUMPRODUCT($F$42:$F$44,$U$42:$U$44)*$T27)+(MIN($J26,$T27)*$F$45)+('Incremental Rev Req'!$F$87*$T27)</f>
        <v>164.75744665832937</v>
      </c>
      <c r="M62" s="141" t="s">
        <v>225</v>
      </c>
      <c r="N62" s="159">
        <f>$Q$18+(SUMPRODUCT($C$37:$C$39,$Q$42:$Q$44)*$S35)+(MIN($L26,$S35)*$C$40)+('Incremental Rev Req'!$F$87*$S35)</f>
        <v>157.08068014221934</v>
      </c>
      <c r="O62" s="159">
        <f>$Q$18+(SUMPRODUCT($C$42:$C$44,$R$42:$R$44)*$T35)+(MIN($M26,$T35)*$C$45)+('Incremental Rev Req'!$F$87*$T35)</f>
        <v>183.90849154284231</v>
      </c>
      <c r="P62" s="159">
        <f>$Q$18+(SUMPRODUCT($D$37:$D$39,$T$42:$T$44)*$S35)+(MIN($L26,$S35)*$D$40)+('Incremental Rev Req'!$F$87*$S35)</f>
        <v>157.40639428103532</v>
      </c>
      <c r="Q62" s="159">
        <f>$Q$18+(SUMPRODUCT($D$42:$D$44,$U$42:$U$44)*$T35)+(MIN($M26,$T35)*$D$45)+('Incremental Rev Req'!$F$87*$T35)</f>
        <v>184.54591762521028</v>
      </c>
      <c r="R62" s="159">
        <f>$Q$18+(SUMPRODUCT($E$37:$E$39,$T$42:$T$44)*$S35)+(MIN($L26,$S35)*$E$40)+('Incremental Rev Req'!$F$87*$S35)</f>
        <v>155.36580350157149</v>
      </c>
      <c r="S62" s="159">
        <f>$Q$18+(SUMPRODUCT($E$42:$E$44,$U$42:$U$44)*$T35)+(MIN($M26,$T35)*$E$45)+('Incremental Rev Req'!$F$87*$T35)</f>
        <v>182.13931226854069</v>
      </c>
      <c r="T62" s="159">
        <f>$Q$18+(SUMPRODUCT($F$37:$F$39,$T$42:$T$44)*$S35)+(MIN($L26,$S35)*$F$40)+('Incremental Rev Req'!$F$87*$S35)</f>
        <v>177.07402766074253</v>
      </c>
      <c r="U62" s="159">
        <f>$Q$18+(SUMPRODUCT($F$42:$F$44,$U$42:$U$44)*$T35)+(MIN($M26,$T35)*$F$45)+('Incremental Rev Req'!$F$87*$T35)</f>
        <v>207.74127473500445</v>
      </c>
      <c r="X62" s="499"/>
      <c r="Y62" s="499"/>
      <c r="Z62" s="499"/>
      <c r="AA62" s="499"/>
      <c r="AB62" s="499"/>
      <c r="AC62" s="499"/>
      <c r="AD62" s="499"/>
      <c r="AE62" s="499"/>
      <c r="AF62" s="499"/>
      <c r="AG62" s="499"/>
      <c r="AH62" s="499"/>
      <c r="AI62" s="499"/>
    </row>
    <row r="63" spans="2:35">
      <c r="B63" s="141" t="s">
        <v>222</v>
      </c>
      <c r="C63" s="159">
        <f>$Q$18+(SUMPRODUCT($C$37:$C$39,$Q$42:$Q$44)*$S28)+(MIN($I27,$S28)*$C$40)+('Incremental Rev Req'!$F$87*$S28)</f>
        <v>166.77561324023168</v>
      </c>
      <c r="D63" s="159">
        <f>$Q$18+(SUMPRODUCT($C$42:$C$44,$R$42:$R$44)*$T28)+(MIN($J27,$T28)*$C$45)+('Incremental Rev Req'!$F$87*$T28)</f>
        <v>88.516195084699461</v>
      </c>
      <c r="E63" s="159">
        <f>$Q$18+(SUMPRODUCT($D$37:$D$39,$T$42:$T$44)*$S28)+(MIN($I27,$S28)*$D$40)+('Incremental Rev Req'!$F$87*$S28)</f>
        <v>167.12308978882422</v>
      </c>
      <c r="F63" s="159">
        <f>$Q$18+(SUMPRODUCT($D$42:$D$44,$U$42:$U$44)*$T28)+(MIN($J27,$T28)*$D$45)+('Incremental Rev Req'!$F$87*$T28)</f>
        <v>88.812006642197076</v>
      </c>
      <c r="G63" s="159">
        <f>$Q$18+(SUMPRODUCT($E$37:$E$39,$T$42:$T$44)*$S28)+(MIN($I27,$S28)*$E$40)+('Incremental Rev Req'!$F$87*$S28)</f>
        <v>164.95158286791147</v>
      </c>
      <c r="H63" s="159">
        <f>$Q$18+(SUMPRODUCT($E$42:$E$44,$U$42:$U$44)*$T28)+(MIN($J27,$T28)*$E$45)+('Incremental Rev Req'!$F$87*$T28)</f>
        <v>87.695168629867979</v>
      </c>
      <c r="I63" s="159">
        <f>$Q$18+(SUMPRODUCT($F$37:$F$39,$T$42:$T$44)*$S28)+(MIN($I27,$S28)*$F$40)+('Incremental Rev Req'!$F$87*$S28)</f>
        <v>188.05251984987279</v>
      </c>
      <c r="J63" s="159">
        <f>$Q$18+(SUMPRODUCT($F$42:$F$44,$U$42:$U$44)*$T28)+(MIN($J27,$T28)*$F$45)+('Incremental Rev Req'!$F$87*$T28)</f>
        <v>99.576320973158289</v>
      </c>
      <c r="M63" s="141" t="s">
        <v>222</v>
      </c>
      <c r="N63" s="159">
        <f>$Q$18+(SUMPRODUCT($C$37:$C$39,$Q$42:$Q$44)*$S36)+(MIN($L27,$S36)*$C$40)+('Incremental Rev Req'!$F$87*$S36)</f>
        <v>181.23590819647563</v>
      </c>
      <c r="O63" s="159">
        <f>$Q$18+(SUMPRODUCT($C$42:$C$44,$R$42:$R$44)*$T36)+(MIN($M27,$T36)*$C$45)+('Incremental Rev Req'!$F$87*$T36)</f>
        <v>107.50648936317005</v>
      </c>
      <c r="P63" s="159">
        <f>$Q$18+(SUMPRODUCT($D$37:$D$39,$T$42:$T$44)*$S36)+(MIN($L27,$S36)*$D$40)+('Incremental Rev Req'!$F$87*$S36)</f>
        <v>181.61570724817852</v>
      </c>
      <c r="Q63" s="159">
        <f>$Q$18+(SUMPRODUCT($D$42:$D$44,$U$42:$U$44)*$T36)+(MIN($M27,$T36)*$D$45)+('Incremental Rev Req'!$F$87*$T36)</f>
        <v>107.87030809313295</v>
      </c>
      <c r="R63" s="159">
        <f>$Q$18+(SUMPRODUCT($E$37:$E$39,$T$42:$T$44)*$S36)+(MIN($L27,$S36)*$E$40)+('Incremental Rev Req'!$F$87*$S36)</f>
        <v>179.24894184975076</v>
      </c>
      <c r="S63" s="159">
        <f>$Q$18+(SUMPRODUCT($E$42:$E$44,$U$42:$U$44)*$T36)+(MIN($M27,$T36)*$E$45)+('Incremental Rev Req'!$F$87*$T36)</f>
        <v>106.49670866159917</v>
      </c>
      <c r="T63" s="159">
        <f>$Q$18+(SUMPRODUCT($F$37:$F$39,$T$42:$T$44)*$S36)+(MIN($L27,$S36)*$F$40)+('Incremental Rev Req'!$F$87*$S36)</f>
        <v>204.4270786512605</v>
      </c>
      <c r="U63" s="159">
        <f>$Q$18+(SUMPRODUCT($F$42:$F$44,$U$42:$U$44)*$T36)+(MIN($M27,$T36)*$F$45)+('Incremental Rev Req'!$F$87*$T36)</f>
        <v>121.10934176017683</v>
      </c>
      <c r="X63" s="499"/>
      <c r="Y63" s="499"/>
      <c r="Z63" s="499"/>
      <c r="AA63" s="499"/>
      <c r="AB63" s="499"/>
      <c r="AC63" s="499"/>
      <c r="AD63" s="499"/>
      <c r="AE63" s="499"/>
      <c r="AF63" s="499"/>
      <c r="AG63" s="499"/>
      <c r="AH63" s="499"/>
      <c r="AI63" s="499"/>
    </row>
    <row r="64" spans="2:35">
      <c r="B64" s="144" t="s">
        <v>224</v>
      </c>
      <c r="C64" s="159">
        <f>$Q$18+(SUMPRODUCT($C$37:$C$39,$Q$42:$Q$44)*$S29)+(MIN($I28,$S29)*$C$40)+('Incremental Rev Req'!$F$87*$S29)</f>
        <v>111.44357594638005</v>
      </c>
      <c r="D64" s="159">
        <f>$Q$18+(SUMPRODUCT($C$42:$C$44,$R$42:$R$44)*$T29)+(MIN($J28,$T29)*$C$45)+('Incremental Rev Req'!$F$87*$T29)</f>
        <v>93.95907375612336</v>
      </c>
      <c r="E64" s="159">
        <f>$Q$18+(SUMPRODUCT($D$37:$D$39,$T$42:$T$44)*$S29)+(MIN($I28,$S29)*$D$40)+('Incremental Rev Req'!$F$87*$S29)</f>
        <v>111.67158837150404</v>
      </c>
      <c r="F64" s="159">
        <f>$Q$18+(SUMPRODUCT($D$42:$D$44,$U$42:$U$44)*$T29)+(MIN($J28,$T29)*$D$45)+('Incremental Rev Req'!$F$87*$T29)</f>
        <v>94.274377101535762</v>
      </c>
      <c r="G64" s="159">
        <f>$Q$18+(SUMPRODUCT($E$37:$E$39,$T$42:$T$44)*$S29)+(MIN($I28,$S29)*$E$40)+('Incremental Rev Req'!$F$87*$S29)</f>
        <v>110.24701754563718</v>
      </c>
      <c r="H64" s="159">
        <f>$Q$18+(SUMPRODUCT($E$42:$E$44,$U$42:$U$44)*$T29)+(MIN($J28,$T29)*$E$45)+('Incremental Rev Req'!$F$87*$T29)</f>
        <v>93.083947746611287</v>
      </c>
      <c r="I64" s="159">
        <f>$Q$18+(SUMPRODUCT($F$37:$F$39,$T$42:$T$44)*$S29)+(MIN($I28,$S29)*$F$40)+('Incremental Rev Req'!$F$87*$S29)</f>
        <v>125.40189481439535</v>
      </c>
      <c r="J64" s="159">
        <f>$Q$18+(SUMPRODUCT($F$42:$F$44,$U$42:$U$44)*$T29)+(MIN($J28,$T29)*$F$45)+('Incremental Rev Req'!$F$87*$T29)</f>
        <v>105.7479799192686</v>
      </c>
      <c r="M64" s="144" t="s">
        <v>224</v>
      </c>
      <c r="N64" s="159">
        <f>$Q$18+(SUMPRODUCT($C$37:$C$39,$Q$42:$Q$44)*$S37)+(MIN($L28,$S37)*$C$40)+('Incremental Rev Req'!$F$87*$S37)</f>
        <v>104.39387292029635</v>
      </c>
      <c r="O64" s="159">
        <f>$Q$18+(SUMPRODUCT($C$42:$C$44,$R$42:$R$44)*$T37)+(MIN($M28,$T37)*$C$45)+('Incremental Rev Req'!$F$87*$T37)</f>
        <v>95.043991166965654</v>
      </c>
      <c r="P64" s="159">
        <f>$Q$18+(SUMPRODUCT($D$37:$D$39,$T$42:$T$44)*$S37)+(MIN($L28,$S37)*$D$40)+('Incremental Rev Req'!$F$87*$S37)</f>
        <v>104.60965116152892</v>
      </c>
      <c r="Q64" s="159">
        <f>$Q$18+(SUMPRODUCT($D$42:$D$44,$U$42:$U$44)*$T37)+(MIN($M28,$T37)*$D$45)+('Incremental Rev Req'!$F$87*$T37)</f>
        <v>95.363179768940569</v>
      </c>
      <c r="R64" s="159">
        <f>$Q$18+(SUMPRODUCT($E$37:$E$39,$T$42:$T$44)*$S37)+(MIN($L28,$S37)*$E$40)+('Incremental Rev Req'!$F$87*$S37)</f>
        <v>103.28009198263339</v>
      </c>
      <c r="S64" s="159">
        <f>$Q$18+(SUMPRODUCT($E$42:$E$44,$U$42:$U$44)*$T37)+(MIN($M28,$T37)*$E$45)+('Incremental Rev Req'!$F$87*$T37)</f>
        <v>94.158081608465068</v>
      </c>
      <c r="T64" s="159">
        <f>$Q$18+(SUMPRODUCT($F$37:$F$39,$T$42:$T$44)*$S37)+(MIN($L28,$S37)*$F$40)+('Incremental Rev Req'!$F$87*$S37)</f>
        <v>117.42421582108936</v>
      </c>
      <c r="U64" s="159">
        <f>$Q$18+(SUMPRODUCT($F$42:$F$44,$U$42:$U$44)*$T37)+(MIN($M28,$T37)*$F$45)+('Incremental Rev Req'!$F$87*$T37)</f>
        <v>106.97816354977455</v>
      </c>
      <c r="X64" s="499"/>
      <c r="Y64" s="499"/>
      <c r="Z64" s="499"/>
      <c r="AA64" s="499"/>
      <c r="AB64" s="499"/>
      <c r="AC64" s="499"/>
      <c r="AD64" s="499"/>
      <c r="AE64" s="499"/>
      <c r="AF64" s="499"/>
      <c r="AG64" s="499"/>
      <c r="AH64" s="499"/>
      <c r="AI64" s="499"/>
    </row>
    <row r="65" spans="2:35">
      <c r="B65" s="6" t="s">
        <v>112</v>
      </c>
      <c r="C65" s="157">
        <f t="shared" ref="C65:J65" si="28">SUMPRODUCT(C61:C64,$V$26:$V$29)</f>
        <v>99.218644578981781</v>
      </c>
      <c r="D65" s="157">
        <f t="shared" si="28"/>
        <v>89.025031796031385</v>
      </c>
      <c r="E65" s="157">
        <f t="shared" si="28"/>
        <v>99.419453184861766</v>
      </c>
      <c r="F65" s="157">
        <f t="shared" si="28"/>
        <v>89.322666037463932</v>
      </c>
      <c r="G65" s="157">
        <f t="shared" si="28"/>
        <v>98.15995027826078</v>
      </c>
      <c r="H65" s="157">
        <f t="shared" si="28"/>
        <v>88.198947269774635</v>
      </c>
      <c r="I65" s="157">
        <f t="shared" si="28"/>
        <v>111.55880109185027</v>
      </c>
      <c r="J65" s="157">
        <f t="shared" si="28"/>
        <v>100.1532985029388</v>
      </c>
      <c r="M65" s="6" t="s">
        <v>112</v>
      </c>
      <c r="N65" s="157">
        <f>SUMPRODUCT(N61:N64,$V$34:$V$37)</f>
        <v>95.134995981151519</v>
      </c>
      <c r="O65" s="157">
        <f t="shared" ref="O65:U65" si="29">SUMPRODUCT(O61:O64,$V$34:$V$37)</f>
        <v>89.28193217673342</v>
      </c>
      <c r="P65" s="157">
        <f t="shared" si="29"/>
        <v>95.33132846224629</v>
      </c>
      <c r="Q65" s="157">
        <f t="shared" si="29"/>
        <v>89.580485956848406</v>
      </c>
      <c r="R65" s="157">
        <f t="shared" si="29"/>
        <v>94.126728380248053</v>
      </c>
      <c r="S65" s="157">
        <f t="shared" si="29"/>
        <v>88.453294669335406</v>
      </c>
      <c r="T65" s="157">
        <f t="shared" si="29"/>
        <v>106.94151166033564</v>
      </c>
      <c r="U65" s="157">
        <f t="shared" si="29"/>
        <v>100.44458728216708</v>
      </c>
      <c r="X65" s="499"/>
      <c r="Y65" s="499"/>
      <c r="Z65" s="499"/>
      <c r="AA65" s="499"/>
      <c r="AB65" s="499"/>
      <c r="AC65" s="499"/>
      <c r="AD65" s="499"/>
      <c r="AE65" s="499"/>
      <c r="AF65" s="499"/>
      <c r="AG65" s="499"/>
      <c r="AH65" s="499"/>
      <c r="AI65" s="499"/>
    </row>
    <row r="66" spans="2:35">
      <c r="B66" s="7"/>
      <c r="C66" s="143"/>
      <c r="D66" s="143"/>
      <c r="E66" s="158"/>
      <c r="F66" s="143"/>
      <c r="G66" s="147"/>
      <c r="H66" s="147"/>
      <c r="I66" s="147"/>
      <c r="J66" s="147"/>
      <c r="M66" s="7"/>
      <c r="N66" s="143"/>
      <c r="O66" s="143"/>
      <c r="P66" s="158"/>
      <c r="Q66" s="143"/>
      <c r="R66" s="147"/>
      <c r="S66" s="147"/>
      <c r="T66" s="147"/>
      <c r="U66" s="147"/>
    </row>
    <row r="67" spans="2:35">
      <c r="B67" s="7"/>
      <c r="C67" s="8"/>
      <c r="D67" s="8"/>
      <c r="E67" s="9"/>
      <c r="G67" s="147"/>
      <c r="H67" s="147"/>
      <c r="I67" s="147"/>
      <c r="M67" s="7"/>
      <c r="N67" s="8"/>
      <c r="O67" s="8"/>
      <c r="P67" s="9"/>
      <c r="R67" s="147"/>
      <c r="S67" s="147"/>
      <c r="T67" s="147"/>
    </row>
    <row r="68" spans="2:35">
      <c r="B68" s="7"/>
      <c r="C68" s="865" t="s">
        <v>284</v>
      </c>
      <c r="D68" s="865"/>
      <c r="E68" s="865"/>
      <c r="F68" s="865"/>
      <c r="G68" s="865"/>
      <c r="H68" s="865"/>
      <c r="I68" s="865"/>
      <c r="J68" s="865"/>
      <c r="M68" s="7"/>
      <c r="N68" s="865" t="s">
        <v>273</v>
      </c>
      <c r="O68" s="865"/>
      <c r="P68" s="865"/>
      <c r="Q68" s="865"/>
      <c r="R68" s="865"/>
      <c r="S68" s="865"/>
      <c r="T68" s="865"/>
      <c r="U68" s="865"/>
    </row>
    <row r="69" spans="2:35">
      <c r="B69" s="7"/>
      <c r="C69" s="862" t="str">
        <f>C59</f>
        <v>6/1/2026</v>
      </c>
      <c r="D69" s="862"/>
      <c r="E69" s="861" t="str">
        <f>E59</f>
        <v>8/1/2026</v>
      </c>
      <c r="F69" s="862"/>
      <c r="G69" s="862" t="str">
        <f>G59</f>
        <v>Authorized</v>
      </c>
      <c r="H69" s="862"/>
      <c r="I69" s="861" t="str">
        <f>I59</f>
        <v>w/Pending</v>
      </c>
      <c r="J69" s="862"/>
      <c r="M69" s="7"/>
      <c r="N69" s="862" t="str">
        <f>N59</f>
        <v>6/1/2026</v>
      </c>
      <c r="O69" s="862"/>
      <c r="P69" s="861" t="str">
        <f>P59</f>
        <v>8/1/2026</v>
      </c>
      <c r="Q69" s="862"/>
      <c r="R69" s="862" t="str">
        <f>R59</f>
        <v>Authorized</v>
      </c>
      <c r="S69" s="862"/>
      <c r="T69" s="861" t="str">
        <f>T59</f>
        <v>w/Pending</v>
      </c>
      <c r="U69" s="862"/>
    </row>
    <row r="70" spans="2:35">
      <c r="B70" s="7"/>
      <c r="C70" s="8" t="s">
        <v>192</v>
      </c>
      <c r="D70" s="8" t="s">
        <v>193</v>
      </c>
      <c r="E70" s="8" t="s">
        <v>192</v>
      </c>
      <c r="F70" s="8" t="s">
        <v>193</v>
      </c>
      <c r="G70" s="8" t="s">
        <v>192</v>
      </c>
      <c r="H70" s="8" t="s">
        <v>193</v>
      </c>
      <c r="I70" s="8" t="s">
        <v>192</v>
      </c>
      <c r="J70" s="8" t="s">
        <v>193</v>
      </c>
      <c r="M70" s="7"/>
      <c r="N70" s="8" t="s">
        <v>192</v>
      </c>
      <c r="O70" s="8" t="s">
        <v>193</v>
      </c>
      <c r="P70" s="8" t="s">
        <v>192</v>
      </c>
      <c r="Q70" s="8" t="s">
        <v>193</v>
      </c>
      <c r="R70" s="8" t="s">
        <v>192</v>
      </c>
      <c r="S70" s="8" t="s">
        <v>193</v>
      </c>
      <c r="T70" s="8" t="s">
        <v>192</v>
      </c>
      <c r="U70" s="8" t="s">
        <v>193</v>
      </c>
    </row>
    <row r="71" spans="2:35" ht="15" customHeight="1">
      <c r="B71" s="138" t="s">
        <v>223</v>
      </c>
      <c r="C71" s="159">
        <f>$F$18+(SUMPRODUCT($C$25:$C$27,$I$42:$I$44)*$I33)+(MIN($I25,$I33)*$C$28)+('Incremental Rev Req'!$F$87*$I33)</f>
        <v>130.87902361619899</v>
      </c>
      <c r="D71" s="159">
        <f>$F$18+(SUMPRODUCT($C$30:$C$32,$J$42:$J$44)*$J33)+(MIN($J25,$J33)*$C$33)+('Incremental Rev Req'!$F$87*$J33)</f>
        <v>138.22763918165973</v>
      </c>
      <c r="E71" s="159">
        <f>$F$18+(SUMPRODUCT($D$25:$D$27,$L$42:$L$44)*$I33)+(MIN($I25,$I33)*$D$28)+('Incremental Rev Req'!$F$87*$I33)</f>
        <v>131.15514604573147</v>
      </c>
      <c r="F71" s="159">
        <f>$F$18+(SUMPRODUCT($D$30:$D$32,$M$42:$M$44)*$J33)+(MIN($J25,$J33)*$D$33)+('Incremental Rev Req'!$F$87*$J33)</f>
        <v>138.65388934748336</v>
      </c>
      <c r="G71" s="159">
        <f>$F$18+(SUMPRODUCT($E$25:$E$27,$L$42:$L$44)*$I33)+(MIN($I25,$I33)*$E$28)+('Incremental Rev Req'!$F$87*$I33)</f>
        <v>129.70688353974961</v>
      </c>
      <c r="H71" s="159">
        <f>$F$18+(SUMPRODUCT($E$30:$E$32,$M$42:$M$44)*$J33)+(MIN($J25,$J33)*$E$33)+('Incremental Rev Req'!$F$87*$J33)</f>
        <v>137.10428922867038</v>
      </c>
      <c r="I71" s="159">
        <f>$F$18+(SUMPRODUCT($F$25:$F$27,$L$42:$L$44)*$I33)+(MIN($I25,$I33)*$F$28)+('Incremental Rev Req'!$F$87*$I33)</f>
        <v>145.11379777143941</v>
      </c>
      <c r="J71" s="159">
        <f>$F$18+(SUMPRODUCT($F$30:$F$32,$M$42:$M$44)*$J33)+(MIN($J25,$J33)*$F$33)+('Incremental Rev Req'!$F$87*$J33)</f>
        <v>153.58925381579309</v>
      </c>
      <c r="M71" s="138" t="s">
        <v>223</v>
      </c>
      <c r="N71" s="159">
        <f>$F$18+(SUMPRODUCT($C$25:$C$27,$I$42:$I$44)*$L33)+(MIN($L25,$L33)*$C$28)+('Incremental Rev Req'!$F$87*$L33)</f>
        <v>95.583560646414881</v>
      </c>
      <c r="O71" s="159">
        <f>$F$18+(SUMPRODUCT($C$30:$C$32,$J$42:$J$44)*$M33)+(MIN($M25,$M33)*$C$33)+('Incremental Rev Req'!$F$87*$M33)</f>
        <v>133.25265052158755</v>
      </c>
      <c r="P71" s="159">
        <f>$F$18+(SUMPRODUCT($D$25:$D$27,$L$42:$L$44)*$L33)+(MIN($L25,$L33)*$D$28)+('Incremental Rev Req'!$F$87*$L33)</f>
        <v>95.768664941768122</v>
      </c>
      <c r="Q71" s="159">
        <f>$F$18+(SUMPRODUCT($D$30:$D$32,$M$42:$M$44)*$M33)+(MIN($M25,$M33)*$D$33)+('Incremental Rev Req'!$F$87*$M33)</f>
        <v>133.66036807150581</v>
      </c>
      <c r="R71" s="159">
        <f>$F$18+(SUMPRODUCT($E$25:$E$27,$L$42:$L$44)*$L33)+(MIN($L25,$L33)*$E$28)+('Incremental Rev Req'!$F$87*$L33)</f>
        <v>94.797792669239556</v>
      </c>
      <c r="S71" s="159">
        <f>$F$18+(SUMPRODUCT($E$30:$E$32,$M$42:$M$44)*$M33)+(MIN($M25,$M33)*$E$33)+('Incremental Rev Req'!$F$87*$M33)</f>
        <v>132.1781418709021</v>
      </c>
      <c r="T71" s="159">
        <f>$F$18+(SUMPRODUCT($F$25:$F$27,$L$42:$L$44)*$L33)+(MIN($L25,$L33)*$F$28)+('Incremental Rev Req'!$F$87*$L33)</f>
        <v>105.12613146900198</v>
      </c>
      <c r="U71" s="159">
        <f>$F$18+(SUMPRODUCT($F$30:$F$32,$M$42:$M$44)*$M33)+(MIN($M25,$M33)*$F$33)+('Incremental Rev Req'!$F$87*$M33)</f>
        <v>147.94636886728037</v>
      </c>
      <c r="X71" s="499"/>
      <c r="Y71" s="499"/>
      <c r="Z71" s="499"/>
      <c r="AA71" s="499"/>
      <c r="AB71" s="499"/>
      <c r="AC71" s="499"/>
      <c r="AD71" s="499"/>
      <c r="AE71" s="499"/>
      <c r="AF71" s="499"/>
      <c r="AG71" s="499"/>
      <c r="AH71" s="499"/>
      <c r="AI71" s="499"/>
    </row>
    <row r="72" spans="2:35" ht="15" customHeight="1">
      <c r="B72" s="141" t="s">
        <v>225</v>
      </c>
      <c r="C72" s="159">
        <f>$F$18+(SUMPRODUCT($C$25:$C$27,$I$42:$I$44)*$I34)+(MIN($I26,$I34)*$C$28)+('Incremental Rev Req'!$F$87*$I34)</f>
        <v>185.60682013114513</v>
      </c>
      <c r="D72" s="159">
        <f>$F$18+(SUMPRODUCT($C$30:$C$32,$J$42:$J$44)*$J34)+(MIN($J26,$J34)*$C$33)+('Incremental Rev Req'!$F$87*$J34)</f>
        <v>184.24628428732723</v>
      </c>
      <c r="E72" s="159">
        <f>$F$18+(SUMPRODUCT($D$25:$D$27,$L$42:$L$44)*$I34)+(MIN($I26,$I34)*$D$28)+('Incremental Rev Req'!$F$87*$I34)</f>
        <v>186.02407180243864</v>
      </c>
      <c r="F72" s="159">
        <f>$F$18+(SUMPRODUCT($D$30:$D$32,$M$42:$M$44)*$J34)+(MIN($J26,$J34)*$D$33)+('Incremental Rev Req'!$F$87*$J34)</f>
        <v>184.84396115027556</v>
      </c>
      <c r="G72" s="159">
        <f>$F$18+(SUMPRODUCT($E$25:$E$27,$L$42:$L$44)*$I34)+(MIN($I26,$I34)*$E$28)+('Incremental Rev Req'!$F$87*$I34)</f>
        <v>183.83558623784387</v>
      </c>
      <c r="H72" s="159">
        <f>$F$18+(SUMPRODUCT($E$30:$E$32,$M$42:$M$44)*$J34)+(MIN($J26,$J34)*$E$33)+('Incremental Rev Req'!$F$87*$J34)</f>
        <v>182.67115228802689</v>
      </c>
      <c r="I72" s="159">
        <f>$F$18+(SUMPRODUCT($F$25:$F$27,$L$42:$L$44)*$I34)+(MIN($I26,$I34)*$F$28)+('Incremental Rev Req'!$F$87*$I34)</f>
        <v>207.11714552128623</v>
      </c>
      <c r="J72" s="159">
        <f>$F$18+(SUMPRODUCT($F$30:$F$32,$M$42:$M$44)*$J34)+(MIN($J26,$J34)*$F$33)+('Incremental Rev Req'!$F$87*$J34)</f>
        <v>205.78593958953596</v>
      </c>
      <c r="M72" s="141" t="s">
        <v>225</v>
      </c>
      <c r="N72" s="159">
        <f>$F$18+(SUMPRODUCT($C$25:$C$27,$I$42:$I$44)*$L34)+(MIN($L26,$L34)*$C$28)+('Incremental Rev Req'!$F$87*$L34)</f>
        <v>204.64257544069162</v>
      </c>
      <c r="O72" s="159">
        <f>$F$18+(SUMPRODUCT($C$30:$C$32,$J$42:$J$44)*$M34)+(MIN($M26,$M34)*$C$33)+('Incremental Rev Req'!$F$87*$M34)</f>
        <v>299.0856058573263</v>
      </c>
      <c r="P72" s="159">
        <f>$F$18+(SUMPRODUCT($D$25:$D$27,$L$42:$L$44)*$L34)+(MIN($L26,$L34)*$D$28)+('Incremental Rev Req'!$F$87*$L34)</f>
        <v>205.10891554390201</v>
      </c>
      <c r="Q72" s="159">
        <f>$F$18+(SUMPRODUCT($D$30:$D$32,$M$42:$M$44)*$M34)+(MIN($M26,$M34)*$D$33)+('Incremental Rev Req'!$F$87*$M34)</f>
        <v>300.11107727075705</v>
      </c>
      <c r="R72" s="159">
        <f>$F$18+(SUMPRODUCT($E$25:$E$27,$L$42:$L$44)*$L34)+(MIN($L26,$L34)*$E$28)+('Incremental Rev Req'!$F$87*$L34)</f>
        <v>202.66296108935487</v>
      </c>
      <c r="S72" s="159">
        <f>$F$18+(SUMPRODUCT($E$30:$E$32,$M$42:$M$44)*$M34)+(MIN($M26,$M34)*$E$33)+('Incremental Rev Req'!$F$87*$M34)</f>
        <v>296.38305379651126</v>
      </c>
      <c r="T72" s="159">
        <f>$F$18+(SUMPRODUCT($F$25:$F$27,$L$42:$L$44)*$L34)+(MIN($L26,$L34)*$F$28)+('Incremental Rev Req'!$F$87*$L34)</f>
        <v>228.68352734731994</v>
      </c>
      <c r="U72" s="159">
        <f>$F$18+(SUMPRODUCT($F$30:$F$32,$M$42:$M$44)*$M34)+(MIN($M26,$M34)*$F$33)+('Incremental Rev Req'!$F$87*$M34)</f>
        <v>336.04253381770513</v>
      </c>
      <c r="X72" s="499"/>
      <c r="Y72" s="499"/>
      <c r="Z72" s="499"/>
      <c r="AA72" s="499"/>
      <c r="AB72" s="499"/>
      <c r="AC72" s="499"/>
      <c r="AD72" s="499"/>
      <c r="AE72" s="499"/>
      <c r="AF72" s="499"/>
      <c r="AG72" s="499"/>
      <c r="AH72" s="499"/>
      <c r="AI72" s="499"/>
    </row>
    <row r="73" spans="2:35">
      <c r="B73" s="141" t="s">
        <v>222</v>
      </c>
      <c r="C73" s="159">
        <f>$F$18+(SUMPRODUCT($C$25:$C$27,$I$42:$I$44)*$I35)+(MIN($I27,$I35)*$C$28)+('Incremental Rev Req'!$F$87*$I35)</f>
        <v>212.97071838861822</v>
      </c>
      <c r="D73" s="159">
        <f>$F$18+(SUMPRODUCT($C$30:$C$32,$J$42:$J$44)*$J35)+(MIN($J27,$J35)*$C$33)+('Incremental Rev Req'!$F$87*$J35)</f>
        <v>159.3713409869664</v>
      </c>
      <c r="E73" s="159">
        <f>$F$18+(SUMPRODUCT($D$25:$D$27,$L$42:$L$44)*$I35)+(MIN($I27,$I35)*$D$28)+('Incremental Rev Req'!$F$87*$I35)</f>
        <v>213.45853468079227</v>
      </c>
      <c r="F73" s="159">
        <f>$F$18+(SUMPRODUCT($D$30:$D$32,$M$42:$M$44)*$J35)+(MIN($J27,$J35)*$D$33)+('Incremental Rev Req'!$F$87*$J35)</f>
        <v>159.87635477038785</v>
      </c>
      <c r="G73" s="159">
        <f>$F$18+(SUMPRODUCT($E$25:$E$27,$L$42:$L$44)*$I35)+(MIN($I27,$I35)*$E$28)+('Incremental Rev Req'!$F$87*$I35)</f>
        <v>210.89993758689101</v>
      </c>
      <c r="H73" s="159">
        <f>$F$18+(SUMPRODUCT($E$30:$E$32,$M$42:$M$44)*$J35)+(MIN($J27,$J35)*$E$33)+('Incremental Rev Req'!$F$87*$J35)</f>
        <v>158.04041549918551</v>
      </c>
      <c r="I73" s="159">
        <f>$F$18+(SUMPRODUCT($F$25:$F$27,$L$42:$L$44)*$I35)+(MIN($I27,$I35)*$F$28)+('Incremental Rev Req'!$F$87*$I35)</f>
        <v>238.11881939620966</v>
      </c>
      <c r="J73" s="159">
        <f>$F$18+(SUMPRODUCT($F$30:$F$32,$M$42:$M$44)*$J35)+(MIN($J27,$J35)*$F$33)+('Incremental Rev Req'!$F$87*$J35)</f>
        <v>177.57151484697226</v>
      </c>
      <c r="M73" s="141" t="s">
        <v>222</v>
      </c>
      <c r="N73" s="159">
        <f>$F$18+(SUMPRODUCT($C$25:$C$27,$I$42:$I$44)*$L35)+(MIN($L27,$L35)*$C$28)+('Incremental Rev Req'!$F$87*$L35)</f>
        <v>225.66122192831588</v>
      </c>
      <c r="O73" s="159">
        <f>$F$18+(SUMPRODUCT($C$30:$C$32,$J$42:$J$44)*$M35)+(MIN($M27,$M35)*$C$33)+('Incremental Rev Req'!$F$87*$M35)</f>
        <v>236.48366521808495</v>
      </c>
      <c r="P73" s="159">
        <f>$F$18+(SUMPRODUCT($D$25:$D$27,$L$42:$L$44)*$L35)+(MIN($L27,$L35)*$D$28)+('Incremental Rev Req'!$F$87*$L35)</f>
        <v>226.18176384176783</v>
      </c>
      <c r="Q73" s="159">
        <f>$F$18+(SUMPRODUCT($D$30:$D$32,$M$42:$M$44)*$M35)+(MIN($M27,$M35)*$D$33)+('Incremental Rev Req'!$F$87*$M35)</f>
        <v>237.27593454803974</v>
      </c>
      <c r="R73" s="159">
        <f>$F$18+(SUMPRODUCT($E$25:$E$27,$L$42:$L$44)*$L35)+(MIN($L27,$L35)*$E$28)+('Incremental Rev Req'!$F$87*$L35)</f>
        <v>223.45152082123167</v>
      </c>
      <c r="S73" s="159">
        <f>$F$18+(SUMPRODUCT($E$30:$E$32,$M$42:$M$44)*$M35)+(MIN($M27,$M35)*$E$33)+('Incremental Rev Req'!$F$87*$M35)</f>
        <v>234.39569954459381</v>
      </c>
      <c r="T73" s="159">
        <f>$F$18+(SUMPRODUCT($F$25:$F$27,$L$42:$L$44)*$L35)+(MIN($L27,$L35)*$F$28)+('Incremental Rev Req'!$F$87*$L35)</f>
        <v>252.49640728023209</v>
      </c>
      <c r="U73" s="159">
        <f>$F$18+(SUMPRODUCT($F$30:$F$32,$M$42:$M$44)*$M35)+(MIN($M27,$M35)*$F$33)+('Incremental Rev Req'!$F$87*$M35)</f>
        <v>265.03623154891977</v>
      </c>
      <c r="X73" s="499"/>
      <c r="Y73" s="499"/>
      <c r="Z73" s="499"/>
      <c r="AA73" s="499"/>
      <c r="AB73" s="499"/>
      <c r="AC73" s="499"/>
      <c r="AD73" s="499"/>
      <c r="AE73" s="499"/>
      <c r="AF73" s="499"/>
      <c r="AG73" s="499"/>
      <c r="AH73" s="499"/>
      <c r="AI73" s="499"/>
    </row>
    <row r="74" spans="2:35" s="10" customFormat="1" ht="18" customHeight="1">
      <c r="B74" s="144" t="s">
        <v>224</v>
      </c>
      <c r="C74" s="159">
        <f>$F$18+(SUMPRODUCT($C$25:$C$27,$I$42:$I$44)*$I36)+(MIN($I28,$I36)*$C$28)+('Incremental Rev Req'!$F$87*$I36)</f>
        <v>147.53530951205218</v>
      </c>
      <c r="D74" s="159">
        <f>$F$18+(SUMPRODUCT($C$30:$C$32,$J$42:$J$44)*$J36)+(MIN($J28,$J36)*$C$33)+('Incremental Rev Req'!$F$87*$J36)</f>
        <v>143.2026278417319</v>
      </c>
      <c r="E74" s="159">
        <f>$F$18+(SUMPRODUCT($D$25:$D$27,$L$42:$L$44)*$I36)+(MIN($I28,$I36)*$D$28)+('Incremental Rev Req'!$F$87*$I36)</f>
        <v>147.85438431951192</v>
      </c>
      <c r="F74" s="159">
        <f>$F$18+(SUMPRODUCT($D$30:$D$32,$M$42:$M$44)*$J36)+(MIN($J28,$J36)*$D$33)+('Incremental Rev Req'!$F$87*$J36)</f>
        <v>143.64741062346087</v>
      </c>
      <c r="G74" s="159">
        <f>$F$18+(SUMPRODUCT($E$25:$E$27,$L$42:$L$44)*$I36)+(MIN($I28,$I36)*$E$28)+('Incremental Rev Req'!$F$87*$I36)</f>
        <v>146.18083653482179</v>
      </c>
      <c r="H74" s="159">
        <f>$F$18+(SUMPRODUCT($E$30:$E$32,$M$42:$M$44)*$J36)+(MIN($J28,$J36)*$E$33)+('Incremental Rev Req'!$F$87*$J36)</f>
        <v>142.03043658643861</v>
      </c>
      <c r="I74" s="159">
        <f>$F$18+(SUMPRODUCT($F$25:$F$27,$L$42:$L$44)*$I36)+(MIN($I28,$I36)*$F$28)+('Incremental Rev Req'!$F$87*$I36)</f>
        <v>163.98438186921891</v>
      </c>
      <c r="J74" s="159">
        <f>$F$18+(SUMPRODUCT($F$30:$F$32,$M$42:$M$44)*$J36)+(MIN($J28,$J36)*$F$33)+('Incremental Rev Req'!$F$87*$J36)</f>
        <v>159.23213876430586</v>
      </c>
      <c r="M74" s="144" t="s">
        <v>224</v>
      </c>
      <c r="N74" s="159">
        <f>$F$18+(SUMPRODUCT($C$25:$C$27,$I$42:$I$44)*$L36)+(MIN($L28,$L36)*$C$28)+('Incremental Rev Req'!$F$87*$L36)</f>
        <v>127.70639773127456</v>
      </c>
      <c r="O74" s="159">
        <f>$F$18+(SUMPRODUCT($C$30:$C$32,$J$42:$J$44)*$M36)+(MIN($M28,$M36)*$C$33)+('Incremental Rev Req'!$F$87*$M36)</f>
        <v>175.1254717438616</v>
      </c>
      <c r="P74" s="159">
        <f>$F$18+(SUMPRODUCT($D$25:$D$27,$L$42:$L$44)*$L36)+(MIN($L28,$L36)*$D$28)+('Incremental Rev Req'!$F$87*$L36)</f>
        <v>127.97433875548757</v>
      </c>
      <c r="Q74" s="159">
        <f>$F$18+(SUMPRODUCT($D$30:$D$32,$M$42:$M$44)*$M36)+(MIN($M28,$M36)*$D$33)+('Incremental Rev Req'!$F$87*$M36)</f>
        <v>175.68917214431676</v>
      </c>
      <c r="R74" s="159">
        <f>$F$18+(SUMPRODUCT($E$25:$E$27,$L$42:$L$44)*$L36)+(MIN($L28,$L36)*$E$28)+('Incremental Rev Req'!$F$87*$L36)</f>
        <v>126.56898773116443</v>
      </c>
      <c r="S74" s="159">
        <f>$F$18+(SUMPRODUCT($E$30:$E$32,$M$42:$M$44)*$M36)+(MIN($M28,$M36)*$E$33)+('Incremental Rev Req'!$F$87*$M36)</f>
        <v>173.6398821321184</v>
      </c>
      <c r="T74" s="159">
        <f>$F$18+(SUMPRODUCT($F$25:$F$27,$L$42:$L$44)*$L36)+(MIN($L28,$L36)*$F$28)+('Incremental Rev Req'!$F$87*$L36)</f>
        <v>141.5194008004338</v>
      </c>
      <c r="U74" s="159">
        <f>$F$18+(SUMPRODUCT($F$30:$F$32,$M$42:$M$44)*$M36)+(MIN($M28,$M36)*$F$33)+('Incremental Rev Req'!$F$87*$M36)</f>
        <v>195.44065051726261</v>
      </c>
      <c r="X74" s="499"/>
      <c r="Y74" s="499"/>
      <c r="Z74" s="499"/>
      <c r="AA74" s="499"/>
      <c r="AB74" s="499"/>
      <c r="AC74" s="499"/>
      <c r="AD74" s="499"/>
      <c r="AE74" s="499"/>
      <c r="AF74" s="499"/>
      <c r="AG74" s="499"/>
      <c r="AH74" s="499"/>
      <c r="AI74" s="499"/>
    </row>
    <row r="75" spans="2:35">
      <c r="B75" s="6" t="s">
        <v>112</v>
      </c>
      <c r="C75" s="157">
        <f t="shared" ref="C75:J75" si="30">SUMPRODUCT(C71:C74,$U$26:$U$29)</f>
        <v>138.0522170931572</v>
      </c>
      <c r="D75" s="157">
        <f t="shared" si="30"/>
        <v>140.61661275235019</v>
      </c>
      <c r="E75" s="157">
        <f t="shared" si="30"/>
        <v>138.34683738704516</v>
      </c>
      <c r="F75" s="157">
        <f t="shared" si="30"/>
        <v>141.05176222078913</v>
      </c>
      <c r="G75" s="157">
        <f t="shared" si="30"/>
        <v>136.80155355819522</v>
      </c>
      <c r="H75" s="157">
        <f t="shared" si="30"/>
        <v>139.46980936291413</v>
      </c>
      <c r="I75" s="157">
        <f t="shared" si="30"/>
        <v>153.24060056546949</v>
      </c>
      <c r="J75" s="157">
        <f t="shared" si="30"/>
        <v>156.29894903834432</v>
      </c>
      <c r="M75" s="6" t="s">
        <v>112</v>
      </c>
      <c r="N75" s="157">
        <f>SUMPRODUCT(N71:N74,$U$34:$U$37)</f>
        <v>111.08463158247159</v>
      </c>
      <c r="O75" s="157">
        <f t="shared" ref="O75:U75" si="31">SUMPRODUCT(O71:O74,$U$34:$U$37)</f>
        <v>153.57501718872587</v>
      </c>
      <c r="P75" s="157">
        <f t="shared" si="31"/>
        <v>111.30970924651496</v>
      </c>
      <c r="Q75" s="157">
        <f t="shared" si="31"/>
        <v>154.05843875356038</v>
      </c>
      <c r="R75" s="157">
        <f t="shared" si="31"/>
        <v>110.12917660264418</v>
      </c>
      <c r="S75" s="157">
        <f t="shared" si="31"/>
        <v>152.30099635384465</v>
      </c>
      <c r="T75" s="157">
        <f t="shared" si="31"/>
        <v>122.68792552882468</v>
      </c>
      <c r="U75" s="157">
        <f t="shared" si="31"/>
        <v>170.99702984757863</v>
      </c>
      <c r="X75" s="499"/>
      <c r="Y75" s="499"/>
      <c r="Z75" s="499"/>
      <c r="AA75" s="499"/>
      <c r="AB75" s="499"/>
      <c r="AC75" s="499"/>
      <c r="AD75" s="499"/>
      <c r="AE75" s="499"/>
      <c r="AF75" s="499"/>
      <c r="AG75" s="499"/>
      <c r="AH75" s="499"/>
      <c r="AI75" s="499"/>
    </row>
    <row r="76" spans="2:35">
      <c r="B76" s="7"/>
      <c r="C76" s="143"/>
      <c r="D76" s="143"/>
      <c r="E76" s="158"/>
      <c r="F76" s="146"/>
      <c r="G76" s="147"/>
      <c r="H76" s="147"/>
      <c r="I76" s="147"/>
      <c r="J76" s="147"/>
      <c r="M76" s="7"/>
      <c r="N76" s="143"/>
      <c r="O76" s="143"/>
      <c r="P76" s="158"/>
      <c r="Q76" s="146"/>
      <c r="R76" s="147"/>
      <c r="S76" s="147"/>
      <c r="T76" s="147"/>
      <c r="U76" s="147"/>
    </row>
    <row r="77" spans="2:35">
      <c r="B77" s="7"/>
      <c r="C77" s="143"/>
      <c r="D77" s="143"/>
      <c r="E77" s="158"/>
      <c r="F77" s="143"/>
      <c r="G77" s="147"/>
      <c r="H77" s="147"/>
      <c r="I77" s="147"/>
      <c r="J77" s="147"/>
      <c r="M77" s="7"/>
      <c r="N77" s="143"/>
      <c r="O77" s="143"/>
      <c r="P77" s="158"/>
      <c r="Q77" s="143"/>
      <c r="R77" s="147"/>
      <c r="S77" s="147"/>
      <c r="T77" s="147"/>
      <c r="U77" s="147"/>
    </row>
    <row r="78" spans="2:35">
      <c r="B78" s="7"/>
      <c r="C78" s="865" t="s">
        <v>285</v>
      </c>
      <c r="D78" s="865"/>
      <c r="E78" s="865"/>
      <c r="F78" s="865"/>
      <c r="G78" s="865"/>
      <c r="H78" s="865"/>
      <c r="I78" s="865"/>
      <c r="J78" s="865"/>
      <c r="M78" s="7"/>
      <c r="N78" s="865" t="s">
        <v>274</v>
      </c>
      <c r="O78" s="865"/>
      <c r="P78" s="865"/>
      <c r="Q78" s="865"/>
      <c r="R78" s="865"/>
      <c r="S78" s="865"/>
      <c r="T78" s="865"/>
      <c r="U78" s="865"/>
      <c r="AD78" s="10"/>
      <c r="AE78" s="10"/>
    </row>
    <row r="79" spans="2:35">
      <c r="B79" s="7"/>
      <c r="C79" s="863" t="str">
        <f>C69</f>
        <v>6/1/2026</v>
      </c>
      <c r="D79" s="863"/>
      <c r="E79" s="864" t="str">
        <f>E69</f>
        <v>8/1/2026</v>
      </c>
      <c r="F79" s="863"/>
      <c r="G79" s="863" t="str">
        <f>G69</f>
        <v>Authorized</v>
      </c>
      <c r="H79" s="863"/>
      <c r="I79" s="864" t="str">
        <f>I69</f>
        <v>w/Pending</v>
      </c>
      <c r="J79" s="863"/>
      <c r="M79" s="7"/>
      <c r="N79" s="863" t="str">
        <f>N69</f>
        <v>6/1/2026</v>
      </c>
      <c r="O79" s="863"/>
      <c r="P79" s="864" t="str">
        <f>P69</f>
        <v>8/1/2026</v>
      </c>
      <c r="Q79" s="863"/>
      <c r="R79" s="863" t="str">
        <f>R69</f>
        <v>Authorized</v>
      </c>
      <c r="S79" s="863"/>
      <c r="T79" s="864" t="str">
        <f>T69</f>
        <v>w/Pending</v>
      </c>
      <c r="U79" s="863"/>
      <c r="AB79" s="10"/>
      <c r="AC79" s="10"/>
    </row>
    <row r="80" spans="2:35">
      <c r="B80" s="7"/>
      <c r="C80" s="143" t="s">
        <v>192</v>
      </c>
      <c r="D80" s="143" t="s">
        <v>193</v>
      </c>
      <c r="E80" s="143" t="s">
        <v>192</v>
      </c>
      <c r="F80" s="143" t="s">
        <v>193</v>
      </c>
      <c r="G80" s="143" t="s">
        <v>192</v>
      </c>
      <c r="H80" s="143" t="s">
        <v>193</v>
      </c>
      <c r="I80" s="143" t="s">
        <v>192</v>
      </c>
      <c r="J80" s="143" t="s">
        <v>193</v>
      </c>
      <c r="M80" s="7"/>
      <c r="N80" s="143" t="s">
        <v>192</v>
      </c>
      <c r="O80" s="143" t="s">
        <v>193</v>
      </c>
      <c r="P80" s="143" t="s">
        <v>192</v>
      </c>
      <c r="Q80" s="143" t="s">
        <v>193</v>
      </c>
      <c r="R80" s="143" t="s">
        <v>192</v>
      </c>
      <c r="S80" s="143" t="s">
        <v>193</v>
      </c>
      <c r="T80" s="143" t="s">
        <v>192</v>
      </c>
      <c r="U80" s="143" t="s">
        <v>193</v>
      </c>
    </row>
    <row r="81" spans="2:35">
      <c r="B81" s="138" t="s">
        <v>223</v>
      </c>
      <c r="C81" s="159">
        <f>$Q$18+(SUMPRODUCT($C$37:$C$39,$Q$42:$Q$44)*$I33)+(MIN($I25,$I33)*$C$40)+('Incremental Rev Req'!$F$87*$I33)</f>
        <v>71.688719601610146</v>
      </c>
      <c r="D81" s="159">
        <f>$Q$18+(SUMPRODUCT($C$42:$C$44,$R$42:$R$44)*$J33)+(MIN($J25,$J33)*$C$45)+('Incremental Rev Req'!$F$87*$J33)</f>
        <v>76.966302440841162</v>
      </c>
      <c r="E81" s="159">
        <f>$Q$18+(SUMPRODUCT($D$37:$D$39,$T$42:$T$44)*$I33)+(MIN($I25,$I33)*$D$40)+('Incremental Rev Req'!$F$87*$I33)</f>
        <v>71.829494559639713</v>
      </c>
      <c r="F81" s="159">
        <f>$Q$18+(SUMPRODUCT($D$42:$D$44,$U$42:$U$44)*$J33)+(MIN($J25,$J33)*$D$45)+('Incremental Rev Req'!$F$87*$J33)</f>
        <v>77.220752051574379</v>
      </c>
      <c r="G81" s="159">
        <f>$Q$18+(SUMPRODUCT($E$37:$E$39,$T$42:$T$44)*$I33)+(MIN($I25,$I33)*$E$40)+('Incremental Rev Req'!$F$87*$I33)</f>
        <v>70.941653140596188</v>
      </c>
      <c r="H81" s="159">
        <f>$Q$18+(SUMPRODUCT($E$42:$E$44,$U$42:$U$44)*$J33)+(MIN($J25,$J33)*$E$45)+('Incremental Rev Req'!$F$87*$J33)</f>
        <v>76.260076275775802</v>
      </c>
      <c r="I81" s="159">
        <f>$Q$18+(SUMPRODUCT($F$37:$F$39,$T$42:$T$44)*$I33)+(MIN($I25,$I33)*$F$40)+('Incremental Rev Req'!$F$87*$I33)</f>
        <v>80.386692653838324</v>
      </c>
      <c r="J81" s="159">
        <f>$Q$18+(SUMPRODUCT($F$42:$F$44,$U$42:$U$44)*$J33)+(MIN($J25,$J33)*$F$45)+('Incremental Rev Req'!$F$87*$J33)</f>
        <v>86.479942647415825</v>
      </c>
      <c r="M81" s="138" t="s">
        <v>223</v>
      </c>
      <c r="N81" s="159">
        <f>$Q$18+(SUMPRODUCT($C$37:$C$39,$Q$42:$Q$44)*$L33)+(MIN($L25,$L33)*$C$40)+('Incremental Rev Req'!$F$87*$L33)</f>
        <v>50.00739017737569</v>
      </c>
      <c r="O81" s="159">
        <f>$Q$18+(SUMPRODUCT($C$42:$C$44,$R$42:$R$44)*$M33)+(MIN($M25,$M33)*$C$45)+('Incremental Rev Req'!$F$87*$M33)</f>
        <v>73.877067552108926</v>
      </c>
      <c r="P81" s="159">
        <f>$Q$18+(SUMPRODUCT($D$37:$D$39,$T$42:$T$44)*$L33)+(MIN($L25,$L33)*$D$40)+('Incremental Rev Req'!$F$87*$L33)</f>
        <v>50.101761538128841</v>
      </c>
      <c r="Q81" s="159">
        <f>$Q$18+(SUMPRODUCT($D$42:$D$44,$U$42:$U$44)*$M33)+(MIN($M25,$M33)*$D$45)+('Incremental Rev Req'!$F$87*$M33)</f>
        <v>74.120454136288544</v>
      </c>
      <c r="R81" s="159">
        <f>$Q$18+(SUMPRODUCT($E$37:$E$39,$T$42:$T$44)*$L33)+(MIN($L25,$L33)*$E$40)+('Incremental Rev Req'!$F$87*$L33)</f>
        <v>49.506578957214472</v>
      </c>
      <c r="S81" s="159">
        <f>$Q$18+(SUMPRODUCT($E$42:$E$44,$U$42:$U$44)*$M33)+(MIN($M25,$M33)*$E$45)+('Incremental Rev Req'!$F$87*$M33)</f>
        <v>73.201546872481217</v>
      </c>
      <c r="T81" s="159">
        <f>$Q$18+(SUMPRODUCT($F$37:$F$39,$T$42:$T$44)*$L33)+(MIN($L25,$L33)*$F$40)+('Incremental Rev Req'!$F$87*$L33)</f>
        <v>55.838253593869396</v>
      </c>
      <c r="U81" s="159">
        <f>$Q$18+(SUMPRODUCT($F$42:$F$44,$U$42:$U$44)*$M33)+(MIN($M25,$M33)*$F$45)+('Incremental Rev Req'!$F$87*$M33)</f>
        <v>82.977071227962952</v>
      </c>
      <c r="X81" s="499"/>
      <c r="Y81" s="499"/>
      <c r="Z81" s="499"/>
      <c r="AA81" s="499"/>
      <c r="AB81" s="499"/>
      <c r="AC81" s="499"/>
      <c r="AD81" s="499"/>
      <c r="AE81" s="499"/>
      <c r="AF81" s="499"/>
      <c r="AG81" s="499"/>
      <c r="AH81" s="499"/>
      <c r="AI81" s="499"/>
    </row>
    <row r="82" spans="2:35">
      <c r="B82" s="141" t="s">
        <v>225</v>
      </c>
      <c r="C82" s="159">
        <f>$Q$18+(SUMPRODUCT($C$37:$C$39,$Q$42:$Q$44)*$I34)+(MIN($I26,$I34)*$C$40)+('Incremental Rev Req'!$F$87*$I34)</f>
        <v>105.30696073132204</v>
      </c>
      <c r="D82" s="159">
        <f>$Q$18+(SUMPRODUCT($C$42:$C$44,$R$42:$R$44)*$J34)+(MIN($J26,$J34)*$C$45)+('Incremental Rev Req'!$F$87*$J34)</f>
        <v>105.54172516161424</v>
      </c>
      <c r="E82" s="159">
        <f>$Q$18+(SUMPRODUCT($D$37:$D$39,$T$42:$T$44)*$I34)+(MIN($I26,$I34)*$D$40)+('Incremental Rev Req'!$F$87*$I34)</f>
        <v>105.51968733456668</v>
      </c>
      <c r="F82" s="159">
        <f>$Q$18+(SUMPRODUCT($D$42:$D$44,$U$42:$U$44)*$J34)+(MIN($J26,$J34)*$D$45)+('Incremental Rev Req'!$F$87*$J34)</f>
        <v>105.89850776796844</v>
      </c>
      <c r="G82" s="159">
        <f>$Q$18+(SUMPRODUCT($E$37:$E$39,$T$42:$T$44)*$I34)+(MIN($I26,$I34)*$E$40)+('Incremental Rev Req'!$F$87*$I34)</f>
        <v>104.17806030134535</v>
      </c>
      <c r="H82" s="159">
        <f>$Q$18+(SUMPRODUCT($E$42:$E$44,$U$42:$U$44)*$J34)+(MIN($J26,$J34)*$E$45)+('Incremental Rev Req'!$F$87*$J34)</f>
        <v>104.55147325625086</v>
      </c>
      <c r="I82" s="159">
        <f>$Q$18+(SUMPRODUCT($F$37:$F$39,$T$42:$T$44)*$I34)+(MIN($I26,$I34)*$F$40)+('Incremental Rev Req'!$F$87*$I34)</f>
        <v>118.45056445468906</v>
      </c>
      <c r="J82" s="159">
        <f>$Q$18+(SUMPRODUCT($F$42:$F$44,$U$42:$U$44)*$J34)+(MIN($J26,$J34)*$F$45)+('Incremental Rev Req'!$F$87*$J34)</f>
        <v>118.88150327735482</v>
      </c>
      <c r="M82" s="141" t="s">
        <v>225</v>
      </c>
      <c r="N82" s="159">
        <f>$Q$18+(SUMPRODUCT($C$37:$C$39,$Q$42:$Q$44)*$L34)+(MIN($L26,$L34)*$C$40)+('Incremental Rev Req'!$F$87*$L34)</f>
        <v>117.00026199383051</v>
      </c>
      <c r="O82" s="159">
        <f>$Q$18+(SUMPRODUCT($C$42:$C$44,$R$42:$R$44)*$M34)+(MIN($M26,$M34)*$C$45)+('Incremental Rev Req'!$F$87*$M34)</f>
        <v>176.8515638431831</v>
      </c>
      <c r="P82" s="159">
        <f>$Q$18+(SUMPRODUCT($D$37:$D$39,$T$42:$T$44)*$L34)+(MIN($L26,$L34)*$D$40)+('Incremental Rev Req'!$F$87*$L34)</f>
        <v>117.23801525628043</v>
      </c>
      <c r="Q82" s="159">
        <f>$Q$18+(SUMPRODUCT($D$42:$D$44,$U$42:$U$44)*$M34)+(MIN($M26,$M34)*$D$45)+('Incremental Rev Req'!$F$87*$M34)</f>
        <v>177.46371797914998</v>
      </c>
      <c r="R82" s="159">
        <f>$Q$18+(SUMPRODUCT($E$37:$E$39,$T$42:$T$44)*$L34)+(MIN($L26,$L34)*$E$40)+('Incremental Rev Req'!$F$87*$L34)</f>
        <v>115.73854974856248</v>
      </c>
      <c r="S82" s="159">
        <f>$Q$18+(SUMPRODUCT($E$42:$E$44,$U$42:$U$44)*$M34)+(MIN($M26,$M34)*$E$45)+('Incremental Rev Req'!$F$87*$M34)</f>
        <v>175.15252698230123</v>
      </c>
      <c r="T82" s="159">
        <f>$Q$18+(SUMPRODUCT($F$37:$F$39,$T$42:$T$44)*$L34)+(MIN($L26,$L34)*$F$40)+('Incremental Rev Req'!$F$87*$L34)</f>
        <v>131.69017203759364</v>
      </c>
      <c r="U82" s="159">
        <f>$Q$18+(SUMPRODUCT($F$42:$F$44,$U$42:$U$44)*$M34)+(MIN($M26,$M34)*$F$45)+('Incremental Rev Req'!$F$87*$M34)</f>
        <v>199.73945187639171</v>
      </c>
      <c r="X82" s="499"/>
      <c r="Y82" s="499"/>
      <c r="Z82" s="499"/>
      <c r="AA82" s="499"/>
      <c r="AB82" s="499"/>
      <c r="AC82" s="499"/>
      <c r="AD82" s="499"/>
      <c r="AE82" s="499"/>
      <c r="AF82" s="499"/>
      <c r="AG82" s="499"/>
      <c r="AH82" s="499"/>
      <c r="AI82" s="499"/>
    </row>
    <row r="83" spans="2:35">
      <c r="B83" s="141" t="s">
        <v>222</v>
      </c>
      <c r="C83" s="159">
        <f>$Q$18+(SUMPRODUCT($C$37:$C$39,$Q$42:$Q$44)*$I35)+(MIN($I27,$I35)*$C$40)+('Incremental Rev Req'!$F$87*$I35)</f>
        <v>122.11608129617798</v>
      </c>
      <c r="D83" s="159">
        <f>$Q$18+(SUMPRODUCT($C$42:$C$44,$R$42:$R$44)*$J35)+(MIN($J27,$J35)*$C$45)+('Incremental Rev Req'!$F$87*$J35)</f>
        <v>90.095550717953103</v>
      </c>
      <c r="E83" s="159">
        <f>$Q$18+(SUMPRODUCT($D$37:$D$39,$T$42:$T$44)*$I35)+(MIN($I27,$I35)*$D$40)+('Incremental Rev Req'!$F$87*$I35)</f>
        <v>122.36478372203018</v>
      </c>
      <c r="F83" s="159">
        <f>$Q$18+(SUMPRODUCT($D$42:$D$44,$U$42:$U$44)*$J35)+(MIN($J27,$J35)*$D$45)+('Incremental Rev Req'!$F$87*$J35)</f>
        <v>90.397018191539217</v>
      </c>
      <c r="G83" s="159">
        <f>$Q$18+(SUMPRODUCT($E$37:$E$39,$T$42:$T$44)*$I35)+(MIN($I27,$I35)*$E$40)+('Incremental Rev Req'!$F$87*$I35)</f>
        <v>120.79626388171995</v>
      </c>
      <c r="H83" s="159">
        <f>$Q$18+(SUMPRODUCT($E$42:$E$44,$U$42:$U$44)*$J35)+(MIN($J27,$J35)*$E$45)+('Incremental Rev Req'!$F$87*$J35)</f>
        <v>89.258826239777875</v>
      </c>
      <c r="I83" s="159">
        <f>$Q$18+(SUMPRODUCT($F$37:$F$39,$T$42:$T$44)*$I35)+(MIN($I27,$I35)*$F$40)+('Incremental Rev Req'!$F$87*$I35)</f>
        <v>137.48250035511441</v>
      </c>
      <c r="J83" s="159">
        <f>$Q$18+(SUMPRODUCT($F$42:$F$44,$U$42:$U$44)*$J35)+(MIN($J27,$J35)*$F$45)+('Incremental Rev Req'!$F$87*$J35)</f>
        <v>101.3671461800905</v>
      </c>
      <c r="M83" s="141" t="s">
        <v>222</v>
      </c>
      <c r="N83" s="159">
        <f>$Q$18+(SUMPRODUCT($C$37:$C$39,$Q$42:$Q$44)*$L35)+(MIN($L27,$L35)*$C$40)+('Incremental Rev Req'!$F$87*$L35)</f>
        <v>129.91161547118358</v>
      </c>
      <c r="O83" s="159">
        <f>$Q$18+(SUMPRODUCT($C$42:$C$44,$R$42:$R$44)*$M35)+(MIN($M27,$M35)*$C$45)+('Incremental Rev Req'!$F$87*$M35)</f>
        <v>137.97869149330262</v>
      </c>
      <c r="P83" s="159">
        <f>$Q$18+(SUMPRODUCT($D$37:$D$39,$T$42:$T$44)*$L35)+(MIN($L27,$L35)*$D$40)+('Incremental Rev Req'!$F$87*$L35)</f>
        <v>130.17700233650598</v>
      </c>
      <c r="Q83" s="159">
        <f>$Q$18+(SUMPRODUCT($D$42:$D$44,$U$42:$U$44)*$M35)+(MIN($M27,$M35)*$D$45)+('Incremental Rev Req'!$F$87*$M35)</f>
        <v>138.4516358784698</v>
      </c>
      <c r="R83" s="159">
        <f>$Q$18+(SUMPRODUCT($E$37:$E$39,$T$42:$T$44)*$L35)+(MIN($L27,$L35)*$E$40)+('Incremental Rev Req'!$F$87*$L35)</f>
        <v>128.50325684653134</v>
      </c>
      <c r="S83" s="159">
        <f>$Q$18+(SUMPRODUCT($E$42:$E$44,$U$42:$U$44)*$M35)+(MIN($M27,$M35)*$E$45)+('Incremental Rev Req'!$F$87*$M35)</f>
        <v>136.6660319908442</v>
      </c>
      <c r="T83" s="159">
        <f>$Q$18+(SUMPRODUCT($F$37:$F$39,$T$42:$T$44)*$L35)+(MIN($L27,$L35)*$F$40)+('Incremental Rev Req'!$F$87*$L35)</f>
        <v>146.30890541038409</v>
      </c>
      <c r="U83" s="159">
        <f>$Q$18+(SUMPRODUCT($F$42:$F$44,$U$42:$U$44)*$M35)+(MIN($M27,$M35)*$F$45)+('Incremental Rev Req'!$F$87*$M35)</f>
        <v>155.66165318160986</v>
      </c>
      <c r="X83" s="499"/>
      <c r="Y83" s="499"/>
      <c r="Z83" s="499"/>
      <c r="AA83" s="499"/>
      <c r="AB83" s="499"/>
      <c r="AC83" s="499"/>
      <c r="AD83" s="499"/>
      <c r="AE83" s="499"/>
      <c r="AF83" s="499"/>
      <c r="AG83" s="499"/>
      <c r="AH83" s="499"/>
      <c r="AI83" s="499"/>
    </row>
    <row r="84" spans="2:35">
      <c r="B84" s="144" t="s">
        <v>224</v>
      </c>
      <c r="C84" s="159">
        <f>$Q$18+(SUMPRODUCT($C$37:$C$39,$Q$42:$Q$44)*$I36)+(MIN($I28,$I36)*$C$40)+('Incremental Rev Req'!$F$87*$I36)</f>
        <v>81.920358206305067</v>
      </c>
      <c r="D84" s="159">
        <f>$Q$18+(SUMPRODUCT($C$42:$C$44,$R$42:$R$44)*$J36)+(MIN($J28,$J36)*$C$45)+('Incremental Rev Req'!$F$87*$J36)</f>
        <v>80.055537329573383</v>
      </c>
      <c r="E84" s="159">
        <f>$Q$18+(SUMPRODUCT($D$37:$D$39,$T$42:$T$44)*$I36)+(MIN($I28,$I36)*$D$40)+('Incremental Rev Req'!$F$87*$I36)</f>
        <v>82.083031491139224</v>
      </c>
      <c r="F84" s="159">
        <f>$Q$18+(SUMPRODUCT($D$42:$D$44,$U$42:$U$44)*$J36)+(MIN($J28,$J36)*$D$45)+('Incremental Rev Req'!$F$87*$J36)</f>
        <v>80.32104996686023</v>
      </c>
      <c r="G84" s="159">
        <f>$Q$18+(SUMPRODUCT($E$37:$E$39,$T$42:$T$44)*$I36)+(MIN($I28,$I36)*$E$40)+('Incremental Rev Req'!$F$87*$I36)</f>
        <v>81.057081406911152</v>
      </c>
      <c r="H84" s="159">
        <f>$Q$18+(SUMPRODUCT($E$42:$E$44,$U$42:$U$44)*$J36)+(MIN($J28,$J36)*$E$45)+('Incremental Rev Req'!$F$87*$J36)</f>
        <v>79.318605679070416</v>
      </c>
      <c r="I84" s="159">
        <f>$Q$18+(SUMPRODUCT($F$37:$F$39,$T$42:$T$44)*$I36)+(MIN($I28,$I36)*$F$40)+('Incremental Rev Req'!$F$87*$I36)</f>
        <v>91.971349288879836</v>
      </c>
      <c r="J84" s="159">
        <f>$Q$18+(SUMPRODUCT($F$42:$F$44,$U$42:$U$44)*$J36)+(MIN($J28,$J36)*$F$45)+('Incremental Rev Req'!$F$87*$J36)</f>
        <v>89.982814066868698</v>
      </c>
      <c r="M84" s="144" t="s">
        <v>224</v>
      </c>
      <c r="N84" s="159">
        <f>$Q$18+(SUMPRODUCT($C$37:$C$39,$Q$42:$Q$44)*$L36)+(MIN($L28,$L36)*$C$40)+('Incremental Rev Req'!$F$87*$L36)</f>
        <v>69.739836057858753</v>
      </c>
      <c r="O84" s="159">
        <f>$Q$18+(SUMPRODUCT($C$42:$C$44,$R$42:$R$44)*$M36)+(MIN($M28,$M36)*$C$45)+('Incremental Rev Req'!$F$87*$M36)</f>
        <v>99.878127865605151</v>
      </c>
      <c r="P84" s="159">
        <f>$Q$18+(SUMPRODUCT($D$37:$D$39,$T$42:$T$44)*$L36)+(MIN($L28,$L36)*$D$40)+('Incremental Rev Req'!$F$87*$L36)</f>
        <v>69.87643990602075</v>
      </c>
      <c r="Q84" s="159">
        <f>$Q$18+(SUMPRODUCT($D$42:$D$44,$U$42:$U$44)*$M36)+(MIN($M28,$M36)*$D$45)+('Incremental Rev Req'!$F$87*$M36)</f>
        <v>100.21462825661106</v>
      </c>
      <c r="R84" s="159">
        <f>$Q$18+(SUMPRODUCT($E$37:$E$39,$T$42:$T$44)*$L36)+(MIN($L28,$L36)*$E$40)+('Incremental Rev Req'!$F$87*$L36)</f>
        <v>69.014904899393343</v>
      </c>
      <c r="S84" s="159">
        <f>$Q$18+(SUMPRODUCT($E$42:$E$44,$U$42:$U$44)*$M36)+(MIN($M28,$M36)*$E$45)+('Incremental Rev Req'!$F$87*$M36)</f>
        <v>98.944169350210757</v>
      </c>
      <c r="T84" s="159">
        <f>$Q$18+(SUMPRODUCT($F$37:$F$39,$T$42:$T$44)*$L36)+(MIN($L28,$L36)*$F$40)+('Incremental Rev Req'!$F$87*$L36)</f>
        <v>78.180091390020891</v>
      </c>
      <c r="U84" s="159">
        <f>$Q$18+(SUMPRODUCT($F$42:$F$44,$U$42:$U$44)*$M36)+(MIN($M28,$M36)*$F$45)+('Incremental Rev Req'!$F$87*$M36)</f>
        <v>112.45957234169123</v>
      </c>
      <c r="X84" s="499"/>
      <c r="Y84" s="499"/>
      <c r="Z84" s="499"/>
      <c r="AA84" s="499"/>
      <c r="AB84" s="499"/>
      <c r="AC84" s="499"/>
      <c r="AD84" s="499"/>
      <c r="AE84" s="499"/>
      <c r="AF84" s="499"/>
      <c r="AG84" s="499"/>
      <c r="AH84" s="499"/>
      <c r="AI84" s="499"/>
    </row>
    <row r="85" spans="2:35">
      <c r="B85" s="6" t="s">
        <v>112</v>
      </c>
      <c r="C85" s="157">
        <f t="shared" ref="C85:J85" si="32">SUMPRODUCT(C81:C84,$V$26:$V$29)</f>
        <v>77.047844262611704</v>
      </c>
      <c r="D85" s="157">
        <f t="shared" si="32"/>
        <v>78.727548507265851</v>
      </c>
      <c r="E85" s="157">
        <f t="shared" si="32"/>
        <v>77.200089119818443</v>
      </c>
      <c r="F85" s="157">
        <f t="shared" si="32"/>
        <v>78.988305411779606</v>
      </c>
      <c r="G85" s="157">
        <f t="shared" si="32"/>
        <v>76.239909184718584</v>
      </c>
      <c r="H85" s="157">
        <f t="shared" si="32"/>
        <v>78.003816416820086</v>
      </c>
      <c r="I85" s="157">
        <f t="shared" si="32"/>
        <v>86.454500701084868</v>
      </c>
      <c r="J85" s="157">
        <f t="shared" si="32"/>
        <v>88.47701270874569</v>
      </c>
      <c r="M85" s="6" t="s">
        <v>112</v>
      </c>
      <c r="N85" s="157">
        <f>SUMPRODUCT(N81:N84,$V$34:$V$37)</f>
        <v>61.799476389314648</v>
      </c>
      <c r="O85" s="157">
        <f t="shared" ref="O85:U85" si="33">SUMPRODUCT(O81:O84,$V$34:$V$37)</f>
        <v>89.473234057574743</v>
      </c>
      <c r="P85" s="157">
        <f t="shared" si="33"/>
        <v>61.919085834362377</v>
      </c>
      <c r="Q85" s="157">
        <f t="shared" si="33"/>
        <v>89.772472919227326</v>
      </c>
      <c r="R85" s="157">
        <f t="shared" si="33"/>
        <v>61.164731360323813</v>
      </c>
      <c r="S85" s="157">
        <f t="shared" si="33"/>
        <v>88.642695102948551</v>
      </c>
      <c r="T85" s="157">
        <f t="shared" si="33"/>
        <v>69.189709314113088</v>
      </c>
      <c r="U85" s="157">
        <f t="shared" si="33"/>
        <v>100.66150374045608</v>
      </c>
      <c r="X85" s="499"/>
      <c r="Y85" s="499"/>
      <c r="Z85" s="499"/>
      <c r="AA85" s="499"/>
      <c r="AB85" s="499"/>
      <c r="AC85" s="499"/>
      <c r="AD85" s="499"/>
      <c r="AE85" s="499"/>
      <c r="AF85" s="499"/>
      <c r="AG85" s="499"/>
      <c r="AH85" s="499"/>
      <c r="AI85" s="499"/>
    </row>
    <row r="86" spans="2:35">
      <c r="B86" s="7"/>
      <c r="C86" s="8"/>
      <c r="D86" s="8"/>
      <c r="E86" s="9"/>
      <c r="F86" s="8"/>
      <c r="G86" s="147"/>
      <c r="H86" s="147"/>
      <c r="I86" s="147"/>
      <c r="J86" s="147"/>
      <c r="M86" s="7"/>
      <c r="N86" s="8"/>
      <c r="O86" s="8"/>
      <c r="P86" s="9"/>
      <c r="Q86" s="8"/>
      <c r="R86" s="147"/>
      <c r="S86" s="147"/>
      <c r="T86" s="147"/>
      <c r="U86" s="147"/>
    </row>
    <row r="87" spans="2:35" ht="15.75" thickBot="1"/>
    <row r="88" spans="2:35" ht="15.75" thickBot="1">
      <c r="B88" s="755">
        <f>IF(Summary!$I$9="",400,Summary!$I$9)</f>
        <v>400</v>
      </c>
      <c r="C88" s="865" t="str">
        <f>$B$88&amp;" kWh Monthly Basic Bundled Non-CARE Customer"</f>
        <v>400 kWh Monthly Basic Bundled Non-CARE Customer</v>
      </c>
      <c r="D88" s="865"/>
      <c r="E88" s="865"/>
      <c r="F88" s="865"/>
      <c r="G88" s="865"/>
      <c r="H88" s="865"/>
      <c r="I88" s="865"/>
      <c r="J88" s="865"/>
      <c r="M88" s="755">
        <f>IF(Summary!$I$9="",400,Summary!$I$9)</f>
        <v>400</v>
      </c>
      <c r="N88" s="865" t="str">
        <f>$M$88&amp;" kWh Monthly All-Electric Bundled Non-CARE Customer"</f>
        <v>400 kWh Monthly All-Electric Bundled Non-CARE Customer</v>
      </c>
      <c r="O88" s="865"/>
      <c r="P88" s="865"/>
      <c r="Q88" s="865"/>
      <c r="R88" s="865"/>
      <c r="S88" s="865"/>
      <c r="T88" s="865"/>
      <c r="U88" s="865"/>
    </row>
    <row r="89" spans="2:35">
      <c r="B89" s="7"/>
      <c r="C89" s="862" t="str">
        <f>C79</f>
        <v>6/1/2026</v>
      </c>
      <c r="D89" s="862"/>
      <c r="E89" s="861" t="str">
        <f>E79</f>
        <v>8/1/2026</v>
      </c>
      <c r="F89" s="862"/>
      <c r="G89" s="862" t="str">
        <f>G79</f>
        <v>Authorized</v>
      </c>
      <c r="H89" s="862"/>
      <c r="I89" s="861" t="str">
        <f>I79</f>
        <v>w/Pending</v>
      </c>
      <c r="J89" s="862"/>
      <c r="M89" s="7"/>
      <c r="N89" s="862" t="str">
        <f>N79</f>
        <v>6/1/2026</v>
      </c>
      <c r="O89" s="862"/>
      <c r="P89" s="861" t="str">
        <f>P79</f>
        <v>8/1/2026</v>
      </c>
      <c r="Q89" s="862"/>
      <c r="R89" s="862" t="str">
        <f>R79</f>
        <v>Authorized</v>
      </c>
      <c r="S89" s="862"/>
      <c r="T89" s="861" t="str">
        <f>T79</f>
        <v>w/Pending</v>
      </c>
      <c r="U89" s="862"/>
    </row>
    <row r="90" spans="2:35">
      <c r="B90" s="7"/>
      <c r="C90" s="8" t="s">
        <v>192</v>
      </c>
      <c r="D90" s="8" t="s">
        <v>193</v>
      </c>
      <c r="E90" s="8" t="s">
        <v>192</v>
      </c>
      <c r="F90" s="8" t="s">
        <v>193</v>
      </c>
      <c r="G90" s="8" t="s">
        <v>192</v>
      </c>
      <c r="H90" s="8" t="s">
        <v>193</v>
      </c>
      <c r="I90" s="8" t="s">
        <v>192</v>
      </c>
      <c r="J90" s="8" t="s">
        <v>193</v>
      </c>
      <c r="M90" s="7"/>
      <c r="N90" s="8" t="s">
        <v>192</v>
      </c>
      <c r="O90" s="8" t="s">
        <v>193</v>
      </c>
      <c r="P90" s="8" t="s">
        <v>192</v>
      </c>
      <c r="Q90" s="8" t="s">
        <v>193</v>
      </c>
      <c r="R90" s="8" t="s">
        <v>192</v>
      </c>
      <c r="S90" s="8" t="s">
        <v>193</v>
      </c>
      <c r="T90" s="8" t="s">
        <v>192</v>
      </c>
      <c r="U90" s="8" t="s">
        <v>193</v>
      </c>
    </row>
    <row r="91" spans="2:35">
      <c r="B91" s="138" t="s">
        <v>223</v>
      </c>
      <c r="C91" s="159">
        <f>$F$18+(SUMPRODUCT($C$25:$C$27,$I$42:$I$44)*$B$88)+(MIN($I25,$B$88)*$C$28)+('Incremental Rev Req'!$F$87*$B$88)</f>
        <v>187.65906424622074</v>
      </c>
      <c r="D91" s="159">
        <f>$F$18+(SUMPRODUCT($C$30:$C$32,$J$42:$J$44)*$B$88)+(MIN($J25,$B$88)*$C$33)+('Incremental Rev Req'!$F$87*$B$88)</f>
        <v>194.00768533573873</v>
      </c>
      <c r="E91" s="159">
        <f>$F$18+(SUMPRODUCT($D$25:$D$27,$L$42:$L$44)*$B$88)+(MIN($I25,$B$88)*$D$28)+('Incremental Rev Req'!$F$87*$B$88)</f>
        <v>188.08724451219476</v>
      </c>
      <c r="F91" s="159">
        <f>$F$18+(SUMPRODUCT($D$30:$D$32,$M$42:$M$44)*$B$88)+(MIN($J25,$B$88)*$D$33)+('Incremental Rev Req'!$F$87*$B$88)</f>
        <v>194.64142919925123</v>
      </c>
      <c r="G91" s="159">
        <f>$F$18+(SUMPRODUCT($E$25:$E$27,$L$42:$L$44)*$B$88)+(MIN($I25,$B$88)*$E$28)+('Incremental Rev Req'!$F$87*$B$88)</f>
        <v>185.87074681776781</v>
      </c>
      <c r="H91" s="159">
        <f>$F$18+(SUMPRODUCT($E$30:$E$32,$M$42:$M$44)*$B$88)+(MIN($J25,$B$88)*$E$33)+('Incremental Rev Req'!$F$87*$B$88)</f>
        <v>192.3362876792597</v>
      </c>
      <c r="I91" s="159">
        <f>$F$18+(SUMPRODUCT($F$25:$F$27,$L$42:$L$44)*$B$88)+(MIN($I25,$B$88)*$F$28)+('Incremental Rev Req'!$F$87*$B$88)</f>
        <v>209.45030489631017</v>
      </c>
      <c r="J91" s="159">
        <f>$F$18+(SUMPRODUCT($F$30:$F$32,$M$42:$M$44)*$B$88)+(MIN($J25,$B$88)*$F$33)+('Incremental Rev Req'!$F$87*$B$88)</f>
        <v>216.85885699506179</v>
      </c>
      <c r="M91" s="138" t="s">
        <v>223</v>
      </c>
      <c r="N91" s="159">
        <f>$F$18+(SUMPRODUCT($C$25:$C$27,$I$42:$I$44)*$B$88)+(MIN($L25,$B$88)*$C$28)+('Incremental Rev Req'!$F$87*$B$88)</f>
        <v>200.02814424622073</v>
      </c>
      <c r="O91" s="159">
        <f>$F$18+(SUMPRODUCT($C$30:$C$32,$J$42:$J$44)*$B$88)+(MIN($M25,$B$88)*$C$33)+('Incremental Rev Req'!$F$87*$B$88)</f>
        <v>195.71376533573871</v>
      </c>
      <c r="P91" s="159">
        <f>$F$18+(SUMPRODUCT($D$25:$D$27,$L$42:$L$44)*$B$88)+(MIN($L25,$B$88)*$D$28)+('Incremental Rev Req'!$F$87*$B$88)</f>
        <v>200.50156451219476</v>
      </c>
      <c r="Q91" s="159">
        <f>$F$18+(SUMPRODUCT($D$30:$D$32,$M$42:$M$44)*$B$88)+(MIN($M25,$B$88)*$D$33)+('Incremental Rev Req'!$F$87*$B$88)</f>
        <v>196.35374919925121</v>
      </c>
      <c r="R91" s="159">
        <f>$F$18+(SUMPRODUCT($E$25:$E$27,$L$42:$L$44)*$B$88)+(MIN($L25,$B$88)*$E$28)+('Incremental Rev Req'!$F$87*$B$88)</f>
        <v>198.11716602321798</v>
      </c>
      <c r="S91" s="159">
        <f>$F$18+(SUMPRODUCT($E$30:$E$32,$M$42:$M$44)*$B$88)+(MIN($M25,$B$88)*$E$33)+('Incremental Rev Req'!$F$87*$B$88)</f>
        <v>194.02544894897696</v>
      </c>
      <c r="T91" s="159">
        <f>$F$18+(SUMPRODUCT($F$25:$F$27,$L$42:$L$44)*$B$88)+(MIN($L25,$B$88)*$F$28)+('Incremental Rev Req'!$F$87*$B$88)</f>
        <v>223.48288726650256</v>
      </c>
      <c r="U91" s="159">
        <f>$F$18+(SUMPRODUCT($F$30:$F$32,$M$42:$M$44)*$B$88)+(MIN($M25,$B$88)*$F$33)+('Incremental Rev Req'!$F$87*$B$88)</f>
        <v>218.79438559784694</v>
      </c>
      <c r="X91" s="499"/>
      <c r="Y91" s="499"/>
      <c r="Z91" s="499"/>
      <c r="AA91" s="499"/>
      <c r="AB91" s="499"/>
      <c r="AC91" s="499"/>
      <c r="AD91" s="499"/>
      <c r="AE91" s="499"/>
      <c r="AF91" s="499"/>
      <c r="AG91" s="499"/>
      <c r="AH91" s="499"/>
      <c r="AI91" s="499"/>
    </row>
    <row r="92" spans="2:35">
      <c r="B92" s="141" t="s">
        <v>225</v>
      </c>
      <c r="C92" s="159">
        <f>$F$18+(SUMPRODUCT($C$25:$C$27,$I$42:$I$44)*$B$88)+(MIN($I26,$B$88)*$C$28)+('Incremental Rev Req'!$F$87*$B$88)</f>
        <v>182.43419424622076</v>
      </c>
      <c r="D92" s="159">
        <f>$F$18+(SUMPRODUCT($C$30:$C$32,$J$42:$J$44)*$B$88)+(MIN($J26,$B$88)*$C$33)+('Incremental Rev Req'!$F$87*$B$88)</f>
        <v>189.63585533573874</v>
      </c>
      <c r="E92" s="159">
        <f>$F$18+(SUMPRODUCT($D$25:$D$27,$L$42:$L$44)*$B$88)+(MIN($I26,$B$88)*$D$28)+('Incremental Rev Req'!$F$87*$B$88)</f>
        <v>182.84326451219476</v>
      </c>
      <c r="F92" s="159">
        <f>$F$18+(SUMPRODUCT($D$30:$D$32,$M$42:$M$44)*$B$88)+(MIN($J26,$B$88)*$D$33)+('Incremental Rev Req'!$F$87*$B$88)</f>
        <v>190.25360919925123</v>
      </c>
      <c r="G92" s="159">
        <f>$F$18+(SUMPRODUCT($E$25:$E$27,$L$42:$L$44)*$B$88)+(MIN($I26,$B$88)*$E$28)+('Incremental Rev Req'!$F$87*$B$88)</f>
        <v>180.6976904292587</v>
      </c>
      <c r="H92" s="159">
        <f>$F$18+(SUMPRODUCT($E$30:$E$32,$M$42:$M$44)*$B$88)+(MIN($J26,$B$88)*$E$33)+('Incremental Rev Req'!$F$87*$B$88)</f>
        <v>188.00781192560922</v>
      </c>
      <c r="I92" s="159">
        <f>$F$18+(SUMPRODUCT($F$25:$F$27,$L$42:$L$44)*$B$88)+(MIN($I26,$B$88)*$F$28)+('Incremental Rev Req'!$F$87*$B$88)</f>
        <v>203.52274855028062</v>
      </c>
      <c r="J92" s="159">
        <f>$F$18+(SUMPRODUCT($F$30:$F$32,$M$42:$M$44)*$B$88)+(MIN($J26,$B$88)*$F$33)+('Incremental Rev Req'!$F$87*$B$88)</f>
        <v>211.89906495042482</v>
      </c>
      <c r="M92" s="141" t="s">
        <v>225</v>
      </c>
      <c r="N92" s="159">
        <f>$F$18+(SUMPRODUCT($C$25:$C$27,$I$42:$I$44)*$B$88)+(MIN($L26,$B$88)*$C$28)+('Incremental Rev Req'!$F$87*$B$88)</f>
        <v>182.43419424622076</v>
      </c>
      <c r="O92" s="159">
        <f>$F$18+(SUMPRODUCT($C$30:$C$32,$J$42:$J$44)*$B$88)+(MIN($M26,$B$88)*$C$33)+('Incremental Rev Req'!$F$87*$B$88)</f>
        <v>189.63585533573874</v>
      </c>
      <c r="P92" s="159">
        <f>$F$18+(SUMPRODUCT($D$25:$D$27,$L$42:$L$44)*$B$88)+(MIN($L26,$B$88)*$D$28)+('Incremental Rev Req'!$F$87*$B$88)</f>
        <v>182.84326451219476</v>
      </c>
      <c r="Q92" s="159">
        <f>$F$18+(SUMPRODUCT($D$30:$D$32,$M$42:$M$44)*$B$88)+(MIN($M26,$B$88)*$D$33)+('Incremental Rev Req'!$F$87*$B$88)</f>
        <v>190.25360919925123</v>
      </c>
      <c r="R92" s="159">
        <f>$F$18+(SUMPRODUCT($E$25:$E$27,$L$42:$L$44)*$B$88)+(MIN($L26,$B$88)*$E$28)+('Incremental Rev Req'!$F$87*$B$88)</f>
        <v>180.6976904292587</v>
      </c>
      <c r="S92" s="159">
        <f>$F$18+(SUMPRODUCT($E$30:$E$32,$M$42:$M$44)*$B$88)+(MIN($M26,$B$88)*$E$33)+('Incremental Rev Req'!$F$87*$B$88)</f>
        <v>188.00781192560922</v>
      </c>
      <c r="T92" s="159">
        <f>$F$18+(SUMPRODUCT($F$25:$F$27,$L$42:$L$44)*$B$88)+(MIN($L26,$B$88)*$F$28)+('Incremental Rev Req'!$F$87*$B$88)</f>
        <v>203.52274855028062</v>
      </c>
      <c r="U92" s="159">
        <f>$F$18+(SUMPRODUCT($F$30:$F$32,$M$42:$M$44)*$B$88)+(MIN($M26,$B$88)*$F$33)+('Incremental Rev Req'!$F$87*$B$88)</f>
        <v>211.89906495042482</v>
      </c>
      <c r="X92" s="499"/>
      <c r="Y92" s="499"/>
      <c r="Z92" s="499"/>
      <c r="AA92" s="499"/>
      <c r="AB92" s="499"/>
      <c r="AC92" s="499"/>
      <c r="AD92" s="499"/>
      <c r="AE92" s="499"/>
      <c r="AF92" s="499"/>
      <c r="AG92" s="499"/>
      <c r="AH92" s="499"/>
      <c r="AI92" s="499"/>
    </row>
    <row r="93" spans="2:35">
      <c r="B93" s="141" t="s">
        <v>222</v>
      </c>
      <c r="C93" s="159">
        <f>$F$18+(SUMPRODUCT($C$25:$C$27,$I$42:$I$44)*$B$88)+(MIN($I27,$B$88)*$C$28)+('Incremental Rev Req'!$F$87*$B$88)</f>
        <v>182.43419424622076</v>
      </c>
      <c r="D93" s="159">
        <f>$F$18+(SUMPRODUCT($C$30:$C$32,$J$42:$J$44)*$B$88)+(MIN($J27,$B$88)*$C$33)+('Incremental Rev Req'!$F$87*$B$88)</f>
        <v>189.63585533573874</v>
      </c>
      <c r="E93" s="159">
        <f>$F$18+(SUMPRODUCT($D$25:$D$27,$L$42:$L$44)*$B$88)+(MIN($I27,$B$88)*$D$28)+('Incremental Rev Req'!$F$87*$B$88)</f>
        <v>182.84326451219476</v>
      </c>
      <c r="F93" s="159">
        <f>$F$18+(SUMPRODUCT($D$30:$D$32,$M$42:$M$44)*$B$88)+(MIN($J27,$B$88)*$D$33)+('Incremental Rev Req'!$F$87*$B$88)</f>
        <v>190.25360919925123</v>
      </c>
      <c r="G93" s="159">
        <f>$F$18+(SUMPRODUCT($E$25:$E$27,$L$42:$L$44)*$B$88)+(MIN($I27,$B$88)*$E$28)+('Incremental Rev Req'!$F$87*$B$88)</f>
        <v>180.6976904292587</v>
      </c>
      <c r="H93" s="159">
        <f>$F$18+(SUMPRODUCT($E$30:$E$32,$M$42:$M$44)*$B$88)+(MIN($J27,$B$88)*$E$33)+('Incremental Rev Req'!$F$87*$B$88)</f>
        <v>188.00781192560922</v>
      </c>
      <c r="I93" s="159">
        <f>$F$18+(SUMPRODUCT($F$25:$F$27,$L$42:$L$44)*$B$88)+(MIN($I27,$B$88)*$F$28)+('Incremental Rev Req'!$F$87*$B$88)</f>
        <v>203.52274855028062</v>
      </c>
      <c r="J93" s="159">
        <f>$F$18+(SUMPRODUCT($F$30:$F$32,$M$42:$M$44)*$B$88)+(MIN($J27,$B$88)*$F$33)+('Incremental Rev Req'!$F$87*$B$88)</f>
        <v>211.89906495042482</v>
      </c>
      <c r="M93" s="141" t="s">
        <v>222</v>
      </c>
      <c r="N93" s="159">
        <f>$F$18+(SUMPRODUCT($C$25:$C$27,$I$42:$I$44)*$B$88)+(MIN($L27,$B$88)*$C$28)+('Incremental Rev Req'!$F$87*$B$88)</f>
        <v>182.43419424622076</v>
      </c>
      <c r="O93" s="159">
        <f>$F$18+(SUMPRODUCT($C$30:$C$32,$J$42:$J$44)*$B$88)+(MIN($M27,$B$88)*$C$33)+('Incremental Rev Req'!$F$87*$B$88)</f>
        <v>189.63585533573874</v>
      </c>
      <c r="P93" s="159">
        <f>$F$18+(SUMPRODUCT($D$25:$D$27,$L$42:$L$44)*$B$88)+(MIN($L27,$B$88)*$D$28)+('Incremental Rev Req'!$F$87*$B$88)</f>
        <v>182.84326451219476</v>
      </c>
      <c r="Q93" s="159">
        <f>$F$18+(SUMPRODUCT($D$30:$D$32,$M$42:$M$44)*$B$88)+(MIN($M27,$B$88)*$D$33)+('Incremental Rev Req'!$F$87*$B$88)</f>
        <v>190.25360919925123</v>
      </c>
      <c r="R93" s="159">
        <f>$F$18+(SUMPRODUCT($E$25:$E$27,$L$42:$L$44)*$B$88)+(MIN($L27,$B$88)*$E$28)+('Incremental Rev Req'!$F$87*$B$88)</f>
        <v>180.6976904292587</v>
      </c>
      <c r="S93" s="159">
        <f>$F$18+(SUMPRODUCT($E$30:$E$32,$M$42:$M$44)*$B$88)+(MIN($M27,$B$88)*$E$33)+('Incremental Rev Req'!$F$87*$B$88)</f>
        <v>188.00781192560922</v>
      </c>
      <c r="T93" s="159">
        <f>$F$18+(SUMPRODUCT($F$25:$F$27,$L$42:$L$44)*$B$88)+(MIN($L27,$B$88)*$F$28)+('Incremental Rev Req'!$F$87*$B$88)</f>
        <v>203.52274855028062</v>
      </c>
      <c r="U93" s="159">
        <f>$F$18+(SUMPRODUCT($F$30:$F$32,$M$42:$M$44)*$B$88)+(MIN($M27,$B$88)*$F$33)+('Incremental Rev Req'!$F$87*$B$88)</f>
        <v>211.89906495042482</v>
      </c>
      <c r="X93" s="499"/>
      <c r="Y93" s="499"/>
      <c r="Z93" s="499"/>
      <c r="AA93" s="499"/>
      <c r="AB93" s="499"/>
      <c r="AC93" s="499"/>
      <c r="AD93" s="499"/>
      <c r="AE93" s="499"/>
      <c r="AF93" s="499"/>
      <c r="AG93" s="499"/>
      <c r="AH93" s="499"/>
      <c r="AI93" s="499"/>
    </row>
    <row r="94" spans="2:35">
      <c r="B94" s="144" t="s">
        <v>224</v>
      </c>
      <c r="C94" s="159">
        <f>$F$18+(SUMPRODUCT($C$25:$C$27,$I$42:$I$44)*$B$88)+(MIN($I28,$B$88)*$C$28)+('Incremental Rev Req'!$F$87*$B$88)</f>
        <v>182.43419424622076</v>
      </c>
      <c r="D94" s="159">
        <f>$F$18+(SUMPRODUCT($C$30:$C$32,$J$42:$J$44)*$B$88)+(MIN($J28,$B$88)*$C$33)+('Incremental Rev Req'!$F$87*$B$88)</f>
        <v>192.40823533573874</v>
      </c>
      <c r="E94" s="159">
        <f>$F$18+(SUMPRODUCT($D$25:$D$27,$L$42:$L$44)*$B$88)+(MIN($I28,$B$88)*$D$28)+('Incremental Rev Req'!$F$87*$B$88)</f>
        <v>182.84326451219476</v>
      </c>
      <c r="F94" s="159">
        <f>$F$18+(SUMPRODUCT($D$30:$D$32,$M$42:$M$44)*$B$88)+(MIN($J28,$B$88)*$D$33)+('Incremental Rev Req'!$F$87*$B$88)</f>
        <v>193.03612919925123</v>
      </c>
      <c r="G94" s="159">
        <f>$F$18+(SUMPRODUCT($E$25:$E$27,$L$42:$L$44)*$B$88)+(MIN($I28,$B$88)*$E$28)+('Incremental Rev Req'!$F$87*$B$88)</f>
        <v>180.6976904292587</v>
      </c>
      <c r="H94" s="159">
        <f>$F$18+(SUMPRODUCT($E$30:$E$32,$M$42:$M$44)*$B$88)+(MIN($J28,$B$88)*$E$33)+('Incremental Rev Req'!$F$87*$B$88)</f>
        <v>190.75269898889977</v>
      </c>
      <c r="I94" s="159">
        <f>$F$18+(SUMPRODUCT($F$25:$F$27,$L$42:$L$44)*$B$88)+(MIN($I28,$B$88)*$F$28)+('Incremental Rev Req'!$F$87*$B$88)</f>
        <v>203.52274855028062</v>
      </c>
      <c r="J94" s="159">
        <f>$F$18+(SUMPRODUCT($F$30:$F$32,$M$42:$M$44)*$B$88)+(MIN($J28,$B$88)*$F$33)+('Incremental Rev Req'!$F$87*$B$88)</f>
        <v>215.04429892995068</v>
      </c>
      <c r="M94" s="144" t="s">
        <v>224</v>
      </c>
      <c r="N94" s="159">
        <f>$F$18+(SUMPRODUCT($C$25:$C$27,$I$42:$I$44)*$B$88)+(MIN($L28,$B$88)*$C$28)+('Incremental Rev Req'!$F$87*$B$88)</f>
        <v>188.72536424622075</v>
      </c>
      <c r="O94" s="159">
        <f>$F$18+(SUMPRODUCT($C$30:$C$32,$J$42:$J$44)*$B$88)+(MIN($M28,$B$88)*$C$33)+('Incremental Rev Req'!$F$87*$B$88)</f>
        <v>189.63585533573874</v>
      </c>
      <c r="P94" s="159">
        <f>$F$18+(SUMPRODUCT($D$25:$D$27,$L$42:$L$44)*$B$88)+(MIN($L28,$B$88)*$D$28)+('Incremental Rev Req'!$F$87*$B$88)</f>
        <v>189.15744451219476</v>
      </c>
      <c r="Q94" s="159">
        <f>$F$18+(SUMPRODUCT($D$30:$D$32,$M$42:$M$44)*$B$88)+(MIN($M28,$B$88)*$D$33)+('Incremental Rev Req'!$F$87*$B$88)</f>
        <v>190.25360919925123</v>
      </c>
      <c r="R94" s="159">
        <f>$F$18+(SUMPRODUCT($E$25:$E$27,$L$42:$L$44)*$B$88)+(MIN($L28,$B$88)*$E$28)+('Incremental Rev Req'!$F$87*$B$88)</f>
        <v>186.9264726113411</v>
      </c>
      <c r="S94" s="159">
        <f>$F$18+(SUMPRODUCT($E$30:$E$32,$M$42:$M$44)*$B$88)+(MIN($M28,$B$88)*$E$33)+('Incremental Rev Req'!$F$87*$B$88)</f>
        <v>188.00781192560922</v>
      </c>
      <c r="T94" s="159">
        <f>$F$18+(SUMPRODUCT($F$25:$F$27,$L$42:$L$44)*$B$88)+(MIN($L28,$B$88)*$F$28)+('Incremental Rev Req'!$F$87*$B$88)</f>
        <v>210.66001027305089</v>
      </c>
      <c r="U94" s="159">
        <f>$F$18+(SUMPRODUCT($F$30:$F$32,$M$42:$M$44)*$B$88)+(MIN($M28,$B$88)*$F$33)+('Incremental Rev Req'!$F$87*$B$88)</f>
        <v>211.89906495042482</v>
      </c>
      <c r="X94" s="499"/>
      <c r="Y94" s="499"/>
      <c r="Z94" s="499"/>
      <c r="AA94" s="499"/>
      <c r="AB94" s="499"/>
      <c r="AC94" s="499"/>
      <c r="AD94" s="499"/>
      <c r="AE94" s="499"/>
      <c r="AF94" s="499"/>
      <c r="AG94" s="499"/>
      <c r="AH94" s="499"/>
      <c r="AI94" s="499"/>
    </row>
    <row r="95" spans="2:35">
      <c r="B95" s="6" t="s">
        <v>112</v>
      </c>
      <c r="C95" s="157">
        <f t="shared" ref="C95:J95" si="34">SUMPRODUCT(C91:C94,$U$26:$U$29)</f>
        <v>185.53269764897541</v>
      </c>
      <c r="D95" s="157">
        <f t="shared" si="34"/>
        <v>193.33026176747762</v>
      </c>
      <c r="E95" s="157">
        <f t="shared" si="34"/>
        <v>185.95310071366532</v>
      </c>
      <c r="F95" s="157">
        <f t="shared" si="34"/>
        <v>193.96152794936557</v>
      </c>
      <c r="G95" s="157">
        <f t="shared" si="34"/>
        <v>183.76546681842001</v>
      </c>
      <c r="H95" s="157">
        <f t="shared" si="34"/>
        <v>191.66558193585939</v>
      </c>
      <c r="I95" s="157">
        <f t="shared" si="34"/>
        <v>207.03796586826036</v>
      </c>
      <c r="J95" s="157">
        <f t="shared" si="34"/>
        <v>216.09032756351684</v>
      </c>
      <c r="M95" s="6" t="s">
        <v>112</v>
      </c>
      <c r="N95" s="157">
        <f>SUMPRODUCT(N91:N94,$U$34:$U$37)</f>
        <v>195.15957254514109</v>
      </c>
      <c r="O95" s="157">
        <f t="shared" ref="O95:U95" si="35">SUMPRODUCT(O91:O94,$U$34:$U$37)</f>
        <v>193.18436794869132</v>
      </c>
      <c r="P95" s="157">
        <f t="shared" si="35"/>
        <v>195.61518597473301</v>
      </c>
      <c r="Q95" s="157">
        <f t="shared" si="35"/>
        <v>193.81510052287672</v>
      </c>
      <c r="R95" s="157">
        <f t="shared" si="35"/>
        <v>193.29687462052567</v>
      </c>
      <c r="S95" s="157">
        <f t="shared" si="35"/>
        <v>191.52113490630339</v>
      </c>
      <c r="T95" s="157">
        <f t="shared" si="35"/>
        <v>217.9595473397992</v>
      </c>
      <c r="U95" s="157">
        <f t="shared" si="35"/>
        <v>215.92481266431491</v>
      </c>
      <c r="X95" s="499"/>
      <c r="Y95" s="499"/>
      <c r="Z95" s="499"/>
      <c r="AA95" s="499"/>
      <c r="AB95" s="499"/>
      <c r="AC95" s="499"/>
      <c r="AD95" s="499"/>
      <c r="AE95" s="499"/>
      <c r="AF95" s="499"/>
      <c r="AG95" s="499"/>
      <c r="AH95" s="499"/>
      <c r="AI95" s="499"/>
    </row>
    <row r="96" spans="2:35">
      <c r="B96" s="7"/>
      <c r="C96" s="143"/>
      <c r="D96" s="143"/>
      <c r="E96" s="158"/>
      <c r="F96" s="146"/>
      <c r="G96" s="147"/>
      <c r="H96" s="147"/>
      <c r="I96" s="147"/>
      <c r="J96" s="147"/>
      <c r="M96" s="7"/>
      <c r="N96" s="143"/>
      <c r="O96" s="143"/>
      <c r="P96" s="158"/>
      <c r="Q96" s="146"/>
      <c r="R96" s="147"/>
      <c r="S96" s="147"/>
      <c r="T96" s="147"/>
      <c r="U96" s="147"/>
    </row>
    <row r="97" spans="2:35" ht="15.75" thickBot="1">
      <c r="B97" s="7"/>
      <c r="C97" s="143"/>
      <c r="D97" s="143"/>
      <c r="E97" s="218"/>
      <c r="F97" s="143"/>
      <c r="G97" s="147"/>
      <c r="H97" s="147"/>
      <c r="I97" s="147"/>
      <c r="J97" s="147"/>
      <c r="M97" s="7"/>
      <c r="N97" s="143"/>
      <c r="O97" s="143"/>
      <c r="P97" s="218"/>
      <c r="Q97" s="143"/>
      <c r="R97" s="147"/>
      <c r="S97" s="147"/>
      <c r="T97" s="147"/>
      <c r="U97" s="147"/>
    </row>
    <row r="98" spans="2:35" ht="15.75" thickBot="1">
      <c r="B98" s="755">
        <f>IF(Summary!$I$9="",400,Summary!$I$9)</f>
        <v>400</v>
      </c>
      <c r="C98" s="865" t="str">
        <f>$B$98&amp;" kWh Monthly Basic Bundled CARE Customer"</f>
        <v>400 kWh Monthly Basic Bundled CARE Customer</v>
      </c>
      <c r="D98" s="865"/>
      <c r="E98" s="865"/>
      <c r="F98" s="865"/>
      <c r="G98" s="865"/>
      <c r="H98" s="865"/>
      <c r="I98" s="865"/>
      <c r="J98" s="865"/>
      <c r="M98" s="755">
        <f>IF(Summary!$I$9="",400,Summary!$I$9)</f>
        <v>400</v>
      </c>
      <c r="N98" s="865" t="str">
        <f>$M$98&amp;" kWh Monthly All-Electric Bundled CARE Customer"</f>
        <v>400 kWh Monthly All-Electric Bundled CARE Customer</v>
      </c>
      <c r="O98" s="865"/>
      <c r="P98" s="865"/>
      <c r="Q98" s="865"/>
      <c r="R98" s="865"/>
      <c r="S98" s="865"/>
      <c r="T98" s="865"/>
      <c r="U98" s="865"/>
    </row>
    <row r="99" spans="2:35">
      <c r="B99" s="7"/>
      <c r="C99" s="863" t="str">
        <f>C89</f>
        <v>6/1/2026</v>
      </c>
      <c r="D99" s="863"/>
      <c r="E99" s="864" t="str">
        <f>E89</f>
        <v>8/1/2026</v>
      </c>
      <c r="F99" s="863"/>
      <c r="G99" s="863" t="str">
        <f>G89</f>
        <v>Authorized</v>
      </c>
      <c r="H99" s="863"/>
      <c r="I99" s="864" t="str">
        <f>I89</f>
        <v>w/Pending</v>
      </c>
      <c r="J99" s="863"/>
      <c r="M99" s="7"/>
      <c r="N99" s="863" t="str">
        <f>N89</f>
        <v>6/1/2026</v>
      </c>
      <c r="O99" s="863"/>
      <c r="P99" s="864" t="str">
        <f>P89</f>
        <v>8/1/2026</v>
      </c>
      <c r="Q99" s="863"/>
      <c r="R99" s="863" t="str">
        <f>R89</f>
        <v>Authorized</v>
      </c>
      <c r="S99" s="863"/>
      <c r="T99" s="864" t="str">
        <f>T89</f>
        <v>w/Pending</v>
      </c>
      <c r="U99" s="863"/>
    </row>
    <row r="100" spans="2:35">
      <c r="B100" s="7"/>
      <c r="C100" s="143" t="s">
        <v>192</v>
      </c>
      <c r="D100" s="143" t="s">
        <v>193</v>
      </c>
      <c r="E100" s="143" t="s">
        <v>192</v>
      </c>
      <c r="F100" s="143" t="s">
        <v>193</v>
      </c>
      <c r="G100" s="143" t="s">
        <v>192</v>
      </c>
      <c r="H100" s="143" t="s">
        <v>193</v>
      </c>
      <c r="I100" s="143" t="s">
        <v>192</v>
      </c>
      <c r="J100" s="143" t="s">
        <v>193</v>
      </c>
      <c r="M100" s="7"/>
      <c r="N100" s="143" t="s">
        <v>192</v>
      </c>
      <c r="O100" s="143" t="s">
        <v>193</v>
      </c>
      <c r="P100" s="143" t="s">
        <v>192</v>
      </c>
      <c r="Q100" s="143" t="s">
        <v>193</v>
      </c>
      <c r="R100" s="143" t="s">
        <v>192</v>
      </c>
      <c r="S100" s="143" t="s">
        <v>193</v>
      </c>
      <c r="T100" s="143" t="s">
        <v>192</v>
      </c>
      <c r="U100" s="143" t="s">
        <v>193</v>
      </c>
    </row>
    <row r="101" spans="2:35">
      <c r="B101" s="138" t="s">
        <v>223</v>
      </c>
      <c r="C101" s="159">
        <f>$Q$18+(SUMPRODUCT($C$37:$C$39,$Q$42:$Q$44)*$B$98)+(MIN($I25,$B$98)*$C$40)+('Incremental Rev Req'!$F$87*$B$98)</f>
        <v>106.7542671875706</v>
      </c>
      <c r="D101" s="159">
        <f>$Q$18+(SUMPRODUCT($C$42:$C$44,$R$42:$R$44)*$B$98)+(MIN($J25,$B$98)*$C$45)+('Incremental Rev Req'!$F$87*$B$98)</f>
        <v>111.73010629107416</v>
      </c>
      <c r="E101" s="159">
        <f>$Q$18+(SUMPRODUCT($D$37:$D$39,$T$42:$T$44)*$B$98)+(MIN($I25,$B$98)*$D$40)+('Incremental Rev Req'!$F$87*$B$98)</f>
        <v>106.97507268094773</v>
      </c>
      <c r="F101" s="159">
        <f>$Q$18+(SUMPRODUCT($D$42:$D$44,$U$42:$U$44)*$B$98)+(MIN($J25,$B$98)*$D$45)+('Incremental Rev Req'!$F$87*$B$98)</f>
        <v>112.10912384286146</v>
      </c>
      <c r="G101" s="159">
        <f>$Q$18+(SUMPRODUCT($E$37:$E$39,$T$42:$T$44)*$B$98)+(MIN($I25,$B$98)*$E$40)+('Incremental Rev Req'!$F$87*$B$98)</f>
        <v>105.6136537008143</v>
      </c>
      <c r="H101" s="159">
        <f>$Q$18+(SUMPRODUCT($E$42:$E$44,$U$42:$U$44)*$B$98)+(MIN($J25,$B$98)*$E$45)+('Incremental Rev Req'!$F$87*$B$98)</f>
        <v>110.67826801323929</v>
      </c>
      <c r="I101" s="159">
        <f>$Q$18+(SUMPRODUCT($F$37:$F$39,$T$42:$T$44)*$B$98)+(MIN($I25,$B$98)*$F$40)+('Incremental Rev Req'!$F$87*$B$98)</f>
        <v>120.09670865368058</v>
      </c>
      <c r="J101" s="159">
        <f>$Q$18+(SUMPRODUCT($F$42:$F$44,$U$42:$U$44)*$B$98)+(MIN($J25,$B$98)*$F$45)+('Incremental Rev Req'!$F$87*$B$98)</f>
        <v>125.90000644384033</v>
      </c>
      <c r="M101" s="138" t="s">
        <v>223</v>
      </c>
      <c r="N101" s="159">
        <f>$Q$18+(SUMPRODUCT($C$37:$C$39,$Q$42:$Q$44)*$B$98)+(MIN($L25,$B$98)*$C$40)+('Incremental Rev Req'!$F$87*$B$98)</f>
        <v>114.79422718757061</v>
      </c>
      <c r="O101" s="159">
        <f>$Q$18+(SUMPRODUCT($C$42:$C$44,$R$42:$R$44)*$B$98)+(MIN($M25,$B$98)*$C$45)+('Incremental Rev Req'!$F$87*$B$98)</f>
        <v>112.83906629107416</v>
      </c>
      <c r="P101" s="159">
        <f>$Q$18+(SUMPRODUCT($D$37:$D$39,$T$42:$T$44)*$B$98)+(MIN($L25,$B$98)*$D$40)+('Incremental Rev Req'!$F$87*$B$98)</f>
        <v>115.04403268094774</v>
      </c>
      <c r="Q101" s="159">
        <f>$Q$18+(SUMPRODUCT($D$42:$D$44,$U$42:$U$44)*$B$98)+(MIN($M25,$B$98)*$D$45)+('Incremental Rev Req'!$F$87*$B$98)</f>
        <v>113.22208384286145</v>
      </c>
      <c r="R101" s="159">
        <f>$Q$18+(SUMPRODUCT($E$37:$E$39,$T$42:$T$44)*$B$98)+(MIN($L25,$B$98)*$E$40)+('Incremental Rev Req'!$F$87*$B$98)</f>
        <v>113.57348289097607</v>
      </c>
      <c r="S101" s="159">
        <f>$Q$18+(SUMPRODUCT($E$42:$E$44,$U$42:$U$44)*$B$98)+(MIN($M25,$B$98)*$E$45)+('Incremental Rev Req'!$F$87*$B$98)</f>
        <v>111.77617548774435</v>
      </c>
      <c r="T101" s="159">
        <f>$Q$18+(SUMPRODUCT($F$37:$F$39,$T$42:$T$44)*$B$98)+(MIN($L25,$B$98)*$F$40)+('Incremental Rev Req'!$F$87*$B$98)</f>
        <v>129.2174938309426</v>
      </c>
      <c r="U101" s="159">
        <f>$Q$18+(SUMPRODUCT($F$42:$F$44,$U$42:$U$44)*$B$98)+(MIN($M25,$B$98)*$F$45)+('Incremental Rev Req'!$F$87*$B$98)</f>
        <v>127.15804577863508</v>
      </c>
      <c r="X101" s="499"/>
      <c r="Y101" s="499"/>
      <c r="Z101" s="499"/>
      <c r="AA101" s="499"/>
      <c r="AB101" s="499"/>
      <c r="AC101" s="499"/>
      <c r="AD101" s="499"/>
      <c r="AE101" s="499"/>
      <c r="AF101" s="499"/>
      <c r="AG101" s="499"/>
      <c r="AH101" s="499"/>
      <c r="AI101" s="499"/>
    </row>
    <row r="102" spans="2:35">
      <c r="B102" s="141" t="s">
        <v>225</v>
      </c>
      <c r="C102" s="159">
        <f>$Q$18+(SUMPRODUCT($C$37:$C$39,$Q$42:$Q$44)*$B$98)+(MIN($I26,$B$98)*$C$40)+('Incremental Rev Req'!$F$87*$B$98)</f>
        <v>103.3580771875706</v>
      </c>
      <c r="D102" s="159">
        <f>$Q$18+(SUMPRODUCT($C$42:$C$44,$R$42:$R$44)*$B$98)+(MIN($J26,$B$98)*$C$45)+('Incremental Rev Req'!$F$87*$B$98)</f>
        <v>108.88839629107416</v>
      </c>
      <c r="E102" s="159">
        <f>$Q$18+(SUMPRODUCT($D$37:$D$39,$T$42:$T$44)*$B$98)+(MIN($I26,$B$98)*$D$40)+('Incremental Rev Req'!$F$87*$B$98)</f>
        <v>103.56663268094773</v>
      </c>
      <c r="F102" s="159">
        <f>$Q$18+(SUMPRODUCT($D$42:$D$44,$U$42:$U$44)*$B$98)+(MIN($J26,$B$98)*$D$45)+('Incremental Rev Req'!$F$87*$B$98)</f>
        <v>109.25716384286146</v>
      </c>
      <c r="G102" s="159">
        <f>$Q$18+(SUMPRODUCT($E$37:$E$39,$T$42:$T$44)*$B$98)+(MIN($I26,$B$98)*$E$40)+('Incremental Rev Req'!$F$87*$B$98)</f>
        <v>102.25131206014251</v>
      </c>
      <c r="H102" s="159">
        <f>$Q$18+(SUMPRODUCT($E$42:$E$44,$U$42:$U$44)*$B$98)+(MIN($J26,$B$98)*$E$45)+('Incremental Rev Req'!$F$87*$B$98)</f>
        <v>107.86488010982004</v>
      </c>
      <c r="I102" s="159">
        <f>$Q$18+(SUMPRODUCT($F$37:$F$39,$T$42:$T$44)*$B$98)+(MIN($I26,$B$98)*$F$40)+('Incremental Rev Req'!$F$87*$B$98)</f>
        <v>116.24396319087161</v>
      </c>
      <c r="J102" s="159">
        <f>$Q$18+(SUMPRODUCT($F$42:$F$44,$U$42:$U$44)*$B$98)+(MIN($J26,$B$98)*$F$45)+('Incremental Rev Req'!$F$87*$B$98)</f>
        <v>122.67628064842874</v>
      </c>
      <c r="M102" s="141" t="s">
        <v>225</v>
      </c>
      <c r="N102" s="159">
        <f>$Q$18+(SUMPRODUCT($C$37:$C$39,$Q$42:$Q$44)*$B$98)+(MIN($L26,$B$98)*$C$40)+('Incremental Rev Req'!$F$87*$B$98)</f>
        <v>103.3580771875706</v>
      </c>
      <c r="O102" s="159">
        <f>$Q$18+(SUMPRODUCT($C$42:$C$44,$R$42:$R$44)*$B$98)+(MIN($M26,$B$98)*$C$45)+('Incremental Rev Req'!$F$87*$B$98)</f>
        <v>108.88839629107416</v>
      </c>
      <c r="P102" s="159">
        <f>$Q$18+(SUMPRODUCT($D$37:$D$39,$T$42:$T$44)*$B$98)+(MIN($L26,$B$98)*$D$40)+('Incremental Rev Req'!$F$87*$B$98)</f>
        <v>103.56663268094773</v>
      </c>
      <c r="Q102" s="159">
        <f>$Q$18+(SUMPRODUCT($D$42:$D$44,$U$42:$U$44)*$B$98)+(MIN($M26,$B$98)*$D$45)+('Incremental Rev Req'!$F$87*$B$98)</f>
        <v>109.25716384286146</v>
      </c>
      <c r="R102" s="159">
        <f>$Q$18+(SUMPRODUCT($E$37:$E$39,$T$42:$T$44)*$B$98)+(MIN($L26,$B$98)*$E$40)+('Incremental Rev Req'!$F$87*$B$98)</f>
        <v>102.25131206014251</v>
      </c>
      <c r="S102" s="159">
        <f>$Q$18+(SUMPRODUCT($E$42:$E$44,$U$42:$U$44)*$B$98)+(MIN($M26,$B$98)*$E$45)+('Incremental Rev Req'!$F$87*$B$98)</f>
        <v>107.86488010982004</v>
      </c>
      <c r="T102" s="159">
        <f>$Q$18+(SUMPRODUCT($F$37:$F$39,$T$42:$T$44)*$B$98)+(MIN($L26,$B$98)*$F$40)+('Incremental Rev Req'!$F$87*$B$98)</f>
        <v>116.24396319087161</v>
      </c>
      <c r="U102" s="159">
        <f>$Q$18+(SUMPRODUCT($F$42:$F$44,$U$42:$U$44)*$B$98)+(MIN($M26,$B$98)*$F$45)+('Incremental Rev Req'!$F$87*$B$98)</f>
        <v>122.67628064842874</v>
      </c>
      <c r="X102" s="499"/>
      <c r="Y102" s="499"/>
      <c r="Z102" s="499"/>
      <c r="AA102" s="499"/>
      <c r="AB102" s="499"/>
      <c r="AC102" s="499"/>
      <c r="AD102" s="499"/>
      <c r="AE102" s="499"/>
      <c r="AF102" s="499"/>
      <c r="AG102" s="499"/>
      <c r="AH102" s="499"/>
      <c r="AI102" s="499"/>
    </row>
    <row r="103" spans="2:35">
      <c r="B103" s="141" t="s">
        <v>222</v>
      </c>
      <c r="C103" s="159">
        <f>$Q$18+(SUMPRODUCT($C$37:$C$39,$Q$42:$Q$44)*$B$98)+(MIN($I27,$B$98)*$C$40)+('Incremental Rev Req'!$F$87*$B$98)</f>
        <v>103.3580771875706</v>
      </c>
      <c r="D103" s="159">
        <f>$Q$18+(SUMPRODUCT($C$42:$C$44,$R$42:$R$44)*$B$98)+(MIN($J27,$B$98)*$C$45)+('Incremental Rev Req'!$F$87*$B$98)</f>
        <v>108.88839629107416</v>
      </c>
      <c r="E103" s="159">
        <f>$Q$18+(SUMPRODUCT($D$37:$D$39,$T$42:$T$44)*$B$98)+(MIN($I27,$B$98)*$D$40)+('Incremental Rev Req'!$F$87*$B$98)</f>
        <v>103.56663268094773</v>
      </c>
      <c r="F103" s="159">
        <f>$Q$18+(SUMPRODUCT($D$42:$D$44,$U$42:$U$44)*$B$98)+(MIN($J27,$B$98)*$D$45)+('Incremental Rev Req'!$F$87*$B$98)</f>
        <v>109.25716384286146</v>
      </c>
      <c r="G103" s="159">
        <f>$Q$18+(SUMPRODUCT($E$37:$E$39,$T$42:$T$44)*$B$98)+(MIN($I27,$B$98)*$E$40)+('Incremental Rev Req'!$F$87*$B$98)</f>
        <v>102.25131206014251</v>
      </c>
      <c r="H103" s="159">
        <f>$Q$18+(SUMPRODUCT($E$42:$E$44,$U$42:$U$44)*$B$98)+(MIN($J27,$B$98)*$E$45)+('Incremental Rev Req'!$F$87*$B$98)</f>
        <v>107.86488010982004</v>
      </c>
      <c r="I103" s="159">
        <f>$Q$18+(SUMPRODUCT($F$37:$F$39,$T$42:$T$44)*$B$98)+(MIN($I27,$B$98)*$F$40)+('Incremental Rev Req'!$F$87*$B$98)</f>
        <v>116.24396319087161</v>
      </c>
      <c r="J103" s="159">
        <f>$Q$18+(SUMPRODUCT($F$42:$F$44,$U$42:$U$44)*$B$98)+(MIN($J27,$B$98)*$F$45)+('Incremental Rev Req'!$F$87*$B$98)</f>
        <v>122.67628064842874</v>
      </c>
      <c r="M103" s="141" t="s">
        <v>222</v>
      </c>
      <c r="N103" s="159">
        <f>$Q$18+(SUMPRODUCT($C$37:$C$39,$Q$42:$Q$44)*$B$98)+(MIN($L27,$B$98)*$C$40)+('Incremental Rev Req'!$F$87*$B$98)</f>
        <v>103.3580771875706</v>
      </c>
      <c r="O103" s="159">
        <f>$Q$18+(SUMPRODUCT($C$42:$C$44,$R$42:$R$44)*$B$98)+(MIN($M27,$B$98)*$C$45)+('Incremental Rev Req'!$F$87*$B$98)</f>
        <v>108.88839629107416</v>
      </c>
      <c r="P103" s="159">
        <f>$Q$18+(SUMPRODUCT($D$37:$D$39,$T$42:$T$44)*$B$98)+(MIN($L27,$B$98)*$D$40)+('Incremental Rev Req'!$F$87*$B$98)</f>
        <v>103.56663268094773</v>
      </c>
      <c r="Q103" s="159">
        <f>$Q$18+(SUMPRODUCT($D$42:$D$44,$U$42:$U$44)*$B$98)+(MIN($M27,$B$98)*$D$45)+('Incremental Rev Req'!$F$87*$B$98)</f>
        <v>109.25716384286146</v>
      </c>
      <c r="R103" s="159">
        <f>$Q$18+(SUMPRODUCT($E$37:$E$39,$T$42:$T$44)*$B$98)+(MIN($L27,$B$98)*$E$40)+('Incremental Rev Req'!$F$87*$B$98)</f>
        <v>102.25131206014251</v>
      </c>
      <c r="S103" s="159">
        <f>$Q$18+(SUMPRODUCT($E$42:$E$44,$U$42:$U$44)*$B$98)+(MIN($M27,$B$98)*$E$45)+('Incremental Rev Req'!$F$87*$B$98)</f>
        <v>107.86488010982004</v>
      </c>
      <c r="T103" s="159">
        <f>$Q$18+(SUMPRODUCT($F$37:$F$39,$T$42:$T$44)*$B$98)+(MIN($L27,$B$98)*$F$40)+('Incremental Rev Req'!$F$87*$B$98)</f>
        <v>116.24396319087161</v>
      </c>
      <c r="U103" s="159">
        <f>$Q$18+(SUMPRODUCT($F$42:$F$44,$U$42:$U$44)*$B$98)+(MIN($M27,$B$98)*$F$45)+('Incremental Rev Req'!$F$87*$B$98)</f>
        <v>122.67628064842874</v>
      </c>
      <c r="X103" s="499"/>
      <c r="Y103" s="499"/>
      <c r="Z103" s="499"/>
      <c r="AA103" s="499"/>
      <c r="AB103" s="499"/>
      <c r="AC103" s="499"/>
      <c r="AD103" s="499"/>
      <c r="AE103" s="499"/>
      <c r="AF103" s="499"/>
      <c r="AG103" s="499"/>
      <c r="AH103" s="499"/>
      <c r="AI103" s="499"/>
    </row>
    <row r="104" spans="2:35">
      <c r="B104" s="144" t="s">
        <v>224</v>
      </c>
      <c r="C104" s="159">
        <f>$Q$18+(SUMPRODUCT($C$37:$C$39,$Q$42:$Q$44)*$B$98)+(MIN($I28,$B$98)*$C$40)+('Incremental Rev Req'!$F$87*$B$98)</f>
        <v>103.3580771875706</v>
      </c>
      <c r="D104" s="159">
        <f>$Q$18+(SUMPRODUCT($C$42:$C$44,$R$42:$R$44)*$B$98)+(MIN($J28,$B$98)*$C$45)+('Incremental Rev Req'!$F$87*$B$98)</f>
        <v>110.69045629107416</v>
      </c>
      <c r="E104" s="159">
        <f>$Q$18+(SUMPRODUCT($D$37:$D$39,$T$42:$T$44)*$B$98)+(MIN($I28,$B$98)*$D$40)+('Incremental Rev Req'!$F$87*$B$98)</f>
        <v>103.56663268094773</v>
      </c>
      <c r="F104" s="159">
        <f>$Q$18+(SUMPRODUCT($D$42:$D$44,$U$42:$U$44)*$B$98)+(MIN($J28,$B$98)*$D$45)+('Incremental Rev Req'!$F$87*$B$98)</f>
        <v>111.06572384286146</v>
      </c>
      <c r="G104" s="159">
        <f>$Q$18+(SUMPRODUCT($E$37:$E$39,$T$42:$T$44)*$B$98)+(MIN($I28,$B$98)*$E$40)+('Incremental Rev Req'!$F$87*$B$98)</f>
        <v>102.25131206014251</v>
      </c>
      <c r="H104" s="159">
        <f>$Q$18+(SUMPRODUCT($E$42:$E$44,$U$42:$U$44)*$B$98)+(MIN($J28,$B$98)*$E$45)+('Incremental Rev Req'!$F$87*$B$98)</f>
        <v>109.64897975589078</v>
      </c>
      <c r="I104" s="159">
        <f>$Q$18+(SUMPRODUCT($F$37:$F$39,$T$42:$T$44)*$B$98)+(MIN($I28,$B$98)*$F$40)+('Incremental Rev Req'!$F$87*$B$98)</f>
        <v>116.24396319087161</v>
      </c>
      <c r="J104" s="159">
        <f>$Q$18+(SUMPRODUCT($F$42:$F$44,$U$42:$U$44)*$B$98)+(MIN($J28,$B$98)*$F$45)+('Incremental Rev Req'!$F$87*$B$98)</f>
        <v>124.72059456747024</v>
      </c>
      <c r="M104" s="144" t="s">
        <v>224</v>
      </c>
      <c r="N104" s="159">
        <f>$Q$18+(SUMPRODUCT($C$37:$C$39,$Q$42:$Q$44)*$B$98)+(MIN($L28,$B$98)*$C$40)+('Incremental Rev Req'!$F$87*$B$98)</f>
        <v>107.44736718757061</v>
      </c>
      <c r="O104" s="159">
        <f>$Q$18+(SUMPRODUCT($C$42:$C$44,$R$42:$R$44)*$B$98)+(MIN($M28,$B$98)*$C$45)+('Incremental Rev Req'!$F$87*$B$98)</f>
        <v>108.88839629107416</v>
      </c>
      <c r="P104" s="159">
        <f>$Q$18+(SUMPRODUCT($D$37:$D$39,$T$42:$T$44)*$B$98)+(MIN($L28,$B$98)*$D$40)+('Incremental Rev Req'!$F$87*$B$98)</f>
        <v>107.67067268094773</v>
      </c>
      <c r="Q104" s="159">
        <f>$Q$18+(SUMPRODUCT($D$42:$D$44,$U$42:$U$44)*$B$98)+(MIN($M28,$B$98)*$D$45)+('Incremental Rev Req'!$F$87*$B$98)</f>
        <v>109.25716384286146</v>
      </c>
      <c r="R104" s="159">
        <f>$Q$18+(SUMPRODUCT($E$37:$E$39,$T$42:$T$44)*$B$98)+(MIN($L28,$B$98)*$E$40)+('Incremental Rev Req'!$F$87*$B$98)</f>
        <v>106.29984587237996</v>
      </c>
      <c r="S104" s="159">
        <f>$Q$18+(SUMPRODUCT($E$42:$E$44,$U$42:$U$44)*$B$98)+(MIN($M28,$B$98)*$E$45)+('Incremental Rev Req'!$F$87*$B$98)</f>
        <v>107.86488010982004</v>
      </c>
      <c r="T104" s="159">
        <f>$Q$18+(SUMPRODUCT($F$37:$F$39,$T$42:$T$44)*$B$98)+(MIN($L28,$B$98)*$F$40)+('Incremental Rev Req'!$F$87*$B$98)</f>
        <v>120.88298323792731</v>
      </c>
      <c r="U104" s="159">
        <f>$Q$18+(SUMPRODUCT($F$42:$F$44,$U$42:$U$44)*$B$98)+(MIN($M28,$B$98)*$F$45)+('Incremental Rev Req'!$F$87*$B$98)</f>
        <v>122.67628064842874</v>
      </c>
      <c r="X104" s="499"/>
      <c r="Y104" s="499"/>
      <c r="Z104" s="499"/>
      <c r="AA104" s="499"/>
      <c r="AB104" s="499"/>
      <c r="AC104" s="499"/>
      <c r="AD104" s="499"/>
      <c r="AE104" s="499"/>
      <c r="AF104" s="499"/>
      <c r="AG104" s="499"/>
      <c r="AH104" s="499"/>
      <c r="AI104" s="499"/>
    </row>
    <row r="105" spans="2:35">
      <c r="B105" s="6" t="s">
        <v>112</v>
      </c>
      <c r="C105" s="157">
        <f t="shared" ref="C105:J105" si="36">SUMPRODUCT(C101:C104,$V$26:$V$29)</f>
        <v>105.05758418158774</v>
      </c>
      <c r="D105" s="157">
        <f t="shared" si="36"/>
        <v>111.19362763341559</v>
      </c>
      <c r="E105" s="157">
        <f t="shared" si="36"/>
        <v>105.27226976800345</v>
      </c>
      <c r="F105" s="157">
        <f t="shared" si="36"/>
        <v>111.57071011574084</v>
      </c>
      <c r="G105" s="157">
        <f t="shared" si="36"/>
        <v>103.93388080176084</v>
      </c>
      <c r="H105" s="157">
        <f t="shared" si="36"/>
        <v>110.14713620672165</v>
      </c>
      <c r="I105" s="157">
        <f t="shared" si="36"/>
        <v>118.17193773299431</v>
      </c>
      <c r="J105" s="157">
        <f t="shared" si="36"/>
        <v>125.29140806913577</v>
      </c>
      <c r="M105" s="6" t="s">
        <v>112</v>
      </c>
      <c r="N105" s="157">
        <f>SUMPRODUCT(N101:N104,$V$34:$V$37)</f>
        <v>110.66529348561511</v>
      </c>
      <c r="O105" s="157">
        <f t="shared" ref="O105:U105" si="37">SUMPRODUCT(O101:O104,$V$34:$V$37)</f>
        <v>110.65846768015037</v>
      </c>
      <c r="P105" s="157">
        <f t="shared" si="37"/>
        <v>110.9002059848285</v>
      </c>
      <c r="Q105" s="157">
        <f t="shared" si="37"/>
        <v>111.03361984955805</v>
      </c>
      <c r="R105" s="157">
        <f t="shared" si="37"/>
        <v>109.48570048844323</v>
      </c>
      <c r="S105" s="157">
        <f t="shared" si="37"/>
        <v>109.61730996164007</v>
      </c>
      <c r="T105" s="157">
        <f t="shared" si="37"/>
        <v>124.53350071322892</v>
      </c>
      <c r="U105" s="157">
        <f t="shared" si="37"/>
        <v>124.68430567444652</v>
      </c>
      <c r="X105" s="499"/>
      <c r="Y105" s="499"/>
      <c r="Z105" s="499"/>
      <c r="AA105" s="499"/>
      <c r="AB105" s="499"/>
      <c r="AC105" s="499"/>
      <c r="AD105" s="499"/>
      <c r="AE105" s="499"/>
      <c r="AF105" s="499"/>
      <c r="AG105" s="499"/>
      <c r="AH105" s="499"/>
      <c r="AI105" s="499"/>
    </row>
    <row r="112" spans="2:35">
      <c r="C112" s="510" t="str">
        <f>C48</f>
        <v>2025 Recorded Average Basic Bundled Non-CARE Customer Bill</v>
      </c>
      <c r="N112" s="510" t="str">
        <f>N48</f>
        <v xml:space="preserve">2025 Recorded Average All-Electric Bundled Non-CARE Customer </v>
      </c>
    </row>
    <row r="113" spans="2:21">
      <c r="C113" s="862" t="str">
        <f>C36</f>
        <v>6/1/2026</v>
      </c>
      <c r="D113" s="862"/>
      <c r="E113" s="861" t="str">
        <f>D36</f>
        <v>8/1/2026</v>
      </c>
      <c r="F113" s="862"/>
      <c r="G113" s="862" t="str">
        <f>E36</f>
        <v>Authorized</v>
      </c>
      <c r="H113" s="862"/>
      <c r="I113" s="861" t="str">
        <f>F36</f>
        <v>w/Pending</v>
      </c>
      <c r="J113" s="862"/>
      <c r="N113" s="862" t="str">
        <f>C113</f>
        <v>6/1/2026</v>
      </c>
      <c r="O113" s="862"/>
      <c r="P113" s="862" t="str">
        <f>E113</f>
        <v>8/1/2026</v>
      </c>
      <c r="Q113" s="862"/>
      <c r="R113" s="862" t="str">
        <f>G113</f>
        <v>Authorized</v>
      </c>
      <c r="S113" s="862"/>
      <c r="T113" s="862" t="str">
        <f>I113</f>
        <v>w/Pending</v>
      </c>
      <c r="U113" s="862"/>
    </row>
    <row r="114" spans="2:21">
      <c r="C114" s="8" t="s">
        <v>192</v>
      </c>
      <c r="D114" s="8" t="s">
        <v>193</v>
      </c>
      <c r="E114" s="8" t="s">
        <v>192</v>
      </c>
      <c r="F114" s="8" t="s">
        <v>193</v>
      </c>
      <c r="G114" s="8" t="s">
        <v>192</v>
      </c>
      <c r="H114" s="8" t="s">
        <v>193</v>
      </c>
      <c r="I114" s="8" t="s">
        <v>192</v>
      </c>
      <c r="J114" s="8" t="s">
        <v>193</v>
      </c>
      <c r="N114" s="8" t="s">
        <v>192</v>
      </c>
      <c r="O114" s="8" t="s">
        <v>193</v>
      </c>
      <c r="P114" s="8" t="s">
        <v>192</v>
      </c>
      <c r="Q114" s="8" t="s">
        <v>193</v>
      </c>
      <c r="R114" s="8" t="s">
        <v>192</v>
      </c>
      <c r="S114" s="8" t="s">
        <v>193</v>
      </c>
      <c r="T114" s="8" t="s">
        <v>192</v>
      </c>
      <c r="U114" s="8" t="s">
        <v>193</v>
      </c>
    </row>
    <row r="115" spans="2:21">
      <c r="B115" s="138" t="s">
        <v>223</v>
      </c>
      <c r="C115" s="427">
        <f>(C51-'Res Bill Impact'!C43)/'Res Bill Impact'!C43</f>
        <v>-3.2921966387435719E-2</v>
      </c>
      <c r="D115" s="427">
        <f>(D51-'Res Bill Impact'!D43)/'Res Bill Impact'!D43</f>
        <v>4.2497481828721899E-3</v>
      </c>
      <c r="E115" s="427">
        <f>(E51-'Res Bill Impact'!E43)/'Res Bill Impact'!E43</f>
        <v>-3.3774625722218718E-2</v>
      </c>
      <c r="F115" s="427">
        <f>(F51-'Res Bill Impact'!F43)/'Res Bill Impact'!F43</f>
        <v>4.3573138355524083E-3</v>
      </c>
      <c r="G115" s="427">
        <f>(G51-'Res Bill Impact'!G43)/'Res Bill Impact'!G43</f>
        <v>-3.3705868754512314E-2</v>
      </c>
      <c r="H115" s="427">
        <f>(H51-'Res Bill Impact'!H43)/'Res Bill Impact'!H43</f>
        <v>4.3478476888332857E-3</v>
      </c>
      <c r="I115" s="427">
        <f>(I51-'Res Bill Impact'!I43)/'Res Bill Impact'!I43</f>
        <v>-3.4364264377614133E-2</v>
      </c>
      <c r="J115" s="427">
        <f>(J51-'Res Bill Impact'!J43)/'Res Bill Impact'!J43</f>
        <v>4.4385992359658247E-3</v>
      </c>
      <c r="M115" s="138" t="s">
        <v>223</v>
      </c>
      <c r="N115" s="427">
        <f>(N51-'Res Bill Impact'!N43)/'Res Bill Impact'!N43</f>
        <v>-3.0938348835831537E-2</v>
      </c>
      <c r="O115" s="427">
        <f>(O51-'Res Bill Impact'!O43)/'Res Bill Impact'!O43</f>
        <v>4.1617318406635944E-3</v>
      </c>
      <c r="P115" s="427">
        <f>(P51-'Res Bill Impact'!P43)/'Res Bill Impact'!P43</f>
        <v>-3.1739744918508207E-2</v>
      </c>
      <c r="Q115" s="427">
        <f>(Q51-'Res Bill Impact'!Q43)/'Res Bill Impact'!Q43</f>
        <v>4.2673370816488955E-3</v>
      </c>
      <c r="R115" s="427">
        <f>(R51-'Res Bill Impact'!R43)/'Res Bill Impact'!R43</f>
        <v>-3.1668272865666973E-2</v>
      </c>
      <c r="S115" s="427">
        <f>(S51-'Res Bill Impact'!S43)/'Res Bill Impact'!S43</f>
        <v>4.2570547851735734E-3</v>
      </c>
      <c r="T115" s="427">
        <f>(T51-'Res Bill Impact'!T43)/'Res Bill Impact'!T43</f>
        <v>-3.235394061268488E-2</v>
      </c>
      <c r="U115" s="427">
        <f>(U51-'Res Bill Impact'!U43)/'Res Bill Impact'!U43</f>
        <v>4.3558322863138594E-3</v>
      </c>
    </row>
    <row r="116" spans="2:21">
      <c r="B116" s="141" t="s">
        <v>225</v>
      </c>
      <c r="C116" s="427">
        <f>(C52-'Res Bill Impact'!C44)/'Res Bill Impact'!C44</f>
        <v>-3.3406168426580909E-2</v>
      </c>
      <c r="D116" s="427">
        <f>(D52-'Res Bill Impact'!D44)/'Res Bill Impact'!D44</f>
        <v>4.2741634840961608E-3</v>
      </c>
      <c r="E116" s="427">
        <f>(E52-'Res Bill Impact'!E44)/'Res Bill Impact'!E44</f>
        <v>-3.4269825337742574E-2</v>
      </c>
      <c r="F116" s="427">
        <f>(F52-'Res Bill Impact'!F44)/'Res Bill Impact'!F44</f>
        <v>4.3822709477414476E-3</v>
      </c>
      <c r="G116" s="427">
        <f>(G52-'Res Bill Impact'!G44)/'Res Bill Impact'!G44</f>
        <v>-3.4205901263320425E-2</v>
      </c>
      <c r="H116" s="427">
        <f>(H52-'Res Bill Impact'!H44)/'Res Bill Impact'!H44</f>
        <v>4.3730388237270728E-3</v>
      </c>
      <c r="I116" s="427">
        <f>(I52-'Res Bill Impact'!I44)/'Res Bill Impact'!I44</f>
        <v>-3.4817123518463028E-2</v>
      </c>
      <c r="J116" s="427">
        <f>(J52-'Res Bill Impact'!J44)/'Res Bill Impact'!J44</f>
        <v>4.4614967384108296E-3</v>
      </c>
      <c r="M116" s="141" t="s">
        <v>225</v>
      </c>
      <c r="N116" s="427">
        <f>(N52-'Res Bill Impact'!N44)/'Res Bill Impact'!N44</f>
        <v>-3.3668557789895956E-2</v>
      </c>
      <c r="O116" s="427">
        <f>(O52-'Res Bill Impact'!O44)/'Res Bill Impact'!O44</f>
        <v>4.4775618754143163E-3</v>
      </c>
      <c r="P116" s="427">
        <f>(P52-'Res Bill Impact'!P44)/'Res Bill Impact'!P44</f>
        <v>-3.4538155665803545E-2</v>
      </c>
      <c r="Q116" s="427">
        <f>(Q52-'Res Bill Impact'!Q44)/'Res Bill Impact'!Q44</f>
        <v>4.5901493320439236E-3</v>
      </c>
      <c r="R116" s="427">
        <f>(R52-'Res Bill Impact'!R44)/'Res Bill Impact'!R44</f>
        <v>-3.4476921713804121E-2</v>
      </c>
      <c r="S116" s="427">
        <f>(S52-'Res Bill Impact'!S44)/'Res Bill Impact'!S44</f>
        <v>4.582995591858049E-3</v>
      </c>
      <c r="T116" s="427">
        <f>(T52-'Res Bill Impact'!T44)/'Res Bill Impact'!T44</f>
        <v>-3.5061958303746928E-2</v>
      </c>
      <c r="U116" s="427">
        <f>(U52-'Res Bill Impact'!U44)/'Res Bill Impact'!U44</f>
        <v>4.6512179540024526E-3</v>
      </c>
    </row>
    <row r="117" spans="2:21">
      <c r="B117" s="141" t="s">
        <v>222</v>
      </c>
      <c r="C117" s="427">
        <f>(C53-'Res Bill Impact'!C45)/'Res Bill Impact'!C45</f>
        <v>-3.3746989924790964E-2</v>
      </c>
      <c r="D117" s="427">
        <f>(D53-'Res Bill Impact'!D45)/'Res Bill Impact'!D45</f>
        <v>3.6664439102485273E-3</v>
      </c>
      <c r="E117" s="427">
        <f>(E53-'Res Bill Impact'!E45)/'Res Bill Impact'!E45</f>
        <v>-3.4618361102859749E-2</v>
      </c>
      <c r="F117" s="427">
        <f>(F53-'Res Bill Impact'!F45)/'Res Bill Impact'!F45</f>
        <v>3.7608071394419737E-3</v>
      </c>
      <c r="G117" s="427">
        <f>(G53-'Res Bill Impact'!G45)/'Res Bill Impact'!G45</f>
        <v>-3.4557940982540024E-2</v>
      </c>
      <c r="H117" s="427">
        <f>(H53-'Res Bill Impact'!H45)/'Res Bill Impact'!H45</f>
        <v>3.7467342399969713E-3</v>
      </c>
      <c r="I117" s="427">
        <f>(I53-'Res Bill Impact'!I45)/'Res Bill Impact'!I45</f>
        <v>-3.5135065551793819E-2</v>
      </c>
      <c r="J117" s="427">
        <f>(J53-'Res Bill Impact'!J45)/'Res Bill Impact'!J45</f>
        <v>3.8835007055073394E-3</v>
      </c>
      <c r="M117" s="141" t="s">
        <v>222</v>
      </c>
      <c r="N117" s="427">
        <f>(N53-'Res Bill Impact'!N45)/'Res Bill Impact'!N45</f>
        <v>-3.3107628845757714E-2</v>
      </c>
      <c r="O117" s="427">
        <f>(O53-'Res Bill Impact'!O45)/'Res Bill Impact'!O45</f>
        <v>3.81189676575831E-3</v>
      </c>
      <c r="P117" s="427">
        <f>(P53-'Res Bill Impact'!P45)/'Res Bill Impact'!P45</f>
        <v>-3.3964510362844667E-2</v>
      </c>
      <c r="Q117" s="427">
        <f>(Q53-'Res Bill Impact'!Q45)/'Res Bill Impact'!Q45</f>
        <v>3.90959853096023E-3</v>
      </c>
      <c r="R117" s="427">
        <f>(R53-'Res Bill Impact'!R45)/'Res Bill Impact'!R45</f>
        <v>-3.3897586383609728E-2</v>
      </c>
      <c r="S117" s="427">
        <f>(S53-'Res Bill Impact'!S45)/'Res Bill Impact'!S45</f>
        <v>3.8964976435147238E-3</v>
      </c>
      <c r="T117" s="427">
        <f>(T53-'Res Bill Impact'!T45)/'Res Bill Impact'!T45</f>
        <v>-3.4538070227363382E-2</v>
      </c>
      <c r="U117" s="427">
        <f>(U53-'Res Bill Impact'!U45)/'Res Bill Impact'!U45</f>
        <v>4.0233836450639946E-3</v>
      </c>
    </row>
    <row r="118" spans="2:21">
      <c r="B118" s="144" t="s">
        <v>224</v>
      </c>
      <c r="C118" s="427">
        <f>(C54-'Res Bill Impact'!C46)/'Res Bill Impact'!C46</f>
        <v>-3.278476522784262E-2</v>
      </c>
      <c r="D118" s="427">
        <f>(D54-'Res Bill Impact'!D46)/'Res Bill Impact'!D46</f>
        <v>4.1632042663287067E-3</v>
      </c>
      <c r="E118" s="427">
        <f>(E54-'Res Bill Impact'!E46)/'Res Bill Impact'!E46</f>
        <v>-3.3634300234397875E-2</v>
      </c>
      <c r="F118" s="427">
        <f>(F54-'Res Bill Impact'!F46)/'Res Bill Impact'!F46</f>
        <v>4.2688423957871315E-3</v>
      </c>
      <c r="G118" s="427">
        <f>(G54-'Res Bill Impact'!G46)/'Res Bill Impact'!G46</f>
        <v>-3.3564204812927323E-2</v>
      </c>
      <c r="H118" s="427">
        <f>(H54-'Res Bill Impact'!H46)/'Res Bill Impact'!H46</f>
        <v>4.2585733986877441E-3</v>
      </c>
      <c r="I118" s="427">
        <f>(I54-'Res Bill Impact'!I46)/'Res Bill Impact'!I46</f>
        <v>-3.4235695703877807E-2</v>
      </c>
      <c r="J118" s="427">
        <f>(J54-'Res Bill Impact'!J46)/'Res Bill Impact'!J46</f>
        <v>4.3572197640407732E-3</v>
      </c>
      <c r="M118" s="144" t="s">
        <v>224</v>
      </c>
      <c r="N118" s="427">
        <f>(N54-'Res Bill Impact'!N46)/'Res Bill Impact'!N46</f>
        <v>-3.2873113425446153E-2</v>
      </c>
      <c r="O118" s="427">
        <f>(O54-'Res Bill Impact'!O46)/'Res Bill Impact'!O46</f>
        <v>4.287786854294917E-3</v>
      </c>
      <c r="P118" s="427">
        <f>(P54-'Res Bill Impact'!P46)/'Res Bill Impact'!P46</f>
        <v>-3.3724660696957821E-2</v>
      </c>
      <c r="Q118" s="427">
        <f>(Q54-'Res Bill Impact'!Q46)/'Res Bill Impact'!Q46</f>
        <v>4.3961962632160286E-3</v>
      </c>
      <c r="R118" s="427">
        <f>(R54-'Res Bill Impact'!R46)/'Res Bill Impact'!R46</f>
        <v>-3.365542558073583E-2</v>
      </c>
      <c r="S118" s="427">
        <f>(S54-'Res Bill Impact'!S46)/'Res Bill Impact'!S46</f>
        <v>4.3870961603697375E-3</v>
      </c>
      <c r="T118" s="427">
        <f>(T54-'Res Bill Impact'!T46)/'Res Bill Impact'!T46</f>
        <v>-3.4318497779303569E-2</v>
      </c>
      <c r="U118" s="427">
        <f>(U54-'Res Bill Impact'!U46)/'Res Bill Impact'!U46</f>
        <v>4.4742615977163107E-3</v>
      </c>
    </row>
    <row r="119" spans="2:21">
      <c r="B119" s="6" t="s">
        <v>112</v>
      </c>
      <c r="C119" s="427">
        <f>(C55-'Res Bill Impact'!C47)/'Res Bill Impact'!C47</f>
        <v>-3.2873870897846949E-2</v>
      </c>
      <c r="D119" s="427">
        <f>(D55-'Res Bill Impact'!D47)/'Res Bill Impact'!D47</f>
        <v>4.2172981229931508E-3</v>
      </c>
      <c r="E119" s="427">
        <f>(E55-'Res Bill Impact'!E47)/'Res Bill Impact'!E47</f>
        <v>-3.3725435415528873E-2</v>
      </c>
      <c r="F119" s="427">
        <f>(F55-'Res Bill Impact'!F47)/'Res Bill Impact'!F47</f>
        <v>4.324142318966594E-3</v>
      </c>
      <c r="G119" s="427">
        <f>(G55-'Res Bill Impact'!G47)/'Res Bill Impact'!G47</f>
        <v>-3.3656207699836856E-2</v>
      </c>
      <c r="H119" s="427">
        <f>(H55-'Res Bill Impact'!H47)/'Res Bill Impact'!H47</f>
        <v>4.3143702629546872E-3</v>
      </c>
      <c r="I119" s="427">
        <f>(I55-'Res Bill Impact'!I47)/'Res Bill Impact'!I47</f>
        <v>-3.4319207503591992E-2</v>
      </c>
      <c r="J119" s="427">
        <f>(J55-'Res Bill Impact'!J47)/'Res Bill Impact'!J47</f>
        <v>4.408125079987309E-3</v>
      </c>
      <c r="M119" s="6" t="s">
        <v>112</v>
      </c>
      <c r="N119" s="427">
        <f>(N55-'Res Bill Impact'!N47)/'Res Bill Impact'!N47</f>
        <v>-3.1813813249938337E-2</v>
      </c>
      <c r="O119" s="427">
        <f>(O55-'Res Bill Impact'!O47)/'Res Bill Impact'!O47</f>
        <v>4.2232231580787366E-3</v>
      </c>
      <c r="P119" s="427">
        <f>(P55-'Res Bill Impact'!P47)/'Res Bill Impact'!P47</f>
        <v>-3.2637863228054995E-2</v>
      </c>
      <c r="Q119" s="427">
        <f>(Q55-'Res Bill Impact'!Q47)/'Res Bill Impact'!Q47</f>
        <v>4.3301991987260337E-3</v>
      </c>
      <c r="R119" s="427">
        <f>(R55-'Res Bill Impact'!R47)/'Res Bill Impact'!R47</f>
        <v>-3.2567479793598191E-2</v>
      </c>
      <c r="S119" s="427">
        <f>(S55-'Res Bill Impact'!S47)/'Res Bill Impact'!S47</f>
        <v>4.3204825618348855E-3</v>
      </c>
      <c r="T119" s="427">
        <f>(T55-'Res Bill Impact'!T47)/'Res Bill Impact'!T47</f>
        <v>-3.3242150036328133E-2</v>
      </c>
      <c r="U119" s="427">
        <f>(U55-'Res Bill Impact'!U47)/'Res Bill Impact'!U47</f>
        <v>4.4136928649149152E-3</v>
      </c>
    </row>
    <row r="120" spans="2:21">
      <c r="B120" s="7"/>
      <c r="M120" s="7"/>
    </row>
    <row r="121" spans="2:21">
      <c r="B121" s="7"/>
      <c r="M121" s="7"/>
    </row>
    <row r="122" spans="2:21">
      <c r="B122" s="7"/>
      <c r="C122" s="510" t="str">
        <f>C58</f>
        <v>2025 Recorded Average Basic Bundled CARE Customer Bill</v>
      </c>
      <c r="M122" s="7"/>
      <c r="N122" s="510" t="str">
        <f>N58</f>
        <v xml:space="preserve">2025 Recorded Average All-Electric Bundled CARE Customer </v>
      </c>
    </row>
    <row r="123" spans="2:21">
      <c r="B123" s="7"/>
      <c r="M123" s="7"/>
    </row>
    <row r="124" spans="2:21">
      <c r="B124" s="7"/>
      <c r="M124" s="7"/>
    </row>
    <row r="125" spans="2:21">
      <c r="B125" s="138" t="s">
        <v>223</v>
      </c>
      <c r="C125" s="427">
        <f>(C61-'Res Bill Impact'!C53)/'Res Bill Impact'!C53</f>
        <v>-5.5634784694577416E-2</v>
      </c>
      <c r="D125" s="427">
        <f>(D61-'Res Bill Impact'!D53)/'Res Bill Impact'!D53</f>
        <v>-5.6827467195362689E-3</v>
      </c>
      <c r="E125" s="427">
        <f>(E61-'Res Bill Impact'!E53)/'Res Bill Impact'!E53</f>
        <v>-5.7054643491302168E-2</v>
      </c>
      <c r="F125" s="427">
        <f>(F61-'Res Bill Impact'!F53)/'Res Bill Impact'!F53</f>
        <v>-5.8349598702957858E-3</v>
      </c>
      <c r="G125" s="427">
        <f>(G61-'Res Bill Impact'!G53)/'Res Bill Impact'!G53</f>
        <v>-5.7001342311830509E-2</v>
      </c>
      <c r="H125" s="427">
        <f>(H61-'Res Bill Impact'!H53)/'Res Bill Impact'!H53</f>
        <v>-5.8290514679978514E-3</v>
      </c>
      <c r="I125" s="427">
        <f>(I61-'Res Bill Impact'!I53)/'Res Bill Impact'!I53</f>
        <v>-5.7506957284471971E-2</v>
      </c>
      <c r="J125" s="427">
        <f>(J61-'Res Bill Impact'!J53)/'Res Bill Impact'!J53</f>
        <v>-5.8851359088914054E-3</v>
      </c>
      <c r="M125" s="138" t="s">
        <v>223</v>
      </c>
      <c r="N125" s="427">
        <f>(N61-'Res Bill Impact'!N53)/'Res Bill Impact'!N53</f>
        <v>-5.2599387082743587E-2</v>
      </c>
      <c r="O125" s="427">
        <f>(O61-'Res Bill Impact'!O53)/'Res Bill Impact'!O53</f>
        <v>-5.6606587957529625E-3</v>
      </c>
      <c r="P125" s="427">
        <f>(P61-'Res Bill Impact'!P53)/'Res Bill Impact'!P53</f>
        <v>-5.3936534576855717E-2</v>
      </c>
      <c r="Q125" s="427">
        <f>(Q61-'Res Bill Impact'!Q53)/'Res Bill Impact'!Q53</f>
        <v>-5.8123586760077351E-3</v>
      </c>
      <c r="R125" s="427">
        <f>(R61-'Res Bill Impact'!R53)/'Res Bill Impact'!R53</f>
        <v>-5.3883353125750426E-2</v>
      </c>
      <c r="S125" s="427">
        <f>(S61-'Res Bill Impact'!S53)/'Res Bill Impact'!S53</f>
        <v>-5.8061879055768305E-3</v>
      </c>
      <c r="T125" s="427">
        <f>(T61-'Res Bill Impact'!T53)/'Res Bill Impact'!T53</f>
        <v>-5.438805437531239E-2</v>
      </c>
      <c r="U125" s="427">
        <f>(U61-'Res Bill Impact'!U53)/'Res Bill Impact'!U53</f>
        <v>-5.8647872774661679E-3</v>
      </c>
    </row>
    <row r="126" spans="2:21">
      <c r="B126" s="141" t="s">
        <v>225</v>
      </c>
      <c r="C126" s="427">
        <f>(C62-'Res Bill Impact'!C54)/'Res Bill Impact'!C54</f>
        <v>-5.5713524410213884E-2</v>
      </c>
      <c r="D126" s="427">
        <f>(D62-'Res Bill Impact'!D54)/'Res Bill Impact'!D54</f>
        <v>-5.7746069148893768E-3</v>
      </c>
      <c r="E126" s="427">
        <f>(E62-'Res Bill Impact'!E54)/'Res Bill Impact'!E54</f>
        <v>-5.7125698235560914E-2</v>
      </c>
      <c r="F126" s="427">
        <f>(F62-'Res Bill Impact'!F54)/'Res Bill Impact'!F54</f>
        <v>-5.9264348246961833E-3</v>
      </c>
      <c r="G126" s="427">
        <f>(G62-'Res Bill Impact'!G54)/'Res Bill Impact'!G54</f>
        <v>-5.7094878831405856E-2</v>
      </c>
      <c r="H126" s="427">
        <f>(H62-'Res Bill Impact'!H54)/'Res Bill Impact'!H54</f>
        <v>-5.9228812234544377E-3</v>
      </c>
      <c r="I126" s="427">
        <f>(I62-'Res Bill Impact'!I54)/'Res Bill Impact'!I54</f>
        <v>-5.7386255192435405E-2</v>
      </c>
      <c r="J126" s="427">
        <f>(J62-'Res Bill Impact'!J54)/'Res Bill Impact'!J54</f>
        <v>-5.956495184191263E-3</v>
      </c>
      <c r="M126" s="141" t="s">
        <v>225</v>
      </c>
      <c r="N126" s="427">
        <f>(N62-'Res Bill Impact'!N54)/'Res Bill Impact'!N54</f>
        <v>-5.6848749765368523E-2</v>
      </c>
      <c r="O126" s="427">
        <f>(O62-'Res Bill Impact'!O54)/'Res Bill Impact'!O54</f>
        <v>-5.918972128589473E-3</v>
      </c>
      <c r="P126" s="427">
        <f>(P62-'Res Bill Impact'!P54)/'Res Bill Impact'!P54</f>
        <v>-5.8292075289903725E-2</v>
      </c>
      <c r="Q126" s="427">
        <f>(Q62-'Res Bill Impact'!Q54)/'Res Bill Impact'!Q54</f>
        <v>-6.0766364895481232E-3</v>
      </c>
      <c r="R126" s="427">
        <f>(R62-'Res Bill Impact'!R54)/'Res Bill Impact'!R54</f>
        <v>-5.8260878020142785E-2</v>
      </c>
      <c r="S126" s="427">
        <f>(S62-'Res Bill Impact'!S54)/'Res Bill Impact'!S54</f>
        <v>-6.0736741357061766E-3</v>
      </c>
      <c r="T126" s="427">
        <f>(T62-'Res Bill Impact'!T54)/'Res Bill Impact'!T54</f>
        <v>-5.8555816082222142E-2</v>
      </c>
      <c r="U126" s="427">
        <f>(U62-'Res Bill Impact'!U54)/'Res Bill Impact'!U54</f>
        <v>-6.1016688488632264E-3</v>
      </c>
    </row>
    <row r="127" spans="2:21">
      <c r="B127" s="141" t="s">
        <v>222</v>
      </c>
      <c r="C127" s="427">
        <f>(C63-'Res Bill Impact'!C55)/'Res Bill Impact'!C55</f>
        <v>-5.6769855151101369E-2</v>
      </c>
      <c r="D127" s="427">
        <f>(D63-'Res Bill Impact'!D55)/'Res Bill Impact'!D55</f>
        <v>-5.708246251728227E-3</v>
      </c>
      <c r="E127" s="427">
        <f>(E63-'Res Bill Impact'!E55)/'Res Bill Impact'!E55</f>
        <v>-5.8210296559991992E-2</v>
      </c>
      <c r="F127" s="427">
        <f>(F63-'Res Bill Impact'!F55)/'Res Bill Impact'!F55</f>
        <v>-5.861051192786809E-3</v>
      </c>
      <c r="G127" s="427">
        <f>(G63-'Res Bill Impact'!G55)/'Res Bill Impact'!G55</f>
        <v>-5.818078482503547E-2</v>
      </c>
      <c r="H127" s="427">
        <f>(H63-'Res Bill Impact'!H55)/'Res Bill Impact'!H55</f>
        <v>-5.8554484679683438E-3</v>
      </c>
      <c r="I127" s="427">
        <f>(I63-'Res Bill Impact'!I55)/'Res Bill Impact'!I55</f>
        <v>-5.8459721348752443E-2</v>
      </c>
      <c r="J127" s="427">
        <f>(J63-'Res Bill Impact'!J55)/'Res Bill Impact'!J55</f>
        <v>-5.9086057174592352E-3</v>
      </c>
      <c r="M127" s="141" t="s">
        <v>222</v>
      </c>
      <c r="N127" s="427">
        <f>(N63-'Res Bill Impact'!N55)/'Res Bill Impact'!N55</f>
        <v>-5.6696814405225157E-2</v>
      </c>
      <c r="O127" s="427">
        <f>(O63-'Res Bill Impact'!O55)/'Res Bill Impact'!O55</f>
        <v>-5.7800197416223113E-3</v>
      </c>
      <c r="P127" s="427">
        <f>(P63-'Res Bill Impact'!P55)/'Res Bill Impact'!P55</f>
        <v>-5.813432572476912E-2</v>
      </c>
      <c r="Q127" s="427">
        <f>(Q63-'Res Bill Impact'!Q55)/'Res Bill Impact'!Q55</f>
        <v>-5.9344860340123269E-3</v>
      </c>
      <c r="R127" s="427">
        <f>(R63-'Res Bill Impact'!R55)/'Res Bill Impact'!R55</f>
        <v>-5.8106971886413838E-2</v>
      </c>
      <c r="S127" s="427">
        <f>(S63-'Res Bill Impact'!S55)/'Res Bill Impact'!S55</f>
        <v>-5.9297597248428278E-3</v>
      </c>
      <c r="T127" s="427">
        <f>(T63-'Res Bill Impact'!T55)/'Res Bill Impact'!T55</f>
        <v>-5.8365432910568303E-2</v>
      </c>
      <c r="U127" s="427">
        <f>(U63-'Res Bill Impact'!U55)/'Res Bill Impact'!U55</f>
        <v>-5.9745410850055129E-3</v>
      </c>
    </row>
    <row r="128" spans="2:21">
      <c r="B128" s="144" t="s">
        <v>224</v>
      </c>
      <c r="C128" s="427">
        <f>(C64-'Res Bill Impact'!C56)/'Res Bill Impact'!C56</f>
        <v>-5.5771305866609E-2</v>
      </c>
      <c r="D128" s="427">
        <f>(D64-'Res Bill Impact'!D56)/'Res Bill Impact'!D56</f>
        <v>-5.7317847116990679E-3</v>
      </c>
      <c r="E128" s="427">
        <f>(E64-'Res Bill Impact'!E56)/'Res Bill Impact'!E56</f>
        <v>-5.718991877142874E-2</v>
      </c>
      <c r="F128" s="427">
        <f>(F64-'Res Bill Impact'!F56)/'Res Bill Impact'!F56</f>
        <v>-5.8851352098770598E-3</v>
      </c>
      <c r="G128" s="427">
        <f>(G64-'Res Bill Impact'!G56)/'Res Bill Impact'!G56</f>
        <v>-5.7147972981141548E-2</v>
      </c>
      <c r="H128" s="427">
        <f>(H64-'Res Bill Impact'!H56)/'Res Bill Impact'!H56</f>
        <v>-5.8798173034707467E-3</v>
      </c>
      <c r="I128" s="427">
        <f>(I64-'Res Bill Impact'!I56)/'Res Bill Impact'!I56</f>
        <v>-5.7545193495494577E-2</v>
      </c>
      <c r="J128" s="427">
        <f>(J64-'Res Bill Impact'!J56)/'Res Bill Impact'!J56</f>
        <v>-5.9302498559741347E-3</v>
      </c>
      <c r="M128" s="144" t="s">
        <v>224</v>
      </c>
      <c r="N128" s="427">
        <f>(N64-'Res Bill Impact'!N56)/'Res Bill Impact'!N56</f>
        <v>-5.4466090450449221E-2</v>
      </c>
      <c r="O128" s="427">
        <f>(O64-'Res Bill Impact'!O56)/'Res Bill Impact'!O56</f>
        <v>-5.736154213801135E-3</v>
      </c>
      <c r="P128" s="427">
        <f>(P64-'Res Bill Impact'!P56)/'Res Bill Impact'!P56</f>
        <v>-5.5849815492780876E-2</v>
      </c>
      <c r="Q128" s="427">
        <f>(Q64-'Res Bill Impact'!Q56)/'Res Bill Impact'!Q56</f>
        <v>-5.8896059089364955E-3</v>
      </c>
      <c r="R128" s="427">
        <f>(R64-'Res Bill Impact'!R56)/'Res Bill Impact'!R56</f>
        <v>-5.5806282148438448E-2</v>
      </c>
      <c r="S128" s="427">
        <f>(S64-'Res Bill Impact'!S56)/'Res Bill Impact'!S56</f>
        <v>-5.8843411539849753E-3</v>
      </c>
      <c r="T128" s="427">
        <f>(T64-'Res Bill Impact'!T56)/'Res Bill Impact'!T56</f>
        <v>-5.6218697460890997E-2</v>
      </c>
      <c r="U128" s="427">
        <f>(U64-'Res Bill Impact'!U56)/'Res Bill Impact'!U56</f>
        <v>-5.9342655263602438E-3</v>
      </c>
    </row>
    <row r="129" spans="2:21">
      <c r="B129" s="6" t="s">
        <v>112</v>
      </c>
      <c r="C129" s="427">
        <f>(C65-'Res Bill Impact'!C57)/'Res Bill Impact'!C57</f>
        <v>-5.5713857982474954E-2</v>
      </c>
      <c r="D129" s="427">
        <f>(D65-'Res Bill Impact'!D57)/'Res Bill Impact'!D57</f>
        <v>-5.7093489159263378E-3</v>
      </c>
      <c r="E129" s="427">
        <f>(E65-'Res Bill Impact'!E57)/'Res Bill Impact'!E57</f>
        <v>-5.7132990286406685E-2</v>
      </c>
      <c r="F129" s="427">
        <f>(F65-'Res Bill Impact'!F57)/'Res Bill Impact'!F57</f>
        <v>-5.8621467221854117E-3</v>
      </c>
      <c r="G129" s="427">
        <f>(G65-'Res Bill Impact'!G57)/'Res Bill Impact'!G57</f>
        <v>-5.7086274147410805E-2</v>
      </c>
      <c r="H129" s="427">
        <f>(H65-'Res Bill Impact'!H57)/'Res Bill Impact'!H57</f>
        <v>-5.8565732599179269E-3</v>
      </c>
      <c r="I129" s="427">
        <f>(I65-'Res Bill Impact'!I57)/'Res Bill Impact'!I57</f>
        <v>-5.7528985249900841E-2</v>
      </c>
      <c r="J129" s="427">
        <f>(J65-'Res Bill Impact'!J57)/'Res Bill Impact'!J57</f>
        <v>-5.9094505509147211E-3</v>
      </c>
      <c r="M129" s="6" t="s">
        <v>112</v>
      </c>
      <c r="N129" s="427">
        <f>(N65-'Res Bill Impact'!N57)/'Res Bill Impact'!N57</f>
        <v>-5.3823723002905464E-2</v>
      </c>
      <c r="O129" s="427">
        <f>(O65-'Res Bill Impact'!O57)/'Res Bill Impact'!O57</f>
        <v>-5.7117313335768999E-3</v>
      </c>
      <c r="P129" s="427">
        <f>(P65-'Res Bill Impact'!P57)/'Res Bill Impact'!P57</f>
        <v>-5.5191446912412651E-2</v>
      </c>
      <c r="Q129" s="427">
        <f>(Q65-'Res Bill Impact'!Q57)/'Res Bill Impact'!Q57</f>
        <v>-5.8646170929436397E-3</v>
      </c>
      <c r="R129" s="427">
        <f>(R65-'Res Bill Impact'!R57)/'Res Bill Impact'!R57</f>
        <v>-5.5144502718860712E-2</v>
      </c>
      <c r="S129" s="427">
        <f>(S65-'Res Bill Impact'!S57)/'Res Bill Impact'!S57</f>
        <v>-5.8590563776480392E-3</v>
      </c>
      <c r="T129" s="427">
        <f>(T65-'Res Bill Impact'!T57)/'Res Bill Impact'!T57</f>
        <v>-5.5589499201013359E-2</v>
      </c>
      <c r="U129" s="427">
        <f>(U65-'Res Bill Impact'!U57)/'Res Bill Impact'!U57</f>
        <v>-5.9118115802616064E-3</v>
      </c>
    </row>
    <row r="130" spans="2:21">
      <c r="B130" s="7"/>
      <c r="M130" s="7"/>
    </row>
    <row r="131" spans="2:21">
      <c r="B131" s="7"/>
      <c r="M131" s="7"/>
    </row>
    <row r="132" spans="2:21">
      <c r="B132" s="7"/>
      <c r="C132" s="510" t="str">
        <f>C68</f>
        <v>Essential Usage Basic Bundled Non-CARE Customer Bill</v>
      </c>
      <c r="M132" s="7"/>
      <c r="N132" s="510" t="str">
        <f>N68</f>
        <v>Essential Usage All-Electric Bundled Non-CARE Customer</v>
      </c>
    </row>
    <row r="133" spans="2:21">
      <c r="B133" s="7"/>
      <c r="M133" s="7"/>
    </row>
    <row r="134" spans="2:21">
      <c r="B134" s="7"/>
      <c r="M134" s="7"/>
    </row>
    <row r="135" spans="2:21">
      <c r="B135" s="138" t="s">
        <v>223</v>
      </c>
      <c r="C135" s="427">
        <f>(C71-'Res Bill Impact'!C63)/'Res Bill Impact'!C63</f>
        <v>-3.180603062599692E-2</v>
      </c>
      <c r="D135" s="427">
        <f>(D71-'Res Bill Impact'!D63)/'Res Bill Impact'!D63</f>
        <v>4.1706876671264636E-3</v>
      </c>
      <c r="E135" s="427">
        <f>(E71-'Res Bill Impact'!E63)/'Res Bill Impact'!E63</f>
        <v>-3.263317412298692E-2</v>
      </c>
      <c r="F135" s="427">
        <f>(F71-'Res Bill Impact'!F63)/'Res Bill Impact'!F63</f>
        <v>4.2764928989448029E-3</v>
      </c>
      <c r="G135" s="427">
        <f>(G71-'Res Bill Impact'!G63)/'Res Bill Impact'!G63</f>
        <v>-3.2553927404669863E-2</v>
      </c>
      <c r="H135" s="427">
        <f>(H71-'Res Bill Impact'!H63)/'Res Bill Impact'!H63</f>
        <v>4.2662916802546167E-3</v>
      </c>
      <c r="I135" s="427">
        <f>(I71-'Res Bill Impact'!I63)/'Res Bill Impact'!I63</f>
        <v>-3.3315339775411887E-2</v>
      </c>
      <c r="J135" s="427">
        <f>(J71-'Res Bill Impact'!J63)/'Res Bill Impact'!J63</f>
        <v>4.3642699167731995E-3</v>
      </c>
      <c r="M135" s="138" t="s">
        <v>223</v>
      </c>
      <c r="N135" s="427">
        <f>(N71-'Res Bill Impact'!N63)/'Res Bill Impact'!N63</f>
        <v>-2.927160169434375E-2</v>
      </c>
      <c r="O135" s="427">
        <f>(O71-'Res Bill Impact'!O63)/'Res Bill Impact'!O63</f>
        <v>4.1381619170871133E-3</v>
      </c>
      <c r="P135" s="427">
        <f>(P71-'Res Bill Impact'!P63)/'Res Bill Impact'!P63</f>
        <v>-3.0039915310661133E-2</v>
      </c>
      <c r="Q135" s="427">
        <f>(Q71-'Res Bill Impact'!Q63)/'Res Bill Impact'!Q63</f>
        <v>4.2432402646843817E-3</v>
      </c>
      <c r="R135" s="427">
        <f>(R71-'Res Bill Impact'!R63)/'Res Bill Impact'!R63</f>
        <v>-2.9940203040224895E-2</v>
      </c>
      <c r="S135" s="427">
        <f>(S71-'Res Bill Impact'!S63)/'Res Bill Impact'!S63</f>
        <v>4.2327467172728738E-3</v>
      </c>
      <c r="T135" s="427">
        <f>(T71-'Res Bill Impact'!T63)/'Res Bill Impact'!T63</f>
        <v>-3.0905680008770905E-2</v>
      </c>
      <c r="U135" s="427">
        <f>(U71-'Res Bill Impact'!U63)/'Res Bill Impact'!U63</f>
        <v>4.3336088455352036E-3</v>
      </c>
    </row>
    <row r="136" spans="2:21">
      <c r="B136" s="141" t="s">
        <v>225</v>
      </c>
      <c r="C136" s="427">
        <f>(C72-'Res Bill Impact'!C64)/'Res Bill Impact'!C64</f>
        <v>-3.3820305071211268E-2</v>
      </c>
      <c r="D136" s="427">
        <f>(D72-'Res Bill Impact'!D64)/'Res Bill Impact'!D64</f>
        <v>4.3883355057933622E-3</v>
      </c>
      <c r="E136" s="427">
        <f>(E72-'Res Bill Impact'!E64)/'Res Bill Impact'!E64</f>
        <v>-3.4693332801682408E-2</v>
      </c>
      <c r="F136" s="427">
        <f>(F72-'Res Bill Impact'!F64)/'Res Bill Impact'!F64</f>
        <v>4.4989650996621585E-3</v>
      </c>
      <c r="G136" s="427">
        <f>(G72-'Res Bill Impact'!G64)/'Res Bill Impact'!G64</f>
        <v>-3.4633677460855501E-2</v>
      </c>
      <c r="H136" s="427">
        <f>(H72-'Res Bill Impact'!H64)/'Res Bill Impact'!H64</f>
        <v>4.4908712983579187E-3</v>
      </c>
      <c r="I136" s="427">
        <f>(I72-'Res Bill Impact'!I64)/'Res Bill Impact'!I64</f>
        <v>-3.5203370974305134E-2</v>
      </c>
      <c r="J136" s="427">
        <f>(J72-'Res Bill Impact'!J64)/'Res Bill Impact'!J64</f>
        <v>4.5682177554124577E-3</v>
      </c>
      <c r="M136" s="141" t="s">
        <v>225</v>
      </c>
      <c r="N136" s="427">
        <f>(N72-'Res Bill Impact'!N64)/'Res Bill Impact'!N64</f>
        <v>-3.4267245288634868E-2</v>
      </c>
      <c r="O136" s="427">
        <f>(O72-'Res Bill Impact'!O64)/'Res Bill Impact'!O64</f>
        <v>4.6394739653195533E-3</v>
      </c>
      <c r="P136" s="427">
        <f>(P72-'Res Bill Impact'!P64)/'Res Bill Impact'!P64</f>
        <v>-3.5150349505809288E-2</v>
      </c>
      <c r="Q136" s="427">
        <f>(Q72-'Res Bill Impact'!Q64)/'Res Bill Impact'!Q64</f>
        <v>4.755584628509061E-3</v>
      </c>
      <c r="R136" s="427">
        <f>(R72-'Res Bill Impact'!R64)/'Res Bill Impact'!R64</f>
        <v>-3.509544088415132E-2</v>
      </c>
      <c r="S136" s="427">
        <f>(S72-'Res Bill Impact'!S64)/'Res Bill Impact'!S64</f>
        <v>4.7502498372441262E-3</v>
      </c>
      <c r="T136" s="427">
        <f>(T72-'Res Bill Impact'!T64)/'Res Bill Impact'!T64</f>
        <v>-3.5619098630893471E-2</v>
      </c>
      <c r="U136" s="427">
        <f>(U72-'Res Bill Impact'!U64)/'Res Bill Impact'!U64</f>
        <v>4.8009364402961229E-3</v>
      </c>
    </row>
    <row r="137" spans="2:21">
      <c r="B137" s="141" t="s">
        <v>222</v>
      </c>
      <c r="C137" s="427">
        <f>(C73-'Res Bill Impact'!C65)/'Res Bill Impact'!C65</f>
        <v>-3.4437548952009338E-2</v>
      </c>
      <c r="D137" s="427">
        <f>(D73-'Res Bill Impact'!D65)/'Res Bill Impact'!D65</f>
        <v>4.2862845008346962E-3</v>
      </c>
      <c r="E137" s="427">
        <f>(E73-'Res Bill Impact'!E65)/'Res Bill Impact'!E65</f>
        <v>-3.5324482755343056E-2</v>
      </c>
      <c r="F137" s="427">
        <f>(F73-'Res Bill Impact'!F65)/'Res Bill Impact'!F65</f>
        <v>4.3946606251857815E-3</v>
      </c>
      <c r="G137" s="427">
        <f>(G73-'Res Bill Impact'!G65)/'Res Bill Impact'!G65</f>
        <v>-3.5271421048793446E-2</v>
      </c>
      <c r="H137" s="427">
        <f>(H73-'Res Bill Impact'!H65)/'Res Bill Impact'!H65</f>
        <v>4.3855459127486E-3</v>
      </c>
      <c r="I137" s="427">
        <f>(I73-'Res Bill Impact'!I65)/'Res Bill Impact'!I65</f>
        <v>-3.5777205566987692E-2</v>
      </c>
      <c r="J137" s="427">
        <f>(J73-'Res Bill Impact'!J65)/'Res Bill Impact'!J65</f>
        <v>4.472854326172988E-3</v>
      </c>
      <c r="M137" s="141" t="s">
        <v>222</v>
      </c>
      <c r="N137" s="427">
        <f>(N73-'Res Bill Impact'!N65)/'Res Bill Impact'!N65</f>
        <v>-3.4672789031681236E-2</v>
      </c>
      <c r="O137" s="427">
        <f>(O73-'Res Bill Impact'!O65)/'Res Bill Impact'!O65</f>
        <v>4.5327970486012514E-3</v>
      </c>
      <c r="P137" s="427">
        <f>(P73-'Res Bill Impact'!P65)/'Res Bill Impact'!P65</f>
        <v>-3.5565003565146316E-2</v>
      </c>
      <c r="Q137" s="427">
        <f>(Q73-'Res Bill Impact'!Q65)/'Res Bill Impact'!Q65</f>
        <v>4.6465907074069931E-3</v>
      </c>
      <c r="R137" s="427">
        <f>(R73-'Res Bill Impact'!R65)/'Res Bill Impact'!R65</f>
        <v>-3.5514527679434145E-2</v>
      </c>
      <c r="S137" s="427">
        <f>(S73-'Res Bill Impact'!S65)/'Res Bill Impact'!S65</f>
        <v>4.640041097598629E-3</v>
      </c>
      <c r="T137" s="427">
        <f>(T73-'Res Bill Impact'!T65)/'Res Bill Impact'!T65</f>
        <v>-3.5995323726922719E-2</v>
      </c>
      <c r="U137" s="427">
        <f>(U73-'Res Bill Impact'!U65)/'Res Bill Impact'!U65</f>
        <v>4.7024226796618445E-3</v>
      </c>
    </row>
    <row r="138" spans="2:21">
      <c r="B138" s="144" t="s">
        <v>224</v>
      </c>
      <c r="C138" s="427">
        <f>(C74-'Res Bill Impact'!C66)/'Res Bill Impact'!C66</f>
        <v>-3.2578257200609181E-2</v>
      </c>
      <c r="D138" s="427">
        <f>(D74-'Res Bill Impact'!D66)/'Res Bill Impact'!D66</f>
        <v>4.2009553619475762E-3</v>
      </c>
      <c r="E138" s="427">
        <f>(E74-'Res Bill Impact'!E66)/'Res Bill Impact'!E66</f>
        <v>-3.3423082880770137E-2</v>
      </c>
      <c r="F138" s="427">
        <f>(F74-'Res Bill Impact'!F66)/'Res Bill Impact'!F66</f>
        <v>4.3074356317781108E-3</v>
      </c>
      <c r="G138" s="427">
        <f>(G74-'Res Bill Impact'!G66)/'Res Bill Impact'!G66</f>
        <v>-3.3350998669571072E-2</v>
      </c>
      <c r="H138" s="427">
        <f>(H74-'Res Bill Impact'!H66)/'Res Bill Impact'!H66</f>
        <v>4.2975117267070413E-3</v>
      </c>
      <c r="I138" s="427">
        <f>(I74-'Res Bill Impact'!I66)/'Res Bill Impact'!I66</f>
        <v>-3.4041973271149426E-2</v>
      </c>
      <c r="J138" s="427">
        <f>(J74-'Res Bill Impact'!J66)/'Res Bill Impact'!J66</f>
        <v>4.3927595254143956E-3</v>
      </c>
      <c r="M138" s="144" t="s">
        <v>224</v>
      </c>
      <c r="N138" s="427">
        <f>(N74-'Res Bill Impact'!N66)/'Res Bill Impact'!N66</f>
        <v>-3.1635935614264983E-2</v>
      </c>
      <c r="O138" s="427">
        <f>(O74-'Res Bill Impact'!O66)/'Res Bill Impact'!O66</f>
        <v>4.3542806513528825E-3</v>
      </c>
      <c r="P138" s="427">
        <f>(P74-'Res Bill Impact'!P66)/'Res Bill Impact'!P66</f>
        <v>-3.2459169085837986E-2</v>
      </c>
      <c r="Q138" s="427">
        <f>(Q74-'Res Bill Impact'!Q66)/'Res Bill Impact'!Q66</f>
        <v>4.4641599375419977E-3</v>
      </c>
      <c r="R138" s="427">
        <f>(R74-'Res Bill Impact'!R66)/'Res Bill Impact'!R66</f>
        <v>-3.237840290975582E-2</v>
      </c>
      <c r="S138" s="427">
        <f>(S74-'Res Bill Impact'!S66)/'Res Bill Impact'!S66</f>
        <v>4.4557190174311602E-3</v>
      </c>
      <c r="T138" s="427">
        <f>(T74-'Res Bill Impact'!T66)/'Res Bill Impact'!T66</f>
        <v>-3.3154815285220081E-2</v>
      </c>
      <c r="U138" s="427">
        <f>(U74-'Res Bill Impact'!U66)/'Res Bill Impact'!U66</f>
        <v>4.5364461482527403E-3</v>
      </c>
    </row>
    <row r="139" spans="2:21">
      <c r="B139" s="6" t="s">
        <v>112</v>
      </c>
      <c r="C139" s="427">
        <f>(C75-'Res Bill Impact'!C67)/'Res Bill Impact'!C67</f>
        <v>-3.2161595388733963E-2</v>
      </c>
      <c r="D139" s="427">
        <f>(D75-'Res Bill Impact'!D67)/'Res Bill Impact'!D67</f>
        <v>4.1854891853094619E-3</v>
      </c>
      <c r="E139" s="427">
        <f>(E75-'Res Bill Impact'!E67)/'Res Bill Impact'!E67</f>
        <v>-3.2996894579878255E-2</v>
      </c>
      <c r="F139" s="427">
        <f>(F75-'Res Bill Impact'!F67)/'Res Bill Impact'!F67</f>
        <v>4.2916246910468664E-3</v>
      </c>
      <c r="G139" s="427">
        <f>(G75-'Res Bill Impact'!G67)/'Res Bill Impact'!G67</f>
        <v>-3.2920891977557751E-2</v>
      </c>
      <c r="H139" s="427">
        <f>(H75-'Res Bill Impact'!H67)/'Res Bill Impact'!H67</f>
        <v>4.2815584484271422E-3</v>
      </c>
      <c r="I139" s="427">
        <f>(I75-'Res Bill Impact'!I67)/'Res Bill Impact'!I67</f>
        <v>-3.3650347231496451E-2</v>
      </c>
      <c r="J139" s="427">
        <f>(J75-'Res Bill Impact'!J67)/'Res Bill Impact'!J67</f>
        <v>4.3782070711832688E-3</v>
      </c>
      <c r="M139" s="6" t="s">
        <v>112</v>
      </c>
      <c r="N139" s="427">
        <f>(N75-'Res Bill Impact'!N67)/'Res Bill Impact'!N67</f>
        <v>-3.0584667576048732E-2</v>
      </c>
      <c r="O139" s="427">
        <f>(O75-'Res Bill Impact'!O67)/'Res Bill Impact'!O67</f>
        <v>4.257759246469834E-3</v>
      </c>
      <c r="P139" s="427">
        <f>(P75-'Res Bill Impact'!P67)/'Res Bill Impact'!P67</f>
        <v>-3.138361306818957E-2</v>
      </c>
      <c r="Q139" s="427">
        <f>(Q75-'Res Bill Impact'!Q67)/'Res Bill Impact'!Q67</f>
        <v>4.3655027719032308E-3</v>
      </c>
      <c r="R139" s="427">
        <f>(R75-'Res Bill Impact'!R67)/'Res Bill Impact'!R67</f>
        <v>-3.1293921958820053E-2</v>
      </c>
      <c r="S139" s="427">
        <f>(S75-'Res Bill Impact'!S67)/'Res Bill Impact'!S67</f>
        <v>4.3561130467333438E-3</v>
      </c>
      <c r="T139" s="427">
        <f>(T75-'Res Bill Impact'!T67)/'Res Bill Impact'!T67</f>
        <v>-3.2158892368006224E-2</v>
      </c>
      <c r="U139" s="427">
        <f>(U75-'Res Bill Impact'!U67)/'Res Bill Impact'!U67</f>
        <v>4.4461152290162578E-3</v>
      </c>
    </row>
    <row r="140" spans="2:21">
      <c r="B140" s="7"/>
      <c r="M140" s="7"/>
    </row>
    <row r="141" spans="2:21">
      <c r="B141" s="7"/>
      <c r="M141" s="7"/>
    </row>
    <row r="142" spans="2:21">
      <c r="B142" s="7"/>
      <c r="C142" s="510" t="str">
        <f>C78</f>
        <v>Essential Usage Basic Bundled CARE Customer Bill</v>
      </c>
      <c r="M142" s="7"/>
      <c r="N142" s="510" t="str">
        <f>N78</f>
        <v>Essential Usage All-Electric Bundled CARE Customer</v>
      </c>
    </row>
    <row r="143" spans="2:21">
      <c r="B143" s="7"/>
      <c r="M143" s="7"/>
    </row>
    <row r="144" spans="2:21">
      <c r="B144" s="7"/>
      <c r="M144" s="7"/>
    </row>
    <row r="145" spans="2:21">
      <c r="B145" s="138" t="s">
        <v>223</v>
      </c>
      <c r="C145" s="427">
        <f>(C81-'Res Bill Impact'!C73)/'Res Bill Impact'!C73</f>
        <v>-5.4853247141237349E-2</v>
      </c>
      <c r="D145" s="427">
        <f>(D81-'Res Bill Impact'!D73)/'Res Bill Impact'!D73</f>
        <v>-5.6472641539461101E-3</v>
      </c>
      <c r="E145" s="427">
        <f>(E81-'Res Bill Impact'!E73)/'Res Bill Impact'!E73</f>
        <v>-5.6255918187602928E-2</v>
      </c>
      <c r="F145" s="427">
        <f>(F81-'Res Bill Impact'!F73)/'Res Bill Impact'!F73</f>
        <v>-5.7986524779424457E-3</v>
      </c>
      <c r="G145" s="427">
        <f>(G81-'Res Bill Impact'!G73)/'Res Bill Impact'!G73</f>
        <v>-5.6193322814570769E-2</v>
      </c>
      <c r="H145" s="427">
        <f>(H81-'Res Bill Impact'!H73)/'Res Bill Impact'!H73</f>
        <v>-5.7923236920023984E-3</v>
      </c>
      <c r="I145" s="427">
        <f>(I81-'Res Bill Impact'!I73)/'Res Bill Impact'!I73</f>
        <v>-5.6788004184655329E-2</v>
      </c>
      <c r="J145" s="427">
        <f>(J81-'Res Bill Impact'!J73)/'Res Bill Impact'!J73</f>
        <v>-5.8524388402107089E-3</v>
      </c>
      <c r="M145" s="138" t="s">
        <v>223</v>
      </c>
      <c r="N145" s="427">
        <f>(N81-'Res Bill Impact'!N73)/'Res Bill Impact'!N73</f>
        <v>-5.2827910298336153E-2</v>
      </c>
      <c r="O145" s="427">
        <f>(O81-'Res Bill Impact'!O73)/'Res Bill Impact'!O73</f>
        <v>-5.627719697173841E-3</v>
      </c>
      <c r="P145" s="427">
        <f>(P81-'Res Bill Impact'!P73)/'Res Bill Impact'!P73</f>
        <v>-5.4185675171041087E-2</v>
      </c>
      <c r="Q145" s="427">
        <f>(Q81-'Res Bill Impact'!Q73)/'Res Bill Impact'!Q73</f>
        <v>-5.7786530195660752E-3</v>
      </c>
      <c r="R145" s="427">
        <f>(R81-'Res Bill Impact'!R73)/'Res Bill Impact'!R73</f>
        <v>-5.4100333126068885E-2</v>
      </c>
      <c r="S145" s="427">
        <f>(S81-'Res Bill Impact'!S73)/'Res Bill Impact'!S73</f>
        <v>-5.7720951466336459E-3</v>
      </c>
      <c r="T145" s="427">
        <f>(T81-'Res Bill Impact'!T73)/'Res Bill Impact'!T73</f>
        <v>-5.4914320908884449E-2</v>
      </c>
      <c r="U145" s="427">
        <f>(U81-'Res Bill Impact'!U73)/'Res Bill Impact'!U73</f>
        <v>-5.8344093415667164E-3</v>
      </c>
    </row>
    <row r="146" spans="2:21">
      <c r="B146" s="141" t="s">
        <v>225</v>
      </c>
      <c r="C146" s="427">
        <f>(C82-'Res Bill Impact'!C74)/'Res Bill Impact'!C74</f>
        <v>-5.6339013641747385E-2</v>
      </c>
      <c r="D146" s="427">
        <f>(D82-'Res Bill Impact'!D74)/'Res Bill Impact'!D74</f>
        <v>-5.7737922561442124E-3</v>
      </c>
      <c r="E146" s="427">
        <f>(E82-'Res Bill Impact'!E74)/'Res Bill Impact'!E74</f>
        <v>-5.7774292926208039E-2</v>
      </c>
      <c r="F146" s="427">
        <f>(F82-'Res Bill Impact'!F74)/'Res Bill Impact'!F74</f>
        <v>-5.9281146549152106E-3</v>
      </c>
      <c r="G146" s="427">
        <f>(G82-'Res Bill Impact'!G74)/'Res Bill Impact'!G74</f>
        <v>-5.7729613112674334E-2</v>
      </c>
      <c r="H146" s="427">
        <f>(H82-'Res Bill Impact'!H74)/'Res Bill Impact'!H74</f>
        <v>-5.9233113657796779E-3</v>
      </c>
      <c r="I146" s="427">
        <f>(I82-'Res Bill Impact'!I74)/'Res Bill Impact'!I74</f>
        <v>-5.8152867590399157E-2</v>
      </c>
      <c r="J146" s="427">
        <f>(J82-'Res Bill Impact'!J74)/'Res Bill Impact'!J74</f>
        <v>-5.9688274479252242E-3</v>
      </c>
      <c r="M146" s="141" t="s">
        <v>225</v>
      </c>
      <c r="N146" s="427">
        <f>(N82-'Res Bill Impact'!N74)/'Res Bill Impact'!N74</f>
        <v>-5.6655057955673702E-2</v>
      </c>
      <c r="O146" s="427">
        <f>(O82-'Res Bill Impact'!O74)/'Res Bill Impact'!O74</f>
        <v>-5.9111712158091802E-3</v>
      </c>
      <c r="P146" s="427">
        <f>(P82-'Res Bill Impact'!P74)/'Res Bill Impact'!P74</f>
        <v>-5.8097236987996952E-2</v>
      </c>
      <c r="Q146" s="427">
        <f>(Q82-'Res Bill Impact'!Q74)/'Res Bill Impact'!Q74</f>
        <v>-6.0686566730288561E-3</v>
      </c>
      <c r="R146" s="427">
        <f>(R82-'Res Bill Impact'!R74)/'Res Bill Impact'!R74</f>
        <v>-5.8056502268992262E-2</v>
      </c>
      <c r="S146" s="427">
        <f>(S82-'Res Bill Impact'!S74)/'Res Bill Impact'!S74</f>
        <v>-6.0655929396490112E-3</v>
      </c>
      <c r="T146" s="427">
        <f>(T82-'Res Bill Impact'!T74)/'Res Bill Impact'!T74</f>
        <v>-5.8442148537256947E-2</v>
      </c>
      <c r="U146" s="427">
        <f>(U82-'Res Bill Impact'!U74)/'Res Bill Impact'!U74</f>
        <v>-6.0945499521729537E-3</v>
      </c>
    </row>
    <row r="147" spans="2:21">
      <c r="B147" s="141" t="s">
        <v>222</v>
      </c>
      <c r="C147" s="427">
        <f>(C83-'Res Bill Impact'!C75)/'Res Bill Impact'!C75</f>
        <v>-5.6774239747551962E-2</v>
      </c>
      <c r="D147" s="427">
        <f>(D83-'Res Bill Impact'!D75)/'Res Bill Impact'!D75</f>
        <v>-5.7153693982582351E-3</v>
      </c>
      <c r="E147" s="427">
        <f>(E83-'Res Bill Impact'!E75)/'Res Bill Impact'!E75</f>
        <v>-5.8219017382551794E-2</v>
      </c>
      <c r="F147" s="427">
        <f>(F83-'Res Bill Impact'!F75)/'Res Bill Impact'!F75</f>
        <v>-5.8683395073890528E-3</v>
      </c>
      <c r="G147" s="427">
        <f>(G83-'Res Bill Impact'!G75)/'Res Bill Impact'!G75</f>
        <v>-5.8179782603118499E-2</v>
      </c>
      <c r="H147" s="427">
        <f>(H83-'Res Bill Impact'!H75)/'Res Bill Impact'!H75</f>
        <v>-5.8628227051690882E-3</v>
      </c>
      <c r="I147" s="427">
        <f>(I83-'Res Bill Impact'!I75)/'Res Bill Impact'!I75</f>
        <v>-5.8551142869013806E-2</v>
      </c>
      <c r="J147" s="427">
        <f>(J83-'Res Bill Impact'!J75)/'Res Bill Impact'!J75</f>
        <v>-5.9151577046315205E-3</v>
      </c>
      <c r="M147" s="141" t="s">
        <v>222</v>
      </c>
      <c r="N147" s="427">
        <f>(N83-'Res Bill Impact'!N75)/'Res Bill Impact'!N75</f>
        <v>-5.6937751615522558E-2</v>
      </c>
      <c r="O147" s="427">
        <f>(O83-'Res Bill Impact'!O75)/'Res Bill Impact'!O75</f>
        <v>-5.8538923278499827E-3</v>
      </c>
      <c r="P147" s="427">
        <f>(P83-'Res Bill Impact'!P75)/'Res Bill Impact'!P75</f>
        <v>-5.8386091449857784E-2</v>
      </c>
      <c r="Q147" s="427">
        <f>(Q83-'Res Bill Impact'!Q75)/'Res Bill Impact'!Q75</f>
        <v>-6.0100618415269693E-3</v>
      </c>
      <c r="R147" s="427">
        <f>(R83-'Res Bill Impact'!R75)/'Res Bill Impact'!R75</f>
        <v>-5.8348925413224013E-2</v>
      </c>
      <c r="S147" s="427">
        <f>(S83-'Res Bill Impact'!S75)/'Res Bill Impact'!S75</f>
        <v>-6.0062622810460008E-3</v>
      </c>
      <c r="T147" s="427">
        <f>(T83-'Res Bill Impact'!T75)/'Res Bill Impact'!T75</f>
        <v>-5.8700593576771216E-2</v>
      </c>
      <c r="U147" s="427">
        <f>(U83-'Res Bill Impact'!U75)/'Res Bill Impact'!U75</f>
        <v>-6.0422127156449026E-3</v>
      </c>
    </row>
    <row r="148" spans="2:21">
      <c r="B148" s="144" t="s">
        <v>224</v>
      </c>
      <c r="C148" s="427">
        <f>(C84-'Res Bill Impact'!C76)/'Res Bill Impact'!C76</f>
        <v>-5.5435084779806673E-2</v>
      </c>
      <c r="D148" s="427">
        <f>(D84-'Res Bill Impact'!D76)/'Res Bill Impact'!D76</f>
        <v>-5.6652995407947522E-3</v>
      </c>
      <c r="E148" s="427">
        <f>(E84-'Res Bill Impact'!E76)/'Res Bill Impact'!E76</f>
        <v>-5.6850559179876012E-2</v>
      </c>
      <c r="F148" s="427">
        <f>(F84-'Res Bill Impact'!F76)/'Res Bill Impact'!F76</f>
        <v>-5.8171073114284171E-3</v>
      </c>
      <c r="G148" s="427">
        <f>(G84-'Res Bill Impact'!G76)/'Res Bill Impact'!G76</f>
        <v>-5.6794855755341003E-2</v>
      </c>
      <c r="H148" s="427">
        <f>(H84-'Res Bill Impact'!H76)/'Res Bill Impact'!H76</f>
        <v>-5.8109914795755127E-3</v>
      </c>
      <c r="I148" s="427">
        <f>(I84-'Res Bill Impact'!I76)/'Res Bill Impact'!I76</f>
        <v>-5.7323463216234563E-2</v>
      </c>
      <c r="J148" s="427">
        <f>(J84-'Res Bill Impact'!J76)/'Res Bill Impact'!J76</f>
        <v>-5.8690640464770976E-3</v>
      </c>
      <c r="M148" s="144" t="s">
        <v>224</v>
      </c>
      <c r="N148" s="427">
        <f>(N84-'Res Bill Impact'!N76)/'Res Bill Impact'!N76</f>
        <v>-5.4722966248640835E-2</v>
      </c>
      <c r="O148" s="427">
        <f>(O84-'Res Bill Impact'!O76)/'Res Bill Impact'!O76</f>
        <v>-5.7544694542980765E-3</v>
      </c>
      <c r="P148" s="427">
        <f>(P84-'Res Bill Impact'!P76)/'Res Bill Impact'!P76</f>
        <v>-5.612276451223383E-2</v>
      </c>
      <c r="Q148" s="427">
        <f>(Q84-'Res Bill Impact'!Q76)/'Res Bill Impact'!Q76</f>
        <v>-5.9083450679760455E-3</v>
      </c>
      <c r="R148" s="427">
        <f>(R84-'Res Bill Impact'!R76)/'Res Bill Impact'!R76</f>
        <v>-5.605864780001376E-2</v>
      </c>
      <c r="S148" s="427">
        <f>(S84-'Res Bill Impact'!S76)/'Res Bill Impact'!S76</f>
        <v>-5.9033040568380367E-3</v>
      </c>
      <c r="T148" s="427">
        <f>(T84-'Res Bill Impact'!T76)/'Res Bill Impact'!T76</f>
        <v>-5.6667936751167117E-2</v>
      </c>
      <c r="U148" s="427">
        <f>(U84-'Res Bill Impact'!U76)/'Res Bill Impact'!U76</f>
        <v>-5.9510902079337787E-3</v>
      </c>
    </row>
    <row r="149" spans="2:21">
      <c r="B149" s="6" t="s">
        <v>112</v>
      </c>
      <c r="C149" s="427">
        <f>(C85-'Res Bill Impact'!C77)/'Res Bill Impact'!C77</f>
        <v>-5.5177363021431926E-2</v>
      </c>
      <c r="D149" s="427">
        <f>(D85-'Res Bill Impact'!D77)/'Res Bill Impact'!D77</f>
        <v>-5.6577200805598164E-3</v>
      </c>
      <c r="E149" s="427">
        <f>(E85-'Res Bill Impact'!E77)/'Res Bill Impact'!E77</f>
        <v>-5.6587171602169542E-2</v>
      </c>
      <c r="F149" s="427">
        <f>(F85-'Res Bill Impact'!F77)/'Res Bill Impact'!F77</f>
        <v>-5.809351626171958E-3</v>
      </c>
      <c r="G149" s="427">
        <f>(G85-'Res Bill Impact'!G77)/'Res Bill Impact'!G77</f>
        <v>-5.6528395747693118E-2</v>
      </c>
      <c r="H149" s="427">
        <f>(H85-'Res Bill Impact'!H77)/'Res Bill Impact'!H77</f>
        <v>-5.8031461174380752E-3</v>
      </c>
      <c r="I149" s="427">
        <f>(I85-'Res Bill Impact'!I77)/'Res Bill Impact'!I77</f>
        <v>-5.7086438700849874E-2</v>
      </c>
      <c r="J149" s="427">
        <f>(J85-'Res Bill Impact'!J77)/'Res Bill Impact'!J77</f>
        <v>-5.86207864676938E-3</v>
      </c>
      <c r="M149" s="6" t="s">
        <v>112</v>
      </c>
      <c r="N149" s="427">
        <f>(N85-'Res Bill Impact'!N77)/'Res Bill Impact'!N77</f>
        <v>-5.4106734702858185E-2</v>
      </c>
      <c r="O149" s="427">
        <f>(O85-'Res Bill Impact'!O77)/'Res Bill Impact'!O77</f>
        <v>-5.7125926847326281E-3</v>
      </c>
      <c r="P149" s="427">
        <f>(P85-'Res Bill Impact'!P77)/'Res Bill Impact'!P77</f>
        <v>-5.5492915143788554E-2</v>
      </c>
      <c r="Q149" s="427">
        <f>(Q85-'Res Bill Impact'!Q77)/'Res Bill Impact'!Q77</f>
        <v>-5.8654984163116815E-3</v>
      </c>
      <c r="R149" s="427">
        <f>(R85-'Res Bill Impact'!R77)/'Res Bill Impact'!R77</f>
        <v>-5.5421710821884455E-2</v>
      </c>
      <c r="S149" s="427">
        <f>(S85-'Res Bill Impact'!S77)/'Res Bill Impact'!S77</f>
        <v>-5.8599480924219575E-3</v>
      </c>
      <c r="T149" s="427">
        <f>(T85-'Res Bill Impact'!T77)/'Res Bill Impact'!T77</f>
        <v>-5.6099163420967033E-2</v>
      </c>
      <c r="U149" s="427">
        <f>(U85-'Res Bill Impact'!U77)/'Res Bill Impact'!U77</f>
        <v>-5.9126038542609864E-3</v>
      </c>
    </row>
    <row r="150" spans="2:21">
      <c r="B150" s="7"/>
      <c r="M150" s="7"/>
    </row>
    <row r="151" spans="2:21" ht="15.75" thickBot="1"/>
    <row r="152" spans="2:21" ht="15.75" thickBot="1">
      <c r="B152" s="755">
        <f>IF(Summary!$I$9="",400,Summary!$I$9)</f>
        <v>400</v>
      </c>
      <c r="C152" s="510" t="str">
        <f>C88</f>
        <v>400 kWh Monthly Basic Bundled Non-CARE Customer</v>
      </c>
      <c r="M152" s="755">
        <f>IF(Summary!$I$9="",400,Summary!$I$9)</f>
        <v>400</v>
      </c>
      <c r="N152" s="510" t="str">
        <f>N88</f>
        <v>400 kWh Monthly All-Electric Bundled Non-CARE Customer</v>
      </c>
    </row>
    <row r="153" spans="2:21">
      <c r="B153" s="7"/>
      <c r="M153" s="7"/>
    </row>
    <row r="154" spans="2:21">
      <c r="B154" s="7"/>
      <c r="M154" s="7"/>
    </row>
    <row r="155" spans="2:21">
      <c r="B155" s="138" t="s">
        <v>223</v>
      </c>
      <c r="C155" s="756">
        <f>(C91-'Res Bill Impact'!C83)/'Res Bill Impact'!C83</f>
        <v>-3.2828287426276699E-2</v>
      </c>
      <c r="D155" s="756">
        <f>(D91-'Res Bill Impact'!D83)/'Res Bill Impact'!D83</f>
        <v>4.3071334098744784E-3</v>
      </c>
      <c r="E155" s="756">
        <f>(E91-'Res Bill Impact'!E83)/'Res Bill Impact'!E83</f>
        <v>-3.3674257218325558E-2</v>
      </c>
      <c r="F155" s="756">
        <f>(F91-'Res Bill Impact'!F83)/'Res Bill Impact'!F83</f>
        <v>4.4166987103580998E-3</v>
      </c>
      <c r="G155" s="756">
        <f>(G91-'Res Bill Impact'!G83)/'Res Bill Impact'!G83</f>
        <v>-3.3616946809267058E-2</v>
      </c>
      <c r="H155" s="756">
        <f>(H91-'Res Bill Impact'!H83)/'Res Bill Impact'!H83</f>
        <v>4.4091487542509715E-3</v>
      </c>
      <c r="I155" s="756">
        <f>(I91-'Res Bill Impact'!I83)/'Res Bill Impact'!I83</f>
        <v>-3.4164164335952006E-2</v>
      </c>
      <c r="J155" s="756">
        <f>(J91-'Res Bill Impact'!J83)/'Res Bill Impact'!J83</f>
        <v>4.4812427060281429E-3</v>
      </c>
      <c r="M155" s="138" t="s">
        <v>223</v>
      </c>
      <c r="N155" s="427">
        <f>(N91-'Res Bill Impact'!N83)/'Res Bill Impact'!N83</f>
        <v>-3.0861074799420705E-2</v>
      </c>
      <c r="O155" s="427">
        <f>(O91-'Res Bill Impact'!O83)/'Res Bill Impact'!O83</f>
        <v>4.2694067779315429E-3</v>
      </c>
      <c r="P155" s="427">
        <f>(P91-'Res Bill Impact'!P83)/'Res Bill Impact'!P83</f>
        <v>-3.165261979271209E-2</v>
      </c>
      <c r="Q155" s="427">
        <f>(Q91-'Res Bill Impact'!Q83)/'Res Bill Impact'!Q83</f>
        <v>4.3784157116350773E-3</v>
      </c>
      <c r="R155" s="427">
        <f>(R91-'Res Bill Impact'!R83)/'Res Bill Impact'!R83</f>
        <v>-3.1601974548311304E-2</v>
      </c>
      <c r="S155" s="427">
        <f>(S91-'Res Bill Impact'!S83)/'Res Bill Impact'!S83</f>
        <v>4.3709966380006049E-3</v>
      </c>
      <c r="T155" s="427">
        <f>(T91-'Res Bill Impact'!T83)/'Res Bill Impact'!T83</f>
        <v>-3.2085129596068712E-2</v>
      </c>
      <c r="U155" s="427">
        <f>(U91-'Res Bill Impact'!U83)/'Res Bill Impact'!U83</f>
        <v>4.4418317367913096E-3</v>
      </c>
    </row>
    <row r="156" spans="2:21">
      <c r="B156" s="141" t="s">
        <v>225</v>
      </c>
      <c r="C156" s="756">
        <f>(C92-'Res Bill Impact'!C84)/'Res Bill Impact'!C84</f>
        <v>-3.3736701186425036E-2</v>
      </c>
      <c r="D156" s="756">
        <f>(D92-'Res Bill Impact'!D84)/'Res Bill Impact'!D84</f>
        <v>4.406920024756792E-3</v>
      </c>
      <c r="E156" s="756">
        <f>(E92-'Res Bill Impact'!E84)/'Res Bill Impact'!E84</f>
        <v>-3.46078398091322E-2</v>
      </c>
      <c r="F156" s="756">
        <f>(F92-'Res Bill Impact'!F84)/'Res Bill Impact'!F84</f>
        <v>4.5179583671480731E-3</v>
      </c>
      <c r="G156" s="756">
        <f>(G92-'Res Bill Impact'!G84)/'Res Bill Impact'!G84</f>
        <v>-3.4547312675478489E-2</v>
      </c>
      <c r="H156" s="756">
        <f>(H92-'Res Bill Impact'!H84)/'Res Bill Impact'!H84</f>
        <v>4.5100567162090583E-3</v>
      </c>
      <c r="I156" s="756">
        <f>(I92-'Res Bill Impact'!I84)/'Res Bill Impact'!I84</f>
        <v>-3.51254773649489E-2</v>
      </c>
      <c r="J156" s="756">
        <f>(J92-'Res Bill Impact'!J84)/'Res Bill Impact'!J84</f>
        <v>4.5855345273289883E-3</v>
      </c>
      <c r="M156" s="141" t="s">
        <v>225</v>
      </c>
      <c r="N156" s="427">
        <f>(N92-'Res Bill Impact'!N84)/'Res Bill Impact'!N84</f>
        <v>-3.3736701186425036E-2</v>
      </c>
      <c r="O156" s="427">
        <f>(O92-'Res Bill Impact'!O84)/'Res Bill Impact'!O84</f>
        <v>4.406920024756792E-3</v>
      </c>
      <c r="P156" s="427">
        <f>(P92-'Res Bill Impact'!P84)/'Res Bill Impact'!P84</f>
        <v>-3.46078398091322E-2</v>
      </c>
      <c r="Q156" s="427">
        <f>(Q92-'Res Bill Impact'!Q84)/'Res Bill Impact'!Q84</f>
        <v>4.5179583671480731E-3</v>
      </c>
      <c r="R156" s="427">
        <f>(R92-'Res Bill Impact'!R84)/'Res Bill Impact'!R84</f>
        <v>-3.4547312675478489E-2</v>
      </c>
      <c r="S156" s="427">
        <f>(S92-'Res Bill Impact'!S84)/'Res Bill Impact'!S84</f>
        <v>4.5100567162090583E-3</v>
      </c>
      <c r="T156" s="427">
        <f>(T92-'Res Bill Impact'!T84)/'Res Bill Impact'!T84</f>
        <v>-3.51254773649489E-2</v>
      </c>
      <c r="U156" s="427">
        <f>(U92-'Res Bill Impact'!U84)/'Res Bill Impact'!U84</f>
        <v>4.5855345273289883E-3</v>
      </c>
    </row>
    <row r="157" spans="2:21">
      <c r="B157" s="141" t="s">
        <v>222</v>
      </c>
      <c r="C157" s="756">
        <f>(C93-'Res Bill Impact'!C85)/'Res Bill Impact'!C85</f>
        <v>-3.3736701186425036E-2</v>
      </c>
      <c r="D157" s="756">
        <f>(D93-'Res Bill Impact'!D85)/'Res Bill Impact'!D85</f>
        <v>4.406920024756792E-3</v>
      </c>
      <c r="E157" s="756">
        <f>(E93-'Res Bill Impact'!E85)/'Res Bill Impact'!E85</f>
        <v>-3.46078398091322E-2</v>
      </c>
      <c r="F157" s="756">
        <f>(F93-'Res Bill Impact'!F85)/'Res Bill Impact'!F85</f>
        <v>4.5179583671480731E-3</v>
      </c>
      <c r="G157" s="756">
        <f>(G93-'Res Bill Impact'!G85)/'Res Bill Impact'!G85</f>
        <v>-3.4547312675478489E-2</v>
      </c>
      <c r="H157" s="756">
        <f>(H93-'Res Bill Impact'!H85)/'Res Bill Impact'!H85</f>
        <v>4.5100567162090583E-3</v>
      </c>
      <c r="I157" s="756">
        <f>(I93-'Res Bill Impact'!I85)/'Res Bill Impact'!I85</f>
        <v>-3.51254773649489E-2</v>
      </c>
      <c r="J157" s="756">
        <f>(J93-'Res Bill Impact'!J85)/'Res Bill Impact'!J85</f>
        <v>4.5855345273289883E-3</v>
      </c>
      <c r="M157" s="141" t="s">
        <v>222</v>
      </c>
      <c r="N157" s="427">
        <f>(N93-'Res Bill Impact'!N85)/'Res Bill Impact'!N85</f>
        <v>-3.3736701186425036E-2</v>
      </c>
      <c r="O157" s="427">
        <f>(O93-'Res Bill Impact'!O85)/'Res Bill Impact'!O85</f>
        <v>4.406920024756792E-3</v>
      </c>
      <c r="P157" s="427">
        <f>(P93-'Res Bill Impact'!P85)/'Res Bill Impact'!P85</f>
        <v>-3.46078398091322E-2</v>
      </c>
      <c r="Q157" s="427">
        <f>(Q93-'Res Bill Impact'!Q85)/'Res Bill Impact'!Q85</f>
        <v>4.5179583671480731E-3</v>
      </c>
      <c r="R157" s="427">
        <f>(R93-'Res Bill Impact'!R85)/'Res Bill Impact'!R85</f>
        <v>-3.4547312675478489E-2</v>
      </c>
      <c r="S157" s="427">
        <f>(S93-'Res Bill Impact'!S85)/'Res Bill Impact'!S85</f>
        <v>4.5100567162090583E-3</v>
      </c>
      <c r="T157" s="427">
        <f>(T93-'Res Bill Impact'!T85)/'Res Bill Impact'!T85</f>
        <v>-3.51254773649489E-2</v>
      </c>
      <c r="U157" s="427">
        <f>(U93-'Res Bill Impact'!U85)/'Res Bill Impact'!U85</f>
        <v>4.5855345273289883E-3</v>
      </c>
    </row>
    <row r="158" spans="2:21">
      <c r="B158" s="144" t="s">
        <v>224</v>
      </c>
      <c r="C158" s="756">
        <f>(C94-'Res Bill Impact'!C86)/'Res Bill Impact'!C86</f>
        <v>-3.3736701186425036E-2</v>
      </c>
      <c r="D158" s="756">
        <f>(D94-'Res Bill Impact'!D86)/'Res Bill Impact'!D86</f>
        <v>4.3431123942793025E-3</v>
      </c>
      <c r="E158" s="756">
        <f>(E94-'Res Bill Impact'!E86)/'Res Bill Impact'!E86</f>
        <v>-3.46078398091322E-2</v>
      </c>
      <c r="F158" s="756">
        <f>(F94-'Res Bill Impact'!F86)/'Res Bill Impact'!F86</f>
        <v>4.4532085699152176E-3</v>
      </c>
      <c r="G158" s="756">
        <f>(G94-'Res Bill Impact'!G86)/'Res Bill Impact'!G86</f>
        <v>-3.4547312675478489E-2</v>
      </c>
      <c r="H158" s="756">
        <f>(H94-'Res Bill Impact'!H86)/'Res Bill Impact'!H86</f>
        <v>4.4455327291267333E-3</v>
      </c>
      <c r="I158" s="756">
        <f>(I94-'Res Bill Impact'!I86)/'Res Bill Impact'!I86</f>
        <v>-3.51254773649489E-2</v>
      </c>
      <c r="J158" s="756">
        <f>(J94-'Res Bill Impact'!J86)/'Res Bill Impact'!J86</f>
        <v>4.51883769192614E-3</v>
      </c>
      <c r="M158" s="144" t="s">
        <v>224</v>
      </c>
      <c r="N158" s="427">
        <f>(N94-'Res Bill Impact'!N86)/'Res Bill Impact'!N86</f>
        <v>-3.2648875110696494E-2</v>
      </c>
      <c r="O158" s="427">
        <f>(O94-'Res Bill Impact'!O86)/'Res Bill Impact'!O86</f>
        <v>4.406920024756792E-3</v>
      </c>
      <c r="P158" s="427">
        <f>(P94-'Res Bill Impact'!P86)/'Res Bill Impact'!P86</f>
        <v>-3.3489876784483258E-2</v>
      </c>
      <c r="Q158" s="427">
        <f>(Q94-'Res Bill Impact'!Q86)/'Res Bill Impact'!Q86</f>
        <v>4.5179583671480731E-3</v>
      </c>
      <c r="R158" s="427">
        <f>(R94-'Res Bill Impact'!R86)/'Res Bill Impact'!R86</f>
        <v>-3.3433191303174993E-2</v>
      </c>
      <c r="S158" s="427">
        <f>(S94-'Res Bill Impact'!S86)/'Res Bill Impact'!S86</f>
        <v>4.5100567162090583E-3</v>
      </c>
      <c r="T158" s="427">
        <f>(T94-'Res Bill Impact'!T86)/'Res Bill Impact'!T86</f>
        <v>-3.3974398772836117E-2</v>
      </c>
      <c r="U158" s="427">
        <f>(U94-'Res Bill Impact'!U86)/'Res Bill Impact'!U86</f>
        <v>4.5855345273289883E-3</v>
      </c>
    </row>
    <row r="159" spans="2:21">
      <c r="B159" s="6" t="s">
        <v>112</v>
      </c>
      <c r="C159" s="756">
        <f>(C95-'Res Bill Impact'!C87)/'Res Bill Impact'!C87</f>
        <v>-3.3192015551397593E-2</v>
      </c>
      <c r="D159" s="756">
        <f>(D95-'Res Bill Impact'!D87)/'Res Bill Impact'!D87</f>
        <v>4.3222987917731536E-3</v>
      </c>
      <c r="E159" s="756">
        <f>(E95-'Res Bill Impact'!E87)/'Res Bill Impact'!E87</f>
        <v>-3.4048060138811204E-2</v>
      </c>
      <c r="F159" s="756">
        <f>(F95-'Res Bill Impact'!F87)/'Res Bill Impact'!F87</f>
        <v>4.4320878261682201E-3</v>
      </c>
      <c r="G159" s="756">
        <f>(G95-'Res Bill Impact'!G87)/'Res Bill Impact'!G87</f>
        <v>-3.3989472289950244E-2</v>
      </c>
      <c r="H159" s="756">
        <f>(H95-'Res Bill Impact'!H87)/'Res Bill Impact'!H87</f>
        <v>4.4244849356168472E-3</v>
      </c>
      <c r="I159" s="756">
        <f>(I95-'Res Bill Impact'!I87)/'Res Bill Impact'!I87</f>
        <v>-3.4548977442464324E-2</v>
      </c>
      <c r="J159" s="756">
        <f>(J95-'Res Bill Impact'!J87)/'Res Bill Impact'!J87</f>
        <v>4.4970880898062299E-3</v>
      </c>
      <c r="M159" s="6" t="s">
        <v>112</v>
      </c>
      <c r="N159" s="427">
        <f>(N95-'Res Bill Impact'!N87)/'Res Bill Impact'!N87</f>
        <v>-3.1606567530009511E-2</v>
      </c>
      <c r="O159" s="427">
        <f>(O95-'Res Bill Impact'!O87)/'Res Bill Impact'!O87</f>
        <v>4.3255788750538905E-3</v>
      </c>
      <c r="P159" s="427">
        <f>(P95-'Res Bill Impact'!P87)/'Res Bill Impact'!P87</f>
        <v>-3.2418724488206353E-2</v>
      </c>
      <c r="Q159" s="427">
        <f>(Q95-'Res Bill Impact'!Q87)/'Res Bill Impact'!Q87</f>
        <v>4.4354163067308362E-3</v>
      </c>
      <c r="R159" s="427">
        <f>(R95-'Res Bill Impact'!R87)/'Res Bill Impact'!R87</f>
        <v>-3.2365601852826525E-2</v>
      </c>
      <c r="S159" s="427">
        <f>(S95-'Res Bill Impact'!S87)/'Res Bill Impact'!S87</f>
        <v>4.4278019428156679E-3</v>
      </c>
      <c r="T159" s="427">
        <f>(T95-'Res Bill Impact'!T87)/'Res Bill Impact'!T87</f>
        <v>-3.2872558602746176E-2</v>
      </c>
      <c r="U159" s="427">
        <f>(U95-'Res Bill Impact'!U87)/'Res Bill Impact'!U87</f>
        <v>4.5005154701200983E-3</v>
      </c>
    </row>
    <row r="160" spans="2:21">
      <c r="B160" s="7"/>
      <c r="M160" s="7"/>
    </row>
    <row r="161" spans="2:21" ht="15.75" thickBot="1">
      <c r="B161" s="7"/>
      <c r="M161" s="7"/>
    </row>
    <row r="162" spans="2:21" ht="15.75" thickBot="1">
      <c r="B162" s="755">
        <f>IF(Summary!$I$9="",400,Summary!$I$9)</f>
        <v>400</v>
      </c>
      <c r="C162" s="510" t="str">
        <f>C98</f>
        <v>400 kWh Monthly Basic Bundled CARE Customer</v>
      </c>
      <c r="M162" s="755">
        <f>IF(Summary!$I$9="",400,Summary!$I$9)</f>
        <v>400</v>
      </c>
      <c r="N162" s="510" t="str">
        <f>N98</f>
        <v>400 kWh Monthly All-Electric Bundled CARE Customer</v>
      </c>
    </row>
    <row r="163" spans="2:21">
      <c r="B163" s="7"/>
      <c r="M163" s="7"/>
    </row>
    <row r="164" spans="2:21">
      <c r="B164" s="7"/>
      <c r="M164" s="7"/>
    </row>
    <row r="165" spans="2:21">
      <c r="B165" s="138" t="s">
        <v>223</v>
      </c>
      <c r="C165" s="427">
        <f>(C101-'Res Bill Impact'!C93)/'Res Bill Impact'!C93</f>
        <v>-5.4586672626409122E-2</v>
      </c>
      <c r="D165" s="427">
        <f>(D101-'Res Bill Impact'!D93)/'Res Bill Impact'!D93</f>
        <v>-5.6379793148853396E-3</v>
      </c>
      <c r="E165" s="427">
        <f>(E101-'Res Bill Impact'!E93)/'Res Bill Impact'!E93</f>
        <v>-5.5973329171461285E-2</v>
      </c>
      <c r="F165" s="427">
        <f>(F101-'Res Bill Impact'!F93)/'Res Bill Impact'!F93</f>
        <v>-5.7850103660297561E-3</v>
      </c>
      <c r="G165" s="427">
        <f>(G101-'Res Bill Impact'!G93)/'Res Bill Impact'!G93</f>
        <v>-5.5930603144947286E-2</v>
      </c>
      <c r="H165" s="427">
        <f>(H101-'Res Bill Impact'!H93)/'Res Bill Impact'!H93</f>
        <v>-5.7805727313488091E-3</v>
      </c>
      <c r="I165" s="427">
        <f>(I101-'Res Bill Impact'!I93)/'Res Bill Impact'!I93</f>
        <v>-5.6335314888443767E-2</v>
      </c>
      <c r="J165" s="427">
        <f>(J101-'Res Bill Impact'!J93)/'Res Bill Impact'!J93</f>
        <v>-5.8226084722672261E-3</v>
      </c>
      <c r="M165" s="138" t="s">
        <v>223</v>
      </c>
      <c r="N165" s="427">
        <f>(N101-'Res Bill Impact'!N93)/'Res Bill Impact'!N93</f>
        <v>-5.0958351365861146E-2</v>
      </c>
      <c r="O165" s="427">
        <f>(O101-'Res Bill Impact'!O93)/'Res Bill Impact'!O93</f>
        <v>-5.5828797120382797E-3</v>
      </c>
      <c r="P165" s="427">
        <f>(P101-'Res Bill Impact'!P93)/'Res Bill Impact'!P93</f>
        <v>-5.2243550362437913E-2</v>
      </c>
      <c r="Q165" s="427">
        <f>(Q101-'Res Bill Impact'!Q93)/'Res Bill Impact'!Q93</f>
        <v>-5.7270731279332439E-3</v>
      </c>
      <c r="R165" s="427">
        <f>(R101-'Res Bill Impact'!R93)/'Res Bill Impact'!R93</f>
        <v>-5.2206320017333052E-2</v>
      </c>
      <c r="S165" s="427">
        <f>(S101-'Res Bill Impact'!S93)/'Res Bill Impact'!S93</f>
        <v>-5.7227228348995345E-3</v>
      </c>
      <c r="T165" s="427">
        <f>(T101-'Res Bill Impact'!T93)/'Res Bill Impact'!T93</f>
        <v>-5.2558823757590377E-2</v>
      </c>
      <c r="U165" s="427">
        <f>(U101-'Res Bill Impact'!U93)/'Res Bill Impact'!U93</f>
        <v>-5.7639286101677347E-3</v>
      </c>
    </row>
    <row r="166" spans="2:21">
      <c r="B166" s="141" t="s">
        <v>225</v>
      </c>
      <c r="C166" s="427">
        <f>(C102-'Res Bill Impact'!C94)/'Res Bill Impact'!C94</f>
        <v>-5.6279363418909052E-2</v>
      </c>
      <c r="D166" s="427">
        <f>(D102-'Res Bill Impact'!D94)/'Res Bill Impact'!D94</f>
        <v>-5.7842651462936424E-3</v>
      </c>
      <c r="E166" s="427">
        <f>(E102-'Res Bill Impact'!E94)/'Res Bill Impact'!E94</f>
        <v>-5.7713339008153709E-2</v>
      </c>
      <c r="F166" s="427">
        <f>(F102-'Res Bill Impact'!F94)/'Res Bill Impact'!F94</f>
        <v>-5.9388295061550264E-3</v>
      </c>
      <c r="G166" s="427">
        <f>(G102-'Res Bill Impact'!G94)/'Res Bill Impact'!G94</f>
        <v>-5.7667919879040928E-2</v>
      </c>
      <c r="H166" s="427">
        <f>(H102-'Res Bill Impact'!H94)/'Res Bill Impact'!H94</f>
        <v>-5.9341557778841711E-3</v>
      </c>
      <c r="I166" s="427">
        <f>(I102-'Res Bill Impact'!I94)/'Res Bill Impact'!I94</f>
        <v>-5.8098227659485406E-2</v>
      </c>
      <c r="J166" s="427">
        <f>(J102-'Res Bill Impact'!J94)/'Res Bill Impact'!J94</f>
        <v>-5.9784353948177989E-3</v>
      </c>
      <c r="M166" s="141" t="s">
        <v>225</v>
      </c>
      <c r="N166" s="427">
        <f>(N102-'Res Bill Impact'!N94)/'Res Bill Impact'!N94</f>
        <v>-5.6279363418909052E-2</v>
      </c>
      <c r="O166" s="427">
        <f>(O102-'Res Bill Impact'!O94)/'Res Bill Impact'!O94</f>
        <v>-5.7842651462936424E-3</v>
      </c>
      <c r="P166" s="427">
        <f>(P102-'Res Bill Impact'!P94)/'Res Bill Impact'!P94</f>
        <v>-5.7713339008153709E-2</v>
      </c>
      <c r="Q166" s="427">
        <f>(Q102-'Res Bill Impact'!Q94)/'Res Bill Impact'!Q94</f>
        <v>-5.9388295061550264E-3</v>
      </c>
      <c r="R166" s="427">
        <f>(R102-'Res Bill Impact'!R94)/'Res Bill Impact'!R94</f>
        <v>-5.7667919879040928E-2</v>
      </c>
      <c r="S166" s="427">
        <f>(S102-'Res Bill Impact'!S94)/'Res Bill Impact'!S94</f>
        <v>-5.9341557778841711E-3</v>
      </c>
      <c r="T166" s="427">
        <f>(T102-'Res Bill Impact'!T94)/'Res Bill Impact'!T94</f>
        <v>-5.8098227659485406E-2</v>
      </c>
      <c r="U166" s="427">
        <f>(U102-'Res Bill Impact'!U94)/'Res Bill Impact'!U94</f>
        <v>-5.9784353948177989E-3</v>
      </c>
    </row>
    <row r="167" spans="2:21">
      <c r="B167" s="141" t="s">
        <v>222</v>
      </c>
      <c r="C167" s="427">
        <f>(C103-'Res Bill Impact'!C95)/'Res Bill Impact'!C95</f>
        <v>-5.6279363418909052E-2</v>
      </c>
      <c r="D167" s="427">
        <f>(D103-'Res Bill Impact'!D95)/'Res Bill Impact'!D95</f>
        <v>-5.7842651462936424E-3</v>
      </c>
      <c r="E167" s="427">
        <f>(E103-'Res Bill Impact'!E95)/'Res Bill Impact'!E95</f>
        <v>-5.7713339008153709E-2</v>
      </c>
      <c r="F167" s="427">
        <f>(F103-'Res Bill Impact'!F95)/'Res Bill Impact'!F95</f>
        <v>-5.9388295061550264E-3</v>
      </c>
      <c r="G167" s="427">
        <f>(G103-'Res Bill Impact'!G95)/'Res Bill Impact'!G95</f>
        <v>-5.7667919879040928E-2</v>
      </c>
      <c r="H167" s="427">
        <f>(H103-'Res Bill Impact'!H95)/'Res Bill Impact'!H95</f>
        <v>-5.9341557778841711E-3</v>
      </c>
      <c r="I167" s="427">
        <f>(I103-'Res Bill Impact'!I95)/'Res Bill Impact'!I95</f>
        <v>-5.8098227659485406E-2</v>
      </c>
      <c r="J167" s="427">
        <f>(J103-'Res Bill Impact'!J95)/'Res Bill Impact'!J95</f>
        <v>-5.9784353948177989E-3</v>
      </c>
      <c r="M167" s="141" t="s">
        <v>222</v>
      </c>
      <c r="N167" s="427">
        <f>(N103-'Res Bill Impact'!N95)/'Res Bill Impact'!N95</f>
        <v>-5.6279363418909052E-2</v>
      </c>
      <c r="O167" s="427">
        <f>(O103-'Res Bill Impact'!O95)/'Res Bill Impact'!O95</f>
        <v>-5.7842651462936424E-3</v>
      </c>
      <c r="P167" s="427">
        <f>(P103-'Res Bill Impact'!P95)/'Res Bill Impact'!P95</f>
        <v>-5.7713339008153709E-2</v>
      </c>
      <c r="Q167" s="427">
        <f>(Q103-'Res Bill Impact'!Q95)/'Res Bill Impact'!Q95</f>
        <v>-5.9388295061550264E-3</v>
      </c>
      <c r="R167" s="427">
        <f>(R103-'Res Bill Impact'!R95)/'Res Bill Impact'!R95</f>
        <v>-5.7667919879040928E-2</v>
      </c>
      <c r="S167" s="427">
        <f>(S103-'Res Bill Impact'!S95)/'Res Bill Impact'!S95</f>
        <v>-5.9341557778841711E-3</v>
      </c>
      <c r="T167" s="427">
        <f>(T103-'Res Bill Impact'!T95)/'Res Bill Impact'!T95</f>
        <v>-5.8098227659485406E-2</v>
      </c>
      <c r="U167" s="427">
        <f>(U103-'Res Bill Impact'!U95)/'Res Bill Impact'!U95</f>
        <v>-5.9784353948177989E-3</v>
      </c>
    </row>
    <row r="168" spans="2:21">
      <c r="B168" s="144" t="s">
        <v>224</v>
      </c>
      <c r="C168" s="427">
        <f>(C104-'Res Bill Impact'!C96)/'Res Bill Impact'!C96</f>
        <v>-5.6279363418909052E-2</v>
      </c>
      <c r="D168" s="427">
        <f>(D104-'Res Bill Impact'!D96)/'Res Bill Impact'!D96</f>
        <v>-5.6906321777078148E-3</v>
      </c>
      <c r="E168" s="427">
        <f>(E104-'Res Bill Impact'!E96)/'Res Bill Impact'!E96</f>
        <v>-5.7713339008153709E-2</v>
      </c>
      <c r="F168" s="427">
        <f>(F104-'Res Bill Impact'!F96)/'Res Bill Impact'!F96</f>
        <v>-5.8403747745537525E-3</v>
      </c>
      <c r="G168" s="427">
        <f>(G104-'Res Bill Impact'!G96)/'Res Bill Impact'!G96</f>
        <v>-5.7667919879040928E-2</v>
      </c>
      <c r="H168" s="427">
        <f>(H104-'Res Bill Impact'!H96)/'Res Bill Impact'!H96</f>
        <v>-5.8358528664400021E-3</v>
      </c>
      <c r="I168" s="427">
        <f>(I104-'Res Bill Impact'!I96)/'Res Bill Impact'!I96</f>
        <v>-5.8098227659485406E-2</v>
      </c>
      <c r="J168" s="427">
        <f>(J104-'Res Bill Impact'!J96)/'Res Bill Impact'!J96</f>
        <v>-5.8786894919386126E-3</v>
      </c>
      <c r="M168" s="144" t="s">
        <v>224</v>
      </c>
      <c r="N168" s="427">
        <f>(N104-'Res Bill Impact'!N96)/'Res Bill Impact'!N96</f>
        <v>-5.4253659454050383E-2</v>
      </c>
      <c r="O168" s="427">
        <f>(O104-'Res Bill Impact'!O96)/'Res Bill Impact'!O96</f>
        <v>-5.7842651462936424E-3</v>
      </c>
      <c r="P168" s="427">
        <f>(P104-'Res Bill Impact'!P96)/'Res Bill Impact'!P96</f>
        <v>-5.563100565900634E-2</v>
      </c>
      <c r="Q168" s="427">
        <f>(Q104-'Res Bill Impact'!Q96)/'Res Bill Impact'!Q96</f>
        <v>-5.9388295061550264E-3</v>
      </c>
      <c r="R168" s="427">
        <f>(R104-'Res Bill Impact'!R96)/'Res Bill Impact'!R96</f>
        <v>-5.5588799782904937E-2</v>
      </c>
      <c r="S168" s="427">
        <f>(S104-'Res Bill Impact'!S96)/'Res Bill Impact'!S96</f>
        <v>-5.9341557778841711E-3</v>
      </c>
      <c r="T168" s="427">
        <f>(T104-'Res Bill Impact'!T96)/'Res Bill Impact'!T96</f>
        <v>-5.5988568758907932E-2</v>
      </c>
      <c r="U168" s="427">
        <f>(U104-'Res Bill Impact'!U96)/'Res Bill Impact'!U96</f>
        <v>-5.9784353948177989E-3</v>
      </c>
    </row>
    <row r="169" spans="2:21">
      <c r="B169" s="6" t="s">
        <v>112</v>
      </c>
      <c r="C169" s="427">
        <f>(C105-'Res Bill Impact'!C97)/'Res Bill Impact'!C97</f>
        <v>-5.5419392534397337E-2</v>
      </c>
      <c r="D169" s="427">
        <f>(D105-'Res Bill Impact'!D97)/'Res Bill Impact'!D97</f>
        <v>-5.6650269153957298E-3</v>
      </c>
      <c r="E169" s="427">
        <f>(E105-'Res Bill Impact'!E97)/'Res Bill Impact'!E97</f>
        <v>-5.6829328744315483E-2</v>
      </c>
      <c r="F169" s="427">
        <f>(F105-'Res Bill Impact'!F97)/'Res Bill Impact'!F97</f>
        <v>-5.8134508885807111E-3</v>
      </c>
      <c r="G169" s="427">
        <f>(G105-'Res Bill Impact'!G97)/'Res Bill Impact'!G97</f>
        <v>-5.6785288120361287E-2</v>
      </c>
      <c r="H169" s="427">
        <f>(H105-'Res Bill Impact'!H97)/'Res Bill Impact'!H97</f>
        <v>-5.80897006182434E-3</v>
      </c>
      <c r="I169" s="427">
        <f>(I105-'Res Bill Impact'!I97)/'Res Bill Impact'!I97</f>
        <v>-5.7202493220207505E-2</v>
      </c>
      <c r="J169" s="427">
        <f>(J105-'Res Bill Impact'!J97)/'Res Bill Impact'!J97</f>
        <v>-5.8514162654156364E-3</v>
      </c>
      <c r="M169" s="6" t="s">
        <v>112</v>
      </c>
      <c r="N169" s="427">
        <f>(N105-'Res Bill Impact'!N97)/'Res Bill Impact'!N97</f>
        <v>-5.2759303568682379E-2</v>
      </c>
      <c r="O169" s="427">
        <f>(O105-'Res Bill Impact'!O97)/'Res Bill Impact'!O97</f>
        <v>-5.6922678340482593E-3</v>
      </c>
      <c r="P169" s="427">
        <f>(P105-'Res Bill Impact'!P97)/'Res Bill Impact'!P97</f>
        <v>-5.4094866786564916E-2</v>
      </c>
      <c r="Q169" s="427">
        <f>(Q105-'Res Bill Impact'!Q97)/'Res Bill Impact'!Q97</f>
        <v>-5.8420946635257091E-3</v>
      </c>
      <c r="R169" s="427">
        <f>(R105-'Res Bill Impact'!R97)/'Res Bill Impact'!R97</f>
        <v>-5.4054955835658391E-2</v>
      </c>
      <c r="S169" s="427">
        <f>(S105-'Res Bill Impact'!S97)/'Res Bill Impact'!S97</f>
        <v>-5.8375701247841425E-3</v>
      </c>
      <c r="T169" s="427">
        <f>(T105-'Res Bill Impact'!T97)/'Res Bill Impact'!T97</f>
        <v>-5.4432920648312857E-2</v>
      </c>
      <c r="U169" s="427">
        <f>(U105-'Res Bill Impact'!U97)/'Res Bill Impact'!U97</f>
        <v>-5.8804317513782263E-3</v>
      </c>
    </row>
  </sheetData>
  <mergeCells count="79">
    <mergeCell ref="R113:S113"/>
    <mergeCell ref="T113:U113"/>
    <mergeCell ref="I40:J40"/>
    <mergeCell ref="L40:M40"/>
    <mergeCell ref="Q40:R40"/>
    <mergeCell ref="T40:U40"/>
    <mergeCell ref="P113:Q113"/>
    <mergeCell ref="T99:U99"/>
    <mergeCell ref="T89:U89"/>
    <mergeCell ref="C98:J98"/>
    <mergeCell ref="N98:U98"/>
    <mergeCell ref="C99:D99"/>
    <mergeCell ref="E99:F99"/>
    <mergeCell ref="G99:H99"/>
    <mergeCell ref="I99:J99"/>
    <mergeCell ref="N99:O99"/>
    <mergeCell ref="C113:D113"/>
    <mergeCell ref="E113:F113"/>
    <mergeCell ref="G113:H113"/>
    <mergeCell ref="I113:J113"/>
    <mergeCell ref="N113:O113"/>
    <mergeCell ref="P99:Q99"/>
    <mergeCell ref="R99:S99"/>
    <mergeCell ref="T79:U79"/>
    <mergeCell ref="C88:J88"/>
    <mergeCell ref="N88:U88"/>
    <mergeCell ref="C89:D89"/>
    <mergeCell ref="E89:F89"/>
    <mergeCell ref="G89:H89"/>
    <mergeCell ref="I89:J89"/>
    <mergeCell ref="N89:O89"/>
    <mergeCell ref="P89:Q89"/>
    <mergeCell ref="R89:S89"/>
    <mergeCell ref="C78:J78"/>
    <mergeCell ref="N78:U78"/>
    <mergeCell ref="C79:D79"/>
    <mergeCell ref="E79:F79"/>
    <mergeCell ref="G79:H79"/>
    <mergeCell ref="I79:J79"/>
    <mergeCell ref="N79:O79"/>
    <mergeCell ref="P79:Q79"/>
    <mergeCell ref="R79:S79"/>
    <mergeCell ref="C68:J68"/>
    <mergeCell ref="N68:U68"/>
    <mergeCell ref="C69:D69"/>
    <mergeCell ref="E69:F69"/>
    <mergeCell ref="G69:H69"/>
    <mergeCell ref="I69:J69"/>
    <mergeCell ref="N69:O69"/>
    <mergeCell ref="P69:Q69"/>
    <mergeCell ref="R69:S69"/>
    <mergeCell ref="T69:U69"/>
    <mergeCell ref="P49:Q49"/>
    <mergeCell ref="R49:S49"/>
    <mergeCell ref="T49:U49"/>
    <mergeCell ref="C59:D59"/>
    <mergeCell ref="E59:F59"/>
    <mergeCell ref="G59:H59"/>
    <mergeCell ref="I59:J59"/>
    <mergeCell ref="N59:O59"/>
    <mergeCell ref="P59:Q59"/>
    <mergeCell ref="R59:S59"/>
    <mergeCell ref="T59:U59"/>
    <mergeCell ref="C49:D49"/>
    <mergeCell ref="E49:F49"/>
    <mergeCell ref="G49:H49"/>
    <mergeCell ref="I49:J49"/>
    <mergeCell ref="N49:O49"/>
    <mergeCell ref="B2:D2"/>
    <mergeCell ref="E3:K3"/>
    <mergeCell ref="P3:V3"/>
    <mergeCell ref="C47:J47"/>
    <mergeCell ref="N47:U47"/>
    <mergeCell ref="U24:V24"/>
    <mergeCell ref="Q25:R25"/>
    <mergeCell ref="S25:T25"/>
    <mergeCell ref="U32:V32"/>
    <mergeCell ref="S33:T33"/>
    <mergeCell ref="Q33:R3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290B4-6E4B-4488-BF2A-C7F7FCF27B6C}">
  <sheetPr codeName="Sheet4"/>
  <dimension ref="A1:AI97"/>
  <sheetViews>
    <sheetView zoomScale="70" zoomScaleNormal="70" workbookViewId="0"/>
  </sheetViews>
  <sheetFormatPr defaultColWidth="8.85546875" defaultRowHeight="15"/>
  <cols>
    <col min="1" max="1" width="7.42578125" style="6" customWidth="1"/>
    <col min="2" max="2" width="18.5703125" style="6" customWidth="1"/>
    <col min="3" max="3" width="13" style="6" customWidth="1"/>
    <col min="4" max="4" width="13.42578125" style="6" bestFit="1" customWidth="1"/>
    <col min="5" max="5" width="18" style="6" bestFit="1" customWidth="1"/>
    <col min="6" max="6" width="13.5703125" style="6" customWidth="1"/>
    <col min="7" max="7" width="15" style="6" bestFit="1" customWidth="1"/>
    <col min="8" max="8" width="14.140625" style="6" customWidth="1"/>
    <col min="9" max="9" width="15" style="6" customWidth="1"/>
    <col min="10" max="10" width="14" style="6" customWidth="1"/>
    <col min="11" max="11" width="15" style="6" bestFit="1" customWidth="1"/>
    <col min="12" max="12" width="13" style="6" customWidth="1"/>
    <col min="13" max="14" width="14.140625" style="6" customWidth="1"/>
    <col min="15" max="15" width="14.5703125" style="6" customWidth="1"/>
    <col min="16" max="16" width="20.140625" style="6" customWidth="1"/>
    <col min="17" max="17" width="13" style="6" customWidth="1"/>
    <col min="18" max="18" width="13.5703125" style="6" customWidth="1"/>
    <col min="19" max="19" width="14" style="6" customWidth="1"/>
    <col min="20" max="20" width="15.5703125" style="6" customWidth="1"/>
    <col min="21" max="21" width="16.5703125" style="6" customWidth="1"/>
    <col min="22" max="23" width="14" style="6" customWidth="1"/>
    <col min="24" max="24" width="29.140625" style="6" bestFit="1" customWidth="1"/>
    <col min="25" max="25" width="14.85546875" style="6" bestFit="1" customWidth="1"/>
    <col min="26" max="26" width="16.140625" style="6" customWidth="1"/>
    <col min="27" max="27" width="13.5703125" style="6" customWidth="1"/>
    <col min="28" max="28" width="16.85546875" style="6" customWidth="1"/>
    <col min="29" max="31" width="20.5703125" style="6" customWidth="1"/>
    <col min="32" max="33" width="12.5703125" style="6" customWidth="1"/>
    <col min="34" max="16384" width="8.85546875" style="6"/>
  </cols>
  <sheetData>
    <row r="1" spans="1:31" s="170" customFormat="1" ht="25.5" customHeight="1">
      <c r="A1" s="384"/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5"/>
      <c r="AA1" s="385"/>
      <c r="AB1" s="385"/>
      <c r="AC1" s="385"/>
    </row>
    <row r="2" spans="1:31">
      <c r="A2" s="87"/>
      <c r="B2" s="858"/>
      <c r="C2" s="858"/>
      <c r="D2" s="858"/>
      <c r="F2" s="87"/>
    </row>
    <row r="3" spans="1:31">
      <c r="E3" s="859" t="s">
        <v>208</v>
      </c>
      <c r="F3" s="859"/>
      <c r="G3" s="859"/>
      <c r="H3" s="859"/>
      <c r="I3" s="859"/>
      <c r="J3" s="859"/>
      <c r="K3" s="859"/>
      <c r="M3" s="110"/>
      <c r="N3" s="110"/>
      <c r="O3" s="110"/>
      <c r="P3" s="859" t="s">
        <v>209</v>
      </c>
      <c r="Q3" s="859"/>
      <c r="R3" s="859"/>
      <c r="S3" s="859"/>
      <c r="T3" s="859"/>
      <c r="U3" s="859"/>
      <c r="V3" s="859"/>
    </row>
    <row r="4" spans="1:31" ht="15.75" customHeight="1">
      <c r="D4" s="148"/>
      <c r="E4" s="148">
        <f>YEAR(F4)</f>
        <v>2026</v>
      </c>
      <c r="F4" s="175">
        <v>46174</v>
      </c>
      <c r="G4" s="175">
        <f>F4</f>
        <v>46174</v>
      </c>
      <c r="H4" s="111" t="s">
        <v>174</v>
      </c>
      <c r="I4" s="111" t="s">
        <v>174</v>
      </c>
      <c r="J4" s="111" t="s">
        <v>174</v>
      </c>
      <c r="K4" s="111" t="s">
        <v>174</v>
      </c>
      <c r="L4" s="20"/>
      <c r="O4" s="1"/>
      <c r="P4" s="148">
        <f>E4</f>
        <v>2026</v>
      </c>
      <c r="Q4" s="175">
        <f>F4</f>
        <v>46174</v>
      </c>
      <c r="R4" s="175">
        <f>F4</f>
        <v>46174</v>
      </c>
      <c r="S4" s="111" t="s">
        <v>174</v>
      </c>
      <c r="T4" s="111" t="s">
        <v>174</v>
      </c>
      <c r="U4" s="111" t="s">
        <v>174</v>
      </c>
      <c r="V4" s="111" t="s">
        <v>174</v>
      </c>
    </row>
    <row r="5" spans="1:31" ht="30.75" customHeight="1">
      <c r="E5" s="111" t="s">
        <v>261</v>
      </c>
      <c r="F5" s="111" t="s">
        <v>175</v>
      </c>
      <c r="G5" s="111" t="s">
        <v>176</v>
      </c>
      <c r="H5" s="111" t="s">
        <v>177</v>
      </c>
      <c r="I5" s="111" t="s">
        <v>178</v>
      </c>
      <c r="J5" s="111" t="s">
        <v>179</v>
      </c>
      <c r="K5" s="111" t="s">
        <v>180</v>
      </c>
      <c r="L5" s="83"/>
      <c r="M5" s="112"/>
      <c r="N5" s="112"/>
      <c r="O5" s="83"/>
      <c r="P5" s="111" t="s">
        <v>126</v>
      </c>
      <c r="Q5" s="111" t="s">
        <v>175</v>
      </c>
      <c r="R5" s="111" t="s">
        <v>176</v>
      </c>
      <c r="S5" s="111" t="s">
        <v>177</v>
      </c>
      <c r="T5" s="111" t="s">
        <v>178</v>
      </c>
      <c r="U5" s="111" t="s">
        <v>179</v>
      </c>
      <c r="V5" s="111" t="s">
        <v>180</v>
      </c>
    </row>
    <row r="6" spans="1:31" ht="42" customHeight="1">
      <c r="B6" s="113"/>
      <c r="D6" s="113"/>
      <c r="E6" s="1"/>
      <c r="F6" s="1"/>
      <c r="G6" s="1"/>
      <c r="J6" s="20"/>
      <c r="K6" s="20"/>
      <c r="L6" s="20"/>
      <c r="O6" s="113"/>
      <c r="P6" s="1"/>
      <c r="Q6" s="1"/>
      <c r="R6" s="1"/>
      <c r="U6" s="20"/>
      <c r="V6" s="20"/>
      <c r="AD6" s="47"/>
      <c r="AE6" s="47"/>
    </row>
    <row r="7" spans="1:31" ht="15.6" customHeight="1">
      <c r="D7" s="114" t="s">
        <v>181</v>
      </c>
      <c r="E7" s="238">
        <f>'SDG&amp;E INPUTS'!F136</f>
        <v>116485106.94088674</v>
      </c>
      <c r="F7" s="115">
        <f>'SDG&amp;E INPUTS'!G136</f>
        <v>0.4129875432352299</v>
      </c>
      <c r="G7" s="116">
        <f t="shared" ref="G7:G12" si="0">F7*E7</f>
        <v>48106898.139009841</v>
      </c>
      <c r="H7" s="172">
        <f t="shared" ref="H7:H12" si="1">F7+(F7*$AD$16)</f>
        <v>0.40740198263679328</v>
      </c>
      <c r="I7" s="116">
        <f t="shared" ref="I7:I12" si="2">E7*H7</f>
        <v>47456263.515376143</v>
      </c>
      <c r="J7" s="172">
        <f t="shared" ref="J7:J12" si="3">F7+(F7*$AE$16)</f>
        <v>0.4668223244053446</v>
      </c>
      <c r="K7" s="116">
        <f t="shared" ref="K7:K12" si="4">E7*J7</f>
        <v>54377848.380749889</v>
      </c>
      <c r="L7" s="117"/>
      <c r="O7" s="114" t="s">
        <v>181</v>
      </c>
      <c r="P7" s="238">
        <f>'SDG&amp;E INPUTS'!L136</f>
        <v>58116210.602119073</v>
      </c>
      <c r="Q7" s="115">
        <f>'SDG&amp;E INPUTS'!M136</f>
        <v>0.25899</v>
      </c>
      <c r="R7" s="116">
        <f t="shared" ref="R7:R12" si="5">Q7*P7</f>
        <v>15051517.383842818</v>
      </c>
      <c r="S7" s="172">
        <f>H7*(1+(Q7/F7-1))</f>
        <v>0.25548722040510757</v>
      </c>
      <c r="T7" s="116">
        <f t="shared" ref="T7:T12" si="6">P7*S7</f>
        <v>14847949.107213246</v>
      </c>
      <c r="U7" s="172">
        <f>J7*(1+(Q7/F7-1))</f>
        <v>0.29275050973844147</v>
      </c>
      <c r="V7" s="116">
        <f t="shared" ref="V7:V12" si="7">P7*U7</f>
        <v>17013550.277836975</v>
      </c>
      <c r="W7" s="117"/>
      <c r="X7" s="6" t="s">
        <v>182</v>
      </c>
      <c r="Y7" s="259" t="s">
        <v>112</v>
      </c>
      <c r="Z7" s="259" t="s">
        <v>324</v>
      </c>
      <c r="AA7" s="259" t="s">
        <v>3</v>
      </c>
      <c r="AC7" s="47"/>
      <c r="AD7" s="47"/>
      <c r="AE7" s="47"/>
    </row>
    <row r="8" spans="1:31" ht="15.75">
      <c r="D8" s="118" t="s">
        <v>183</v>
      </c>
      <c r="E8" s="238">
        <f>'SDG&amp;E INPUTS'!F137</f>
        <v>154152455.51785704</v>
      </c>
      <c r="F8" s="115">
        <f>'SDG&amp;E INPUTS'!G137</f>
        <v>0.4129875432352299</v>
      </c>
      <c r="G8" s="116">
        <f t="shared" si="0"/>
        <v>63663043.887997843</v>
      </c>
      <c r="H8" s="172">
        <f t="shared" si="1"/>
        <v>0.40740198263679328</v>
      </c>
      <c r="I8" s="116">
        <f t="shared" si="2"/>
        <v>62802016.006305046</v>
      </c>
      <c r="J8" s="172">
        <f t="shared" si="3"/>
        <v>0.4668223244053446</v>
      </c>
      <c r="K8" s="116">
        <f t="shared" si="4"/>
        <v>71961807.597637519</v>
      </c>
      <c r="L8" s="117"/>
      <c r="O8" s="118" t="s">
        <v>183</v>
      </c>
      <c r="P8" s="238">
        <f>'SDG&amp;E INPUTS'!L137</f>
        <v>78094743.784878477</v>
      </c>
      <c r="Q8" s="115">
        <f>'SDG&amp;E INPUTS'!M137</f>
        <v>0.25899</v>
      </c>
      <c r="R8" s="116">
        <f t="shared" si="5"/>
        <v>20225757.692845676</v>
      </c>
      <c r="S8" s="172">
        <f>H8*(1+(Q8/F8-1))</f>
        <v>0.25548722040510757</v>
      </c>
      <c r="T8" s="116">
        <f t="shared" si="6"/>
        <v>19952209.017847653</v>
      </c>
      <c r="U8" s="172">
        <f>J8*(1+(Q8/F8-1))</f>
        <v>0.29275050973844147</v>
      </c>
      <c r="V8" s="116">
        <f t="shared" si="7"/>
        <v>22862276.050916158</v>
      </c>
      <c r="W8" s="117"/>
      <c r="X8" s="6" t="s">
        <v>184</v>
      </c>
      <c r="Y8" s="119">
        <f>'SDG&amp;E INPUTS'!Q136</f>
        <v>1660098559</v>
      </c>
      <c r="Z8" s="119">
        <f>'SDG&amp;E INPUTS'!R136</f>
        <v>1422569805</v>
      </c>
      <c r="AA8" s="119">
        <f>'SDG&amp;E INPUTS'!S136</f>
        <v>237528754</v>
      </c>
      <c r="AC8" s="98"/>
      <c r="AD8" s="98"/>
      <c r="AE8" s="98"/>
    </row>
    <row r="9" spans="1:31" ht="15.75">
      <c r="D9" s="114" t="s">
        <v>210</v>
      </c>
      <c r="E9" s="238">
        <f>'SDG&amp;E INPUTS'!F138</f>
        <v>89068921.568368956</v>
      </c>
      <c r="F9" s="115">
        <f>'SDG&amp;E INPUTS'!G138</f>
        <v>0.52000265480562546</v>
      </c>
      <c r="G9" s="116">
        <f t="shared" si="0"/>
        <v>46316075.676225893</v>
      </c>
      <c r="H9" s="172">
        <f t="shared" si="1"/>
        <v>0.51296973967939274</v>
      </c>
      <c r="I9" s="116">
        <f t="shared" si="2"/>
        <v>45689661.510450475</v>
      </c>
      <c r="J9" s="172">
        <f t="shared" si="3"/>
        <v>0.58778733642105752</v>
      </c>
      <c r="K9" s="116">
        <f t="shared" si="4"/>
        <v>52353584.166567668</v>
      </c>
      <c r="L9" s="117"/>
      <c r="O9" s="114" t="s">
        <v>210</v>
      </c>
      <c r="P9" s="238">
        <f>'SDG&amp;E INPUTS'!L138</f>
        <v>30578684.714064509</v>
      </c>
      <c r="Q9" s="115">
        <f>'SDG&amp;E INPUTS'!M138</f>
        <v>0.32854</v>
      </c>
      <c r="R9" s="116">
        <f t="shared" si="5"/>
        <v>10046321.075958753</v>
      </c>
      <c r="S9" s="172">
        <f>H9*(1+(Q9/F9-1))</f>
        <v>0.32409657280935195</v>
      </c>
      <c r="T9" s="116">
        <f t="shared" si="6"/>
        <v>9910446.9168460257</v>
      </c>
      <c r="U9" s="172">
        <f>J9*(1+(Q9/F9-1))</f>
        <v>0.37136666461819984</v>
      </c>
      <c r="V9" s="116">
        <f t="shared" si="7"/>
        <v>11355904.150673669</v>
      </c>
      <c r="W9" s="117"/>
      <c r="X9" s="6" t="s">
        <v>186</v>
      </c>
      <c r="Y9" s="171">
        <f>SUM('SAR and RAR'!W19+'SAR and RAR'!Z19-'SAR and RAR'!L10)*1000-Y8</f>
        <v>101714646.73784447</v>
      </c>
      <c r="Z9" s="171">
        <f>(('SAR and RAR'!W19-'SAR and RAR'!L10)*1000)-Z8</f>
        <v>76743899.300056458</v>
      </c>
      <c r="AA9" s="171">
        <f>('SAR and RAR'!Z19*1000)-AA8</f>
        <v>24970747.43778801</v>
      </c>
      <c r="AD9" s="47"/>
      <c r="AE9" s="47"/>
    </row>
    <row r="10" spans="1:31" ht="15.75">
      <c r="D10" s="118" t="s">
        <v>183</v>
      </c>
      <c r="E10" s="238">
        <f>'SDG&amp;E INPUTS'!F139</f>
        <v>84528618.696129948</v>
      </c>
      <c r="F10" s="115">
        <f>'SDG&amp;E INPUTS'!G139</f>
        <v>0.52000265480562546</v>
      </c>
      <c r="G10" s="116">
        <f t="shared" si="0"/>
        <v>43955106.129040003</v>
      </c>
      <c r="H10" s="172">
        <f t="shared" si="1"/>
        <v>0.51296973967939274</v>
      </c>
      <c r="I10" s="116">
        <f t="shared" si="2"/>
        <v>43360623.528012432</v>
      </c>
      <c r="J10" s="172">
        <f t="shared" si="3"/>
        <v>0.58778733642105752</v>
      </c>
      <c r="K10" s="116">
        <f t="shared" si="4"/>
        <v>49684851.634749427</v>
      </c>
      <c r="L10" s="117"/>
      <c r="O10" s="118" t="s">
        <v>183</v>
      </c>
      <c r="P10" s="238">
        <f>'SDG&amp;E INPUTS'!L139</f>
        <v>31395953.493242923</v>
      </c>
      <c r="Q10" s="115">
        <f>'SDG&amp;E INPUTS'!M139</f>
        <v>0.32854</v>
      </c>
      <c r="R10" s="116">
        <f t="shared" si="5"/>
        <v>10314826.560670029</v>
      </c>
      <c r="S10" s="172">
        <f>H10*(1+(Q10/F10-1))</f>
        <v>0.32409657280935195</v>
      </c>
      <c r="T10" s="116">
        <f t="shared" si="6"/>
        <v>10175320.927241832</v>
      </c>
      <c r="U10" s="172">
        <f>J10*(1+(Q10/F10-1))</f>
        <v>0.37136666461819984</v>
      </c>
      <c r="V10" s="116">
        <f t="shared" si="7"/>
        <v>11659410.531293744</v>
      </c>
      <c r="W10" s="117"/>
      <c r="X10" s="6" t="s">
        <v>187</v>
      </c>
      <c r="Y10" s="119">
        <f>Y8+Y9</f>
        <v>1761813205.7378445</v>
      </c>
      <c r="Z10" s="119">
        <f>Z8+Z9</f>
        <v>1499313704.3000565</v>
      </c>
      <c r="AA10" s="119">
        <f>AA8+AA9</f>
        <v>262499501.43778801</v>
      </c>
      <c r="AC10" s="47"/>
      <c r="AD10" s="47"/>
      <c r="AE10" s="47"/>
    </row>
    <row r="11" spans="1:31" ht="15.75">
      <c r="D11" s="114" t="s">
        <v>188</v>
      </c>
      <c r="E11" s="238">
        <f>'SDG&amp;E INPUTS'!F140</f>
        <v>0</v>
      </c>
      <c r="F11" s="115">
        <f>'SDG&amp;E INPUTS'!G140</f>
        <v>0</v>
      </c>
      <c r="G11" s="116">
        <f t="shared" si="0"/>
        <v>0</v>
      </c>
      <c r="H11" s="172">
        <f t="shared" si="1"/>
        <v>0</v>
      </c>
      <c r="I11" s="116">
        <f t="shared" si="2"/>
        <v>0</v>
      </c>
      <c r="J11" s="172">
        <f t="shared" si="3"/>
        <v>0</v>
      </c>
      <c r="K11" s="116">
        <f t="shared" si="4"/>
        <v>0</v>
      </c>
      <c r="L11" s="117"/>
      <c r="O11" s="114" t="s">
        <v>188</v>
      </c>
      <c r="P11" s="238">
        <f>'SDG&amp;E INPUTS'!L140</f>
        <v>0</v>
      </c>
      <c r="Q11" s="115">
        <f>'SDG&amp;E INPUTS'!M140</f>
        <v>0</v>
      </c>
      <c r="R11" s="116">
        <f t="shared" si="5"/>
        <v>0</v>
      </c>
      <c r="S11" s="172">
        <f>Q11+(Q11*$AD$16)</f>
        <v>0</v>
      </c>
      <c r="T11" s="116">
        <f t="shared" si="6"/>
        <v>0</v>
      </c>
      <c r="U11" s="172">
        <f>S11+(S11*$AD$16)</f>
        <v>0</v>
      </c>
      <c r="V11" s="116">
        <f t="shared" si="7"/>
        <v>0</v>
      </c>
      <c r="W11" s="117"/>
      <c r="X11" s="6" t="s">
        <v>189</v>
      </c>
      <c r="Y11" s="209">
        <f>SUM('SAR and RAR'!Y19+'SAR and RAR'!AA19-'SAR and RAR'!L13)*1000-Y8</f>
        <v>579416380.65406656</v>
      </c>
      <c r="Z11" s="209">
        <f>(('SAR and RAR'!Y19-'SAR and RAR'!L13)*1000)-Z8</f>
        <v>586636803.12974524</v>
      </c>
      <c r="AA11" s="209">
        <f>('SAR and RAR'!AA19*1000)-AA8</f>
        <v>-7220422.4756788611</v>
      </c>
      <c r="AC11" s="98"/>
      <c r="AD11" s="261"/>
      <c r="AE11" s="262"/>
    </row>
    <row r="12" spans="1:31" ht="15.75">
      <c r="D12" s="118" t="s">
        <v>183</v>
      </c>
      <c r="E12" s="238">
        <f>'SDG&amp;E INPUTS'!F141</f>
        <v>0</v>
      </c>
      <c r="F12" s="115">
        <f>'SDG&amp;E INPUTS'!G141</f>
        <v>0</v>
      </c>
      <c r="G12" s="116">
        <f t="shared" si="0"/>
        <v>0</v>
      </c>
      <c r="H12" s="172">
        <f t="shared" si="1"/>
        <v>0</v>
      </c>
      <c r="I12" s="116">
        <f t="shared" si="2"/>
        <v>0</v>
      </c>
      <c r="J12" s="172">
        <f t="shared" si="3"/>
        <v>0</v>
      </c>
      <c r="K12" s="116">
        <f t="shared" si="4"/>
        <v>0</v>
      </c>
      <c r="L12" s="117"/>
      <c r="O12" s="118" t="s">
        <v>183</v>
      </c>
      <c r="P12" s="238">
        <f>'SDG&amp;E INPUTS'!L141</f>
        <v>0</v>
      </c>
      <c r="Q12" s="115">
        <f>'SDG&amp;E INPUTS'!M141</f>
        <v>0</v>
      </c>
      <c r="R12" s="116">
        <f t="shared" si="5"/>
        <v>0</v>
      </c>
      <c r="S12" s="172">
        <f>Q12+(Q12*$AD$16)</f>
        <v>0</v>
      </c>
      <c r="T12" s="116">
        <f t="shared" si="6"/>
        <v>0</v>
      </c>
      <c r="U12" s="172">
        <f>S12+(S12*$AD$16)</f>
        <v>0</v>
      </c>
      <c r="V12" s="116">
        <f t="shared" si="7"/>
        <v>0</v>
      </c>
      <c r="W12" s="117"/>
      <c r="X12" s="6" t="s">
        <v>190</v>
      </c>
      <c r="Y12" s="119">
        <f>Y8+Y11</f>
        <v>2239514939.6540666</v>
      </c>
      <c r="Z12" s="119">
        <f>Z8+Z11</f>
        <v>2009206608.1297452</v>
      </c>
      <c r="AA12" s="119">
        <f>AA8+AA11</f>
        <v>230308331.52432114</v>
      </c>
    </row>
    <row r="13" spans="1:31" ht="15.75">
      <c r="D13" s="118"/>
      <c r="E13" s="120"/>
      <c r="F13" s="121"/>
      <c r="G13" s="122"/>
      <c r="H13" s="1"/>
      <c r="I13" s="123"/>
      <c r="J13" s="1"/>
      <c r="K13" s="123"/>
      <c r="L13" s="117"/>
      <c r="O13" s="118"/>
      <c r="P13" s="122"/>
      <c r="Q13" s="121"/>
      <c r="R13" s="122"/>
      <c r="S13" s="1"/>
      <c r="T13" s="123"/>
      <c r="U13" s="1"/>
      <c r="V13" s="123"/>
      <c r="Z13" s="296"/>
    </row>
    <row r="14" spans="1:31" ht="15.75">
      <c r="D14" s="118"/>
      <c r="E14" s="118" t="s">
        <v>459</v>
      </c>
      <c r="F14" s="115">
        <f>'SDG&amp;E INPUTS'!G142</f>
        <v>0.79342999999999997</v>
      </c>
      <c r="G14" s="121"/>
      <c r="H14" s="172"/>
      <c r="I14" s="122"/>
      <c r="J14" s="122"/>
      <c r="K14" s="122"/>
      <c r="L14" s="117"/>
      <c r="O14" s="118"/>
      <c r="P14" s="118" t="s">
        <v>459</v>
      </c>
      <c r="Q14" s="115">
        <f>'SDG&amp;E INPUTS'!M142</f>
        <v>0.19713</v>
      </c>
      <c r="R14" s="121"/>
      <c r="S14" s="116"/>
      <c r="T14" s="122"/>
      <c r="U14" s="122"/>
      <c r="V14" s="122"/>
      <c r="X14" s="6" t="s">
        <v>362</v>
      </c>
      <c r="Y14" s="259" t="s">
        <v>112</v>
      </c>
      <c r="Z14" s="259" t="s">
        <v>324</v>
      </c>
      <c r="AA14" s="259" t="s">
        <v>3</v>
      </c>
      <c r="AD14" s="47" t="s">
        <v>326</v>
      </c>
      <c r="AE14" s="47" t="s">
        <v>328</v>
      </c>
    </row>
    <row r="15" spans="1:31" ht="15.75">
      <c r="D15" s="118"/>
      <c r="E15" s="118" t="s">
        <v>460</v>
      </c>
      <c r="F15" s="605">
        <f>F14*30</f>
        <v>23.802899999999998</v>
      </c>
      <c r="G15" s="453" t="s">
        <v>461</v>
      </c>
      <c r="I15" s="122"/>
      <c r="J15" s="236"/>
      <c r="K15" s="122"/>
      <c r="L15" s="117"/>
      <c r="O15" s="124"/>
      <c r="P15" s="118" t="s">
        <v>460</v>
      </c>
      <c r="Q15" s="605">
        <f>Q14*30</f>
        <v>5.9138999999999999</v>
      </c>
      <c r="R15" s="453" t="s">
        <v>461</v>
      </c>
      <c r="T15" s="122"/>
      <c r="U15" s="122"/>
      <c r="V15" s="122"/>
      <c r="X15" s="6" t="s">
        <v>363</v>
      </c>
      <c r="Y15" s="296">
        <f>'SDG&amp;E INPUTS'!Q137</f>
        <v>45.649000000000001</v>
      </c>
      <c r="Z15" s="296">
        <f>'SDG&amp;E INPUTS'!R137</f>
        <v>27.564</v>
      </c>
      <c r="AA15" s="296">
        <f>'SDG&amp;E INPUTS'!S137</f>
        <v>18.085000000000001</v>
      </c>
      <c r="AB15" s="425"/>
      <c r="AC15" s="133" t="s">
        <v>325</v>
      </c>
      <c r="AD15" s="259" t="s">
        <v>327</v>
      </c>
      <c r="AE15" s="259" t="s">
        <v>327</v>
      </c>
    </row>
    <row r="16" spans="1:31" ht="15.75">
      <c r="E16" s="239"/>
      <c r="P16" s="122"/>
      <c r="Q16" s="121"/>
      <c r="X16" s="6" t="s">
        <v>187</v>
      </c>
      <c r="Y16" s="296">
        <f>+Z16+AA16</f>
        <v>45.031607877805158</v>
      </c>
      <c r="Z16" s="296">
        <f>SUM('SAR and RAR'!J30:K30,'SAR and RAR'!M30:T30)</f>
        <v>25.652428695305069</v>
      </c>
      <c r="AA16" s="296">
        <f>'SAR and RAR'!H30</f>
        <v>19.379179182500089</v>
      </c>
      <c r="AC16" s="6">
        <f>'SAR and RAR'!$AF$26/100</f>
        <v>0.45649000000000001</v>
      </c>
      <c r="AD16" s="298">
        <f>$Y17/100/$AC$16</f>
        <v>-1.3524767731929359E-2</v>
      </c>
      <c r="AE16" s="298">
        <f>$Y19/100/$AC$16</f>
        <v>0.13035449144152858</v>
      </c>
    </row>
    <row r="17" spans="1:31">
      <c r="O17" s="125"/>
      <c r="X17" s="6" t="s">
        <v>186</v>
      </c>
      <c r="Y17" s="424">
        <f>+Y16-Y15</f>
        <v>-0.6173921221948433</v>
      </c>
      <c r="Z17" s="296">
        <f>+Z16-Z15</f>
        <v>-1.911571304694931</v>
      </c>
      <c r="AA17" s="296">
        <f>+AA16-AA15</f>
        <v>1.2941791825000877</v>
      </c>
      <c r="AD17" s="423"/>
      <c r="AE17" s="423"/>
    </row>
    <row r="18" spans="1:31">
      <c r="X18" s="6" t="s">
        <v>190</v>
      </c>
      <c r="Y18" s="296">
        <f>+Z18+AA18</f>
        <v>51.599552179814339</v>
      </c>
      <c r="Z18" s="296">
        <f>SUM('SAR and RAR'!J36:K36,'SAR and RAR'!M36:T36)</f>
        <v>34.596904939014827</v>
      </c>
      <c r="AA18" s="296">
        <f>'SAR and RAR'!H36</f>
        <v>17.002647240799508</v>
      </c>
      <c r="AD18" s="167"/>
      <c r="AE18" s="167"/>
    </row>
    <row r="19" spans="1:31">
      <c r="B19" s="7"/>
      <c r="P19" s="6" t="s">
        <v>498</v>
      </c>
      <c r="X19" s="6" t="s">
        <v>189</v>
      </c>
      <c r="Y19" s="424">
        <f>+Y18-Y15</f>
        <v>5.9505521798143377</v>
      </c>
      <c r="Z19" s="296">
        <f>+Z18-Z15</f>
        <v>7.0329049390148271</v>
      </c>
      <c r="AA19" s="296">
        <f>+AA18-AA15</f>
        <v>-1.0823527592004929</v>
      </c>
      <c r="AD19" s="167"/>
      <c r="AE19" s="167"/>
    </row>
    <row r="20" spans="1:31">
      <c r="B20" s="126" t="s">
        <v>211</v>
      </c>
      <c r="C20" s="126"/>
      <c r="E20" s="127" t="s">
        <v>174</v>
      </c>
      <c r="F20" s="127" t="s">
        <v>174</v>
      </c>
      <c r="H20" s="126" t="s">
        <v>271</v>
      </c>
      <c r="I20" s="126"/>
      <c r="J20" s="126"/>
      <c r="K20" s="126" t="s">
        <v>272</v>
      </c>
      <c r="L20" s="126"/>
      <c r="M20" s="126"/>
      <c r="N20" s="126"/>
      <c r="P20" s="128" t="s">
        <v>191</v>
      </c>
      <c r="Q20" s="129" t="s">
        <v>192</v>
      </c>
      <c r="R20" s="129" t="s">
        <v>193</v>
      </c>
      <c r="S20" s="129" t="s">
        <v>192</v>
      </c>
      <c r="T20" s="129" t="s">
        <v>193</v>
      </c>
      <c r="U20" s="789" t="s">
        <v>196</v>
      </c>
      <c r="V20" s="790"/>
      <c r="Y20" s="174"/>
      <c r="AD20" s="167"/>
      <c r="AE20" s="167"/>
    </row>
    <row r="21" spans="1:31" ht="15.75">
      <c r="B21" s="130" t="s">
        <v>175</v>
      </c>
      <c r="C21" s="131" t="str">
        <f>Summary!D31</f>
        <v>6/1/2026</v>
      </c>
      <c r="D21" s="315" t="str">
        <f>Summary!E31</f>
        <v>8/1/2026</v>
      </c>
      <c r="E21" s="132" t="s">
        <v>154</v>
      </c>
      <c r="F21" s="132" t="s">
        <v>162</v>
      </c>
      <c r="H21" s="133" t="s">
        <v>191</v>
      </c>
      <c r="I21" s="133" t="s">
        <v>192</v>
      </c>
      <c r="J21" s="133" t="s">
        <v>193</v>
      </c>
      <c r="K21" s="133" t="s">
        <v>191</v>
      </c>
      <c r="L21" s="133" t="s">
        <v>192</v>
      </c>
      <c r="M21" s="133" t="s">
        <v>193</v>
      </c>
      <c r="P21" s="52"/>
      <c r="Q21" s="792" t="s">
        <v>149</v>
      </c>
      <c r="R21" s="793"/>
      <c r="S21" s="792" t="s">
        <v>150</v>
      </c>
      <c r="T21" s="793"/>
      <c r="U21" s="47" t="s">
        <v>149</v>
      </c>
      <c r="V21" s="47" t="s">
        <v>150</v>
      </c>
      <c r="Y21" s="425"/>
      <c r="Z21" s="294"/>
      <c r="AA21" s="294"/>
      <c r="AB21" s="47"/>
      <c r="AC21" s="47"/>
      <c r="AD21" s="47"/>
    </row>
    <row r="22" spans="1:31" ht="15.75">
      <c r="A22" s="6" t="s">
        <v>192</v>
      </c>
      <c r="B22" s="134" t="s">
        <v>194</v>
      </c>
      <c r="C22" s="217">
        <f>'SDG&amp;E INPUTS'!H136</f>
        <v>0.41150228008932016</v>
      </c>
      <c r="D22" s="136">
        <f>F7</f>
        <v>0.4129875432352299</v>
      </c>
      <c r="E22" s="137">
        <f>H7</f>
        <v>0.40740198263679328</v>
      </c>
      <c r="F22" s="137">
        <f>J7</f>
        <v>0.4668223244053446</v>
      </c>
      <c r="H22" s="6" t="s">
        <v>125</v>
      </c>
      <c r="I22" s="155">
        <f>'SDG&amp;E INPUTS'!O59</f>
        <v>351</v>
      </c>
      <c r="J22" s="155">
        <f>'SDG&amp;E INPUTS'!P59</f>
        <v>359</v>
      </c>
      <c r="K22" s="6" t="s">
        <v>125</v>
      </c>
      <c r="L22" s="155">
        <f>'SDG&amp;E INPUTS'!S59</f>
        <v>235</v>
      </c>
      <c r="M22" s="155">
        <f>'SDG&amp;E INPUTS'!T59</f>
        <v>343</v>
      </c>
      <c r="N22" s="119"/>
      <c r="P22" s="206" t="s">
        <v>223</v>
      </c>
      <c r="Q22" s="139">
        <f>'SDG&amp;E INPUTS'!E59</f>
        <v>334.36541599999998</v>
      </c>
      <c r="R22" s="139">
        <f>'SDG&amp;E INPUTS'!F59</f>
        <v>309.27334100000002</v>
      </c>
      <c r="S22" s="139">
        <f>'SDG&amp;E INPUTS'!G59</f>
        <v>329.33632999999998</v>
      </c>
      <c r="T22" s="139">
        <f>'SDG&amp;E INPUTS'!H59</f>
        <v>300.562815</v>
      </c>
      <c r="U22" s="577">
        <f>'SDG&amp;E INPUTS'!I59</f>
        <v>0.59302976011933228</v>
      </c>
      <c r="V22" s="577">
        <f>'SDG&amp;E INPUTS'!J59</f>
        <v>0.5004157582517873</v>
      </c>
      <c r="Y22" s="426"/>
      <c r="Z22" s="500"/>
      <c r="AA22" s="500"/>
      <c r="AB22" s="500"/>
      <c r="AC22" s="500"/>
      <c r="AD22" s="295"/>
    </row>
    <row r="23" spans="1:31" ht="15.75">
      <c r="B23" s="134" t="s">
        <v>195</v>
      </c>
      <c r="C23" s="591">
        <f>'SDG&amp;E INPUTS'!H138</f>
        <v>0.51813252387405373</v>
      </c>
      <c r="D23" s="136">
        <f>F9</f>
        <v>0.52000265480562546</v>
      </c>
      <c r="E23" s="137">
        <f>H9</f>
        <v>0.51296973967939274</v>
      </c>
      <c r="F23" s="137">
        <f>J9</f>
        <v>0.58778733642105752</v>
      </c>
      <c r="H23" s="6" t="s">
        <v>197</v>
      </c>
      <c r="I23" s="155">
        <f>'SDG&amp;E INPUTS'!O60</f>
        <v>530</v>
      </c>
      <c r="J23" s="155">
        <f>'SDG&amp;E INPUTS'!P60</f>
        <v>503</v>
      </c>
      <c r="K23" s="6" t="s">
        <v>197</v>
      </c>
      <c r="L23" s="155">
        <f>'SDG&amp;E INPUTS'!S60</f>
        <v>593</v>
      </c>
      <c r="M23" s="155">
        <f>'SDG&amp;E INPUTS'!T60</f>
        <v>863</v>
      </c>
      <c r="N23" s="119"/>
      <c r="P23" s="207" t="s">
        <v>225</v>
      </c>
      <c r="Q23" s="139">
        <f>'SDG&amp;E INPUTS'!E60</f>
        <v>370.89176200000003</v>
      </c>
      <c r="R23" s="139">
        <f>'SDG&amp;E INPUTS'!F60</f>
        <v>320.932299</v>
      </c>
      <c r="S23" s="139">
        <f>'SDG&amp;E INPUTS'!G60</f>
        <v>595.62742000000003</v>
      </c>
      <c r="T23" s="139">
        <f>'SDG&amp;E INPUTS'!H60</f>
        <v>535.42582900000002</v>
      </c>
      <c r="U23" s="577">
        <f>'SDG&amp;E INPUTS'!I60</f>
        <v>8.43340424866614E-3</v>
      </c>
      <c r="V23" s="577">
        <f>'SDG&amp;E INPUTS'!J60</f>
        <v>7.9450387872027576E-3</v>
      </c>
      <c r="Z23" s="500"/>
      <c r="AA23" s="500"/>
      <c r="AB23" s="500"/>
      <c r="AC23" s="500"/>
      <c r="AD23" s="295"/>
    </row>
    <row r="24" spans="1:31" ht="15.75">
      <c r="B24" s="134"/>
      <c r="C24" s="136"/>
      <c r="D24" s="136"/>
      <c r="E24" s="137"/>
      <c r="F24" s="137"/>
      <c r="H24" s="6" t="s">
        <v>198</v>
      </c>
      <c r="I24" s="155">
        <f>'SDG&amp;E INPUTS'!O61</f>
        <v>620</v>
      </c>
      <c r="J24" s="155">
        <f>'SDG&amp;E INPUTS'!P61</f>
        <v>425</v>
      </c>
      <c r="K24" s="6" t="s">
        <v>198</v>
      </c>
      <c r="L24" s="155">
        <f>'SDG&amp;E INPUTS'!S61</f>
        <v>662</v>
      </c>
      <c r="M24" s="155">
        <f>'SDG&amp;E INPUTS'!T61</f>
        <v>667</v>
      </c>
      <c r="N24" s="119"/>
      <c r="P24" s="207" t="s">
        <v>222</v>
      </c>
      <c r="Q24" s="139">
        <f>'SDG&amp;E INPUTS'!E61</f>
        <v>400.96965999999998</v>
      </c>
      <c r="R24" s="139">
        <f>'SDG&amp;E INPUTS'!F61</f>
        <v>153.73130499999999</v>
      </c>
      <c r="S24" s="139">
        <f>'SDG&amp;E INPUTS'!G61</f>
        <v>651.39212799999996</v>
      </c>
      <c r="T24" s="139">
        <f>'SDG&amp;E INPUTS'!H61</f>
        <v>320.86506100000003</v>
      </c>
      <c r="U24" s="577">
        <f>'SDG&amp;E INPUTS'!I61</f>
        <v>1.1233729911021911E-3</v>
      </c>
      <c r="V24" s="577">
        <f>'SDG&amp;E INPUTS'!J61</f>
        <v>1.5362774425797293E-3</v>
      </c>
      <c r="W24" s="437"/>
      <c r="X24" s="437"/>
      <c r="Z24" s="500"/>
      <c r="AA24" s="500"/>
      <c r="AB24" s="500"/>
      <c r="AC24" s="500"/>
      <c r="AD24" s="295"/>
      <c r="AE24" s="295"/>
    </row>
    <row r="25" spans="1:31" ht="15.75">
      <c r="A25" s="6" t="s">
        <v>193</v>
      </c>
      <c r="B25" s="134" t="s">
        <v>194</v>
      </c>
      <c r="C25" s="757">
        <f>'SDG&amp;E INPUTS'!H137</f>
        <v>0.41150228008932016</v>
      </c>
      <c r="D25" s="136">
        <f>F8</f>
        <v>0.4129875432352299</v>
      </c>
      <c r="E25" s="136">
        <f>H8</f>
        <v>0.40740198263679328</v>
      </c>
      <c r="F25" s="136">
        <f>J8</f>
        <v>0.4668223244053446</v>
      </c>
      <c r="H25" s="6" t="s">
        <v>199</v>
      </c>
      <c r="I25" s="155">
        <f>'SDG&amp;E INPUTS'!O62</f>
        <v>406</v>
      </c>
      <c r="J25" s="155">
        <f>'SDG&amp;E INPUTS'!P62</f>
        <v>374</v>
      </c>
      <c r="K25" s="6" t="s">
        <v>199</v>
      </c>
      <c r="L25" s="155">
        <f>'SDG&amp;E INPUTS'!S62</f>
        <v>341</v>
      </c>
      <c r="M25" s="155">
        <f>'SDG&amp;E INPUTS'!T62</f>
        <v>475</v>
      </c>
      <c r="N25" s="119"/>
      <c r="P25" s="208" t="s">
        <v>224</v>
      </c>
      <c r="Q25" s="145">
        <f>'SDG&amp;E INPUTS'!E62</f>
        <v>325.12078600000001</v>
      </c>
      <c r="R25" s="145">
        <f>'SDG&amp;E INPUTS'!F62</f>
        <v>273.16046899999998</v>
      </c>
      <c r="S25" s="145">
        <f>'SDG&amp;E INPUTS'!G62</f>
        <v>427.16779600000001</v>
      </c>
      <c r="T25" s="145">
        <f>'SDG&amp;E INPUTS'!H62</f>
        <v>342.00768900000003</v>
      </c>
      <c r="U25" s="577">
        <f>'SDG&amp;E INPUTS'!I62</f>
        <v>0.39741346264089933</v>
      </c>
      <c r="V25" s="577">
        <f>'SDG&amp;E INPUTS'!J62</f>
        <v>0.49010292551843027</v>
      </c>
      <c r="Z25" s="500"/>
      <c r="AA25" s="500"/>
      <c r="AB25" s="500"/>
      <c r="AC25" s="500"/>
    </row>
    <row r="26" spans="1:31">
      <c r="B26" s="134" t="s">
        <v>195</v>
      </c>
      <c r="C26" s="757">
        <f>'SDG&amp;E INPUTS'!H139</f>
        <v>0.51813252387405373</v>
      </c>
      <c r="D26" s="136">
        <f>F10</f>
        <v>0.52000265480562546</v>
      </c>
      <c r="E26" s="136">
        <f>H10</f>
        <v>0.51296973967939274</v>
      </c>
      <c r="F26" s="136">
        <f>J10</f>
        <v>0.58778733642105752</v>
      </c>
      <c r="I26" s="119"/>
      <c r="J26" s="119"/>
      <c r="M26" s="119"/>
      <c r="N26" s="119"/>
      <c r="Q26" s="149"/>
      <c r="R26" s="149"/>
      <c r="S26" s="149"/>
      <c r="T26" s="149"/>
      <c r="U26" s="140"/>
      <c r="V26" s="140"/>
    </row>
    <row r="27" spans="1:31">
      <c r="B27" s="134"/>
      <c r="C27" s="136"/>
      <c r="D27" s="136"/>
      <c r="E27" s="136"/>
      <c r="F27" s="136"/>
      <c r="I27" s="119"/>
      <c r="J27" s="119"/>
      <c r="M27" s="119"/>
      <c r="N27" s="119"/>
      <c r="Q27" s="149"/>
      <c r="R27" s="149"/>
      <c r="S27" s="149"/>
      <c r="T27" s="149"/>
      <c r="U27" s="140"/>
      <c r="V27" s="140"/>
    </row>
    <row r="28" spans="1:31">
      <c r="I28" s="119"/>
      <c r="J28" s="119"/>
      <c r="M28" s="119"/>
      <c r="N28" s="119"/>
      <c r="P28" s="6" t="s">
        <v>499</v>
      </c>
    </row>
    <row r="29" spans="1:31">
      <c r="B29" s="126" t="s">
        <v>247</v>
      </c>
      <c r="C29" s="126"/>
      <c r="D29" s="126"/>
      <c r="E29" s="127" t="s">
        <v>174</v>
      </c>
      <c r="F29" s="127" t="s">
        <v>174</v>
      </c>
      <c r="H29" s="126" t="s">
        <v>267</v>
      </c>
      <c r="I29" s="126"/>
      <c r="J29" s="126"/>
      <c r="K29" s="126" t="s">
        <v>266</v>
      </c>
      <c r="L29" s="126"/>
      <c r="M29" s="126"/>
      <c r="N29" s="126"/>
      <c r="P29" s="128" t="s">
        <v>191</v>
      </c>
      <c r="Q29" s="129" t="s">
        <v>192</v>
      </c>
      <c r="R29" s="129" t="s">
        <v>193</v>
      </c>
      <c r="S29" s="129" t="s">
        <v>192</v>
      </c>
      <c r="T29" s="129" t="s">
        <v>193</v>
      </c>
      <c r="U29" s="789" t="s">
        <v>196</v>
      </c>
      <c r="V29" s="790"/>
    </row>
    <row r="30" spans="1:31">
      <c r="B30" s="130" t="s">
        <v>175</v>
      </c>
      <c r="C30" s="131" t="str">
        <f>C21</f>
        <v>6/1/2026</v>
      </c>
      <c r="D30" s="131" t="str">
        <f>D21</f>
        <v>8/1/2026</v>
      </c>
      <c r="E30" s="132" t="s">
        <v>154</v>
      </c>
      <c r="F30" s="132" t="s">
        <v>162</v>
      </c>
      <c r="H30" s="133" t="s">
        <v>191</v>
      </c>
      <c r="I30" s="133" t="s">
        <v>192</v>
      </c>
      <c r="J30" s="133" t="s">
        <v>193</v>
      </c>
      <c r="K30" s="133" t="s">
        <v>191</v>
      </c>
      <c r="L30" s="133" t="s">
        <v>192</v>
      </c>
      <c r="M30" s="133" t="s">
        <v>193</v>
      </c>
      <c r="P30" s="52"/>
      <c r="Q30" s="792" t="s">
        <v>149</v>
      </c>
      <c r="R30" s="793"/>
      <c r="S30" s="792" t="s">
        <v>150</v>
      </c>
      <c r="T30" s="793"/>
      <c r="U30" s="47" t="s">
        <v>149</v>
      </c>
      <c r="V30" s="47" t="s">
        <v>150</v>
      </c>
    </row>
    <row r="31" spans="1:31" ht="15.75">
      <c r="A31" s="6" t="s">
        <v>192</v>
      </c>
      <c r="B31" s="134" t="s">
        <v>194</v>
      </c>
      <c r="C31" s="135">
        <f>'SDG&amp;E INPUTS'!N136</f>
        <v>0.25802000000000003</v>
      </c>
      <c r="D31" s="136">
        <f>Q7</f>
        <v>0.25899</v>
      </c>
      <c r="E31" s="137">
        <f>S7</f>
        <v>0.25548722040510757</v>
      </c>
      <c r="F31" s="137">
        <f>U7</f>
        <v>0.29275050973844147</v>
      </c>
      <c r="G31" s="153"/>
      <c r="H31" s="6" t="s">
        <v>125</v>
      </c>
      <c r="I31" s="155">
        <f>'SDG&amp;E INPUTS'!O66</f>
        <v>270</v>
      </c>
      <c r="J31" s="155">
        <f>'SDG&amp;E INPUTS'!P66</f>
        <v>276</v>
      </c>
      <c r="K31" s="6" t="s">
        <v>125</v>
      </c>
      <c r="L31" s="155">
        <f>'SDG&amp;E INPUTS'!S66</f>
        <v>181</v>
      </c>
      <c r="M31" s="155">
        <f>'SDG&amp;E INPUTS'!T66</f>
        <v>264</v>
      </c>
      <c r="N31" s="119"/>
      <c r="P31" s="206" t="s">
        <v>223</v>
      </c>
      <c r="Q31" s="139">
        <f>'SDG&amp;E INPUTS'!E66</f>
        <v>283.425005</v>
      </c>
      <c r="R31" s="139">
        <f>'SDG&amp;E INPUTS'!F66</f>
        <v>272.60744599999998</v>
      </c>
      <c r="S31" s="139">
        <f>'SDG&amp;E INPUTS'!G66</f>
        <v>293.30439200000001</v>
      </c>
      <c r="T31" s="139">
        <f>'SDG&amp;E INPUTS'!H66</f>
        <v>284.82109400000002</v>
      </c>
      <c r="U31" s="577">
        <f>'SDG&amp;E INPUTS'!I66</f>
        <v>0.58383763710758863</v>
      </c>
      <c r="V31" s="577">
        <f>'SDG&amp;E INPUTS'!J66</f>
        <v>0.44804334178157046</v>
      </c>
      <c r="Z31" s="500"/>
      <c r="AA31" s="500"/>
      <c r="AB31" s="500"/>
      <c r="AC31" s="500"/>
    </row>
    <row r="32" spans="1:31" ht="15.75">
      <c r="B32" s="134" t="s">
        <v>195</v>
      </c>
      <c r="C32" s="135">
        <f>'SDG&amp;E INPUTS'!N138</f>
        <v>0.32733000000000001</v>
      </c>
      <c r="D32" s="136">
        <f>Q9</f>
        <v>0.32854</v>
      </c>
      <c r="E32" s="137">
        <f>S9</f>
        <v>0.32409657280935195</v>
      </c>
      <c r="F32" s="137">
        <f>U9</f>
        <v>0.37136666461819984</v>
      </c>
      <c r="G32" s="153"/>
      <c r="H32" s="6" t="s">
        <v>197</v>
      </c>
      <c r="I32" s="155">
        <f>'SDG&amp;E INPUTS'!O67</f>
        <v>408</v>
      </c>
      <c r="J32" s="155">
        <f>'SDG&amp;E INPUTS'!P67</f>
        <v>387</v>
      </c>
      <c r="K32" s="6" t="s">
        <v>197</v>
      </c>
      <c r="L32" s="155">
        <f>'SDG&amp;E INPUTS'!S67</f>
        <v>456</v>
      </c>
      <c r="M32" s="155">
        <f>'SDG&amp;E INPUTS'!T67</f>
        <v>664</v>
      </c>
      <c r="N32" s="119"/>
      <c r="P32" s="207" t="s">
        <v>225</v>
      </c>
      <c r="Q32" s="139">
        <f>'SDG&amp;E INPUTS'!E67</f>
        <v>393.67990800000001</v>
      </c>
      <c r="R32" s="139">
        <f>'SDG&amp;E INPUTS'!F67</f>
        <v>457.21679599999999</v>
      </c>
      <c r="S32" s="139">
        <f>'SDG&amp;E INPUTS'!G67</f>
        <v>614.42968800000006</v>
      </c>
      <c r="T32" s="139">
        <f>'SDG&amp;E INPUTS'!H67</f>
        <v>691.41233199999999</v>
      </c>
      <c r="U32" s="577">
        <f>'SDG&amp;E INPUTS'!I67</f>
        <v>2.0596224598562734E-2</v>
      </c>
      <c r="V32" s="577">
        <f>'SDG&amp;E INPUTS'!J67</f>
        <v>1.4334875717906388E-2</v>
      </c>
      <c r="Z32" s="500"/>
      <c r="AA32" s="500"/>
      <c r="AB32" s="500"/>
      <c r="AC32" s="500"/>
    </row>
    <row r="33" spans="1:35" ht="15.75">
      <c r="B33" s="134"/>
      <c r="C33" s="136"/>
      <c r="D33" s="136"/>
      <c r="E33" s="137"/>
      <c r="F33" s="137"/>
      <c r="H33" s="6" t="s">
        <v>198</v>
      </c>
      <c r="I33" s="155">
        <f>'SDG&amp;E INPUTS'!O68</f>
        <v>477</v>
      </c>
      <c r="J33" s="155">
        <f>'SDG&amp;E INPUTS'!P68</f>
        <v>327</v>
      </c>
      <c r="K33" s="6" t="s">
        <v>198</v>
      </c>
      <c r="L33" s="155">
        <f>'SDG&amp;E INPUTS'!S68</f>
        <v>509</v>
      </c>
      <c r="M33" s="155">
        <f>'SDG&amp;E INPUTS'!T68</f>
        <v>513</v>
      </c>
      <c r="N33" s="119"/>
      <c r="P33" s="207" t="s">
        <v>222</v>
      </c>
      <c r="Q33" s="139">
        <f>'SDG&amp;E INPUTS'!E68</f>
        <v>347.61028700000003</v>
      </c>
      <c r="R33" s="139">
        <f>'SDG&amp;E INPUTS'!F68</f>
        <v>178.718932</v>
      </c>
      <c r="S33" s="139">
        <f>'SDG&amp;E INPUTS'!G68</f>
        <v>706.90564700000004</v>
      </c>
      <c r="T33" s="139">
        <f>'SDG&amp;E INPUTS'!H68</f>
        <v>394.63204200000001</v>
      </c>
      <c r="U33" s="577">
        <f>'SDG&amp;E INPUTS'!I68</f>
        <v>5.596052676821511E-3</v>
      </c>
      <c r="V33" s="577">
        <f>'SDG&amp;E INPUTS'!J68</f>
        <v>3.7086985839514496E-3</v>
      </c>
      <c r="Z33" s="500"/>
      <c r="AA33" s="500"/>
      <c r="AB33" s="500"/>
      <c r="AC33" s="500"/>
    </row>
    <row r="34" spans="1:35" ht="15.75">
      <c r="A34" s="6" t="s">
        <v>193</v>
      </c>
      <c r="B34" s="134" t="s">
        <v>194</v>
      </c>
      <c r="C34" s="757">
        <f>'SDG&amp;E INPUTS'!N137</f>
        <v>0.25802000000000003</v>
      </c>
      <c r="D34" s="136">
        <f>Q8</f>
        <v>0.25899</v>
      </c>
      <c r="E34" s="136">
        <f>S8</f>
        <v>0.25548722040510757</v>
      </c>
      <c r="F34" s="136">
        <f>U8</f>
        <v>0.29275050973844147</v>
      </c>
      <c r="G34" s="153"/>
      <c r="H34" s="6" t="s">
        <v>199</v>
      </c>
      <c r="I34" s="155">
        <f>'SDG&amp;E INPUTS'!O69</f>
        <v>312</v>
      </c>
      <c r="J34" s="155">
        <f>'SDG&amp;E INPUTS'!P69</f>
        <v>288</v>
      </c>
      <c r="K34" s="6" t="s">
        <v>199</v>
      </c>
      <c r="L34" s="155">
        <f>'SDG&amp;E INPUTS'!S69</f>
        <v>262</v>
      </c>
      <c r="M34" s="155">
        <f>'SDG&amp;E INPUTS'!T69</f>
        <v>365</v>
      </c>
      <c r="N34" s="119"/>
      <c r="P34" s="208" t="s">
        <v>224</v>
      </c>
      <c r="Q34" s="145">
        <f>'SDG&amp;E INPUTS'!E69</f>
        <v>331.02294799999999</v>
      </c>
      <c r="R34" s="145">
        <f>'SDG&amp;E INPUTS'!F69</f>
        <v>327.76564100000002</v>
      </c>
      <c r="S34" s="145">
        <f>'SDG&amp;E INPUTS'!G69</f>
        <v>390.24194699999998</v>
      </c>
      <c r="T34" s="145">
        <f>'SDG&amp;E INPUTS'!H69</f>
        <v>346.22200400000003</v>
      </c>
      <c r="U34" s="577">
        <f>'SDG&amp;E INPUTS'!I69</f>
        <v>0.38997008561702712</v>
      </c>
      <c r="V34" s="577">
        <f>'SDG&amp;E INPUTS'!J69</f>
        <v>0.53391308391657177</v>
      </c>
      <c r="Z34" s="500"/>
      <c r="AA34" s="500"/>
      <c r="AB34" s="500"/>
      <c r="AC34" s="500"/>
    </row>
    <row r="35" spans="1:35">
      <c r="B35" s="134" t="s">
        <v>195</v>
      </c>
      <c r="C35" s="757">
        <f>'SDG&amp;E INPUTS'!N139</f>
        <v>0.32733000000000001</v>
      </c>
      <c r="D35" s="136">
        <f>Q10</f>
        <v>0.32854</v>
      </c>
      <c r="E35" s="136">
        <f>S10</f>
        <v>0.32409657280935195</v>
      </c>
      <c r="F35" s="136">
        <f>U10</f>
        <v>0.37136666461819984</v>
      </c>
      <c r="G35" s="153"/>
      <c r="I35" s="119"/>
      <c r="J35" s="119"/>
      <c r="M35" s="119"/>
      <c r="N35" s="119"/>
      <c r="Q35" s="149"/>
      <c r="R35" s="149"/>
      <c r="S35" s="149"/>
      <c r="T35" s="149"/>
      <c r="U35" s="140"/>
      <c r="V35" s="142"/>
    </row>
    <row r="36" spans="1:35">
      <c r="B36" s="134"/>
      <c r="C36" s="136"/>
      <c r="D36" s="136"/>
      <c r="E36" s="136"/>
      <c r="F36" s="136"/>
      <c r="I36" s="119"/>
      <c r="J36" s="119"/>
      <c r="M36" s="119"/>
      <c r="N36" s="119"/>
      <c r="Q36" s="149"/>
      <c r="R36" s="149"/>
      <c r="S36" s="149"/>
      <c r="T36" s="149"/>
      <c r="U36" s="140"/>
      <c r="V36" s="142"/>
      <c r="X36" s="260"/>
    </row>
    <row r="37" spans="1:35">
      <c r="B37" s="7"/>
      <c r="C37" s="8"/>
      <c r="D37" s="143"/>
      <c r="E37" s="9"/>
      <c r="F37" s="9"/>
      <c r="I37" s="119"/>
      <c r="J37" s="119"/>
      <c r="M37" s="119"/>
      <c r="N37" s="119"/>
      <c r="Q37" s="149"/>
      <c r="R37" s="149"/>
      <c r="S37" s="149"/>
      <c r="T37" s="149"/>
      <c r="U37" s="140"/>
      <c r="V37" s="142"/>
    </row>
    <row r="38" spans="1:35">
      <c r="B38" s="7"/>
      <c r="C38" s="8"/>
      <c r="D38" s="8"/>
      <c r="E38" s="9"/>
      <c r="F38" s="9"/>
    </row>
    <row r="39" spans="1:35" ht="18.75">
      <c r="B39" s="235"/>
      <c r="C39" s="860" t="s">
        <v>260</v>
      </c>
      <c r="D39" s="860"/>
      <c r="E39" s="860"/>
      <c r="F39" s="860"/>
      <c r="G39" s="860"/>
      <c r="H39" s="860"/>
      <c r="I39" s="860"/>
      <c r="J39" s="860"/>
      <c r="M39" s="235"/>
      <c r="N39" s="860" t="s">
        <v>260</v>
      </c>
      <c r="O39" s="860"/>
      <c r="P39" s="860"/>
      <c r="Q39" s="860"/>
      <c r="R39" s="860"/>
      <c r="S39" s="860"/>
      <c r="T39" s="860"/>
      <c r="U39" s="860"/>
    </row>
    <row r="40" spans="1:35">
      <c r="B40" s="7"/>
      <c r="C40" s="461" t="s">
        <v>511</v>
      </c>
      <c r="D40" s="461"/>
      <c r="E40" s="461"/>
      <c r="F40" s="461"/>
      <c r="G40" s="461"/>
      <c r="H40" s="461"/>
      <c r="I40" s="461"/>
      <c r="J40" s="461"/>
      <c r="M40" s="7"/>
      <c r="N40" s="461" t="s">
        <v>512</v>
      </c>
      <c r="O40" s="461"/>
      <c r="P40" s="461"/>
      <c r="Q40" s="461"/>
      <c r="R40" s="461"/>
      <c r="S40" s="461"/>
      <c r="T40" s="461"/>
      <c r="U40" s="461"/>
      <c r="X40" s="174"/>
      <c r="AD40" s="498"/>
    </row>
    <row r="41" spans="1:35" ht="15" customHeight="1">
      <c r="B41" s="7"/>
      <c r="C41" s="862" t="str">
        <f>C30</f>
        <v>6/1/2026</v>
      </c>
      <c r="D41" s="862"/>
      <c r="E41" s="861" t="str">
        <f>D30</f>
        <v>8/1/2026</v>
      </c>
      <c r="F41" s="862"/>
      <c r="G41" s="862" t="str">
        <f>E21</f>
        <v>Authorized</v>
      </c>
      <c r="H41" s="862"/>
      <c r="I41" s="861" t="str">
        <f>F21</f>
        <v>w/Pending</v>
      </c>
      <c r="J41" s="862"/>
      <c r="M41" s="7"/>
      <c r="N41" s="862" t="str">
        <f>C41</f>
        <v>6/1/2026</v>
      </c>
      <c r="O41" s="862"/>
      <c r="P41" s="861" t="str">
        <f>E41</f>
        <v>8/1/2026</v>
      </c>
      <c r="Q41" s="862"/>
      <c r="R41" s="862" t="str">
        <f>G41</f>
        <v>Authorized</v>
      </c>
      <c r="S41" s="862"/>
      <c r="T41" s="861" t="str">
        <f>I41</f>
        <v>w/Pending</v>
      </c>
      <c r="U41" s="862"/>
      <c r="X41" s="440"/>
      <c r="Y41" s="440"/>
      <c r="Z41" s="497"/>
      <c r="AA41" s="440"/>
      <c r="AB41" s="497"/>
      <c r="AC41" s="440"/>
      <c r="AD41" s="497"/>
      <c r="AE41" s="440"/>
      <c r="AF41" s="497"/>
      <c r="AG41" s="440"/>
      <c r="AH41" s="497"/>
      <c r="AI41" s="440"/>
    </row>
    <row r="42" spans="1:35">
      <c r="B42" s="7"/>
      <c r="C42" s="8" t="s">
        <v>192</v>
      </c>
      <c r="D42" s="8" t="s">
        <v>193</v>
      </c>
      <c r="E42" s="8" t="s">
        <v>192</v>
      </c>
      <c r="F42" s="8" t="s">
        <v>193</v>
      </c>
      <c r="G42" s="8" t="s">
        <v>192</v>
      </c>
      <c r="H42" s="8" t="s">
        <v>193</v>
      </c>
      <c r="I42" s="8" t="s">
        <v>192</v>
      </c>
      <c r="J42" s="8" t="s">
        <v>193</v>
      </c>
      <c r="M42" s="7"/>
      <c r="N42" s="8" t="s">
        <v>192</v>
      </c>
      <c r="O42" s="8" t="s">
        <v>193</v>
      </c>
      <c r="P42" s="8" t="s">
        <v>192</v>
      </c>
      <c r="Q42" s="8" t="s">
        <v>193</v>
      </c>
      <c r="R42" s="8" t="s">
        <v>192</v>
      </c>
      <c r="S42" s="8" t="s">
        <v>193</v>
      </c>
      <c r="T42" s="8" t="s">
        <v>192</v>
      </c>
      <c r="U42" s="8" t="s">
        <v>193</v>
      </c>
      <c r="X42" s="496"/>
      <c r="Y42" s="496"/>
      <c r="Z42" s="496"/>
      <c r="AA42" s="496"/>
      <c r="AB42" s="496"/>
      <c r="AC42" s="496"/>
      <c r="AD42" s="496"/>
      <c r="AE42" s="496"/>
      <c r="AF42" s="496"/>
      <c r="AG42" s="496"/>
      <c r="AH42" s="496"/>
      <c r="AI42" s="496"/>
    </row>
    <row r="43" spans="1:35">
      <c r="B43" s="138" t="s">
        <v>223</v>
      </c>
      <c r="C43" s="159">
        <f>$F$15+IF($Q22&gt;$I22,C$22*$I22+C$23*($Q22-$I22),$Q22*C$22)+('Incremental Rev Req'!$F$87*$Q22)</f>
        <v>161.72939648301403</v>
      </c>
      <c r="D43" s="159">
        <f>$F$15+IF($R22&gt;$J22,C$25*$J22+C$26*($R22-$J22),$R22*C$25)+('Incremental Rev Req'!$F$87*$R22)</f>
        <v>151.37885833334184</v>
      </c>
      <c r="E43" s="159">
        <f>$F$15+IF($Q22&gt;$I22,D$22*$I22+D$23*($Q22-$I22),$Q22*D$22)+('Incremental Rev Req'!$F$87*$Q22)</f>
        <v>162.22601711266563</v>
      </c>
      <c r="F43" s="159">
        <f>$F$15+IF($R22&gt;$J22,D$25*$J22+D$26*($R22-$J22),$R22*D$25)+('Incremental Rev Req'!$F$87*$R22)</f>
        <v>151.83821062874151</v>
      </c>
      <c r="G43" s="159">
        <f>$F$15+IF($Q22&gt;$I22,E$22*$I22+E$23*($Q22-$I22),$Q22*E$22)+('Incremental Rev Req'!$F$87*$Q22)</f>
        <v>160.35839881957614</v>
      </c>
      <c r="H43" s="159">
        <f>$F$15+IF($R22&gt;$J22,E$25*$J22+E$26*($R22-$J22),$R22*E$25)+('Incremental Rev Req'!$F$87*$R22)</f>
        <v>150.11074564110504</v>
      </c>
      <c r="I43" s="159">
        <f>$F$15+IF($Q22&gt;$I22,F$22*$I22+F$23*($Q22-$I22),$Q22*F$22)+('Incremental Rev Req'!$F$87*$Q22)</f>
        <v>180.22650611387999</v>
      </c>
      <c r="J43" s="159">
        <f>$F$15+IF($R22&gt;$J22,F$25*$J22+F$26*($R22-$J22),$R22*F$25)+('Incremental Rev Req'!$F$87*$R22)</f>
        <v>168.48787326322676</v>
      </c>
      <c r="M43" s="138" t="s">
        <v>223</v>
      </c>
      <c r="N43" s="159">
        <f>$F$15+IF($Q31&gt;$L22,C$22*$L22+C$23*($Q31-$L22),$Q31*C$22)+('Incremental Rev Req'!$F$87*$Q31)</f>
        <v>145.87993088525391</v>
      </c>
      <c r="O43" s="159">
        <f>$F$15+IF($R31&gt;$M22,C$25*$M22+C$26*($R31-$M22),$R31*C$25)+('Incremental Rev Req'!$F$87*$R31)</f>
        <v>136.2540930443262</v>
      </c>
      <c r="P43" s="159">
        <f>$F$15+IF($Q31&gt;$L22,D$22*$L22+D$23*($Q31-$L22),$Q31*D$22)+('Incremental Rev Req'!$F$87*$Q31)</f>
        <v>146.31952882425472</v>
      </c>
      <c r="Q43" s="159">
        <f>$F$15+IF($R31&gt;$M22,D$25*$M22+D$26*($R31-$M22),$R31*D$25)+('Incremental Rev Req'!$F$87*$R31)</f>
        <v>136.6589868371706</v>
      </c>
      <c r="R43" s="159">
        <f>$F$15+IF($Q31&gt;$L22,E$22*$L22+E$23*($Q31-$L22),$Q31*E$22)+('Incremental Rev Req'!$F$87*$Q31)</f>
        <v>144.6663531334697</v>
      </c>
      <c r="S43" s="159">
        <f>$F$15+IF($R31&gt;$M22,E$25*$M22+E$26*($R31-$M22),$R31*E$25)+('Incremental Rev Req'!$F$87*$R31)</f>
        <v>135.13632142795254</v>
      </c>
      <c r="T43" s="159">
        <f>$F$15+IF($Q31&gt;$L22,F$22*$L22+F$23*($Q31-$L22),$Q31*F$22)+('Incremental Rev Req'!$F$87*$Q31)</f>
        <v>162.25317594538237</v>
      </c>
      <c r="U43" s="159">
        <f>$F$15+IF($R31&gt;$M22,F$25*$M22+F$26*($R31-$M22),$R31*F$25)+('Incremental Rev Req'!$F$87*$R31)</f>
        <v>151.33474903792444</v>
      </c>
      <c r="X43" s="499"/>
      <c r="Y43" s="499"/>
      <c r="Z43" s="499"/>
      <c r="AA43" s="499"/>
      <c r="AB43" s="499"/>
      <c r="AC43" s="499"/>
      <c r="AD43" s="499"/>
      <c r="AE43" s="499"/>
      <c r="AF43" s="499"/>
      <c r="AG43" s="499"/>
      <c r="AH43" s="499"/>
      <c r="AI43" s="499"/>
    </row>
    <row r="44" spans="1:35">
      <c r="B44" s="141" t="s">
        <v>225</v>
      </c>
      <c r="C44" s="159">
        <f>$F$15+IF($Q23&gt;$I23,C$22*$I23+C$23*($Q23-$I23),$Q23*C$22)+('Incremental Rev Req'!$F$87*$Q23)</f>
        <v>176.79659749134549</v>
      </c>
      <c r="D44" s="159">
        <f>$F$15+IF($R23&gt;$J23,C$25*$J23+C$26*($R23-$J23),$R23*C$25)+('Incremental Rev Req'!$F$87*$R23)</f>
        <v>156.18820509180742</v>
      </c>
      <c r="E44" s="159">
        <f>$F$15+IF($Q23&gt;$I23,D$22*$I23+D$23*($Q23-$I23),$Q23*D$22)+('Incremental Rev Req'!$F$87*$Q23)</f>
        <v>177.34746935656563</v>
      </c>
      <c r="F44" s="159">
        <f>$F$15+IF($R23&gt;$J23,D$25*$J23+D$26*($R23-$J23),$R23*D$25)+('Incremental Rev Req'!$F$87*$R23)</f>
        <v>156.66487400784422</v>
      </c>
      <c r="G44" s="159">
        <f>$F$15+IF($Q23&gt;$I23,E$22*$I23+E$23*($Q23-$I23),$Q23*E$22)+('Incremental Rev Req'!$F$87*$Q23)</f>
        <v>175.27583094445367</v>
      </c>
      <c r="H44" s="159">
        <f>$F$15+IF($R23&gt;$J23,E$25*$J23+E$26*($R23-$J23),$R23*E$25)+('Incremental Rev Req'!$F$87*$R23)</f>
        <v>154.87228720378414</v>
      </c>
      <c r="I44" s="159">
        <f>$F$15+IF($Q23&gt;$I23,F$22*$I23+F$23*($Q23-$I23),$Q23*F$22)+('Incremental Rev Req'!$F$87*$Q23)</f>
        <v>197.3143462016339</v>
      </c>
      <c r="J44" s="159">
        <f>$F$15+IF($R23&gt;$J23,F$25*$J23+F$26*($R23-$J23),$R23*F$25)+('Incremental Rev Req'!$F$87*$R23)</f>
        <v>173.94219409493104</v>
      </c>
      <c r="M44" s="141" t="s">
        <v>225</v>
      </c>
      <c r="N44" s="159">
        <f>$F$15+IF($Q32&gt;$L23,C$22*$L23+C$23*($Q32-$L23),$Q32*C$22)+('Incremental Rev Req'!$F$87*$Q32)</f>
        <v>186.19675967535377</v>
      </c>
      <c r="O44" s="159">
        <f>$F$15+IF($R32&gt;$M23,C$25*$M23+C$26*($R32-$M23),$R32*C$25)+('Incremental Rev Req'!$F$87*$R32)</f>
        <v>212.40587084513356</v>
      </c>
      <c r="P44" s="159">
        <f>$F$15+IF($Q32&gt;$L23,D$22*$L23+D$23*($Q32-$L23),$Q32*D$22)+('Incremental Rev Req'!$F$87*$Q32)</f>
        <v>186.78147793399131</v>
      </c>
      <c r="Q44" s="159">
        <f>$F$15+IF($R32&gt;$M23,D$25*$M23+D$26*($R32-$M23),$R32*D$25)+('Incremental Rev Req'!$F$87*$R32)</f>
        <v>213.08495810192329</v>
      </c>
      <c r="R44" s="159">
        <f>$F$15+IF($Q32&gt;$L23,E$22*$L23+E$23*($Q32-$L23),$Q32*E$22)+('Incremental Rev Req'!$F$87*$Q32)</f>
        <v>184.58255495147037</v>
      </c>
      <c r="S44" s="159">
        <f>$F$15+IF($R32&gt;$M23,E$25*$M23+E$26*($R32-$M23),$R32*E$25)+('Incremental Rev Req'!$F$87*$R32)</f>
        <v>210.53114598124225</v>
      </c>
      <c r="T44" s="159">
        <f>$F$15+IF($Q32&gt;$L23,F$22*$L23+F$23*($Q32-$L23),$Q32*F$22)+('Incremental Rev Req'!$F$87*$Q32)</f>
        <v>207.97514963224222</v>
      </c>
      <c r="U44" s="159">
        <f>$F$15+IF($R32&gt;$M23,F$25*$M23+F$26*($R32-$M23),$R32*F$25)+('Incremental Rev Req'!$F$87*$R32)</f>
        <v>237.69912426188426</v>
      </c>
      <c r="X44" s="499"/>
      <c r="Y44" s="499"/>
      <c r="Z44" s="499"/>
      <c r="AA44" s="499"/>
      <c r="AB44" s="499"/>
      <c r="AC44" s="499"/>
      <c r="AD44" s="499"/>
      <c r="AE44" s="499"/>
      <c r="AF44" s="499"/>
      <c r="AG44" s="499"/>
      <c r="AH44" s="499"/>
      <c r="AI44" s="499"/>
    </row>
    <row r="45" spans="1:35">
      <c r="B45" s="141" t="s">
        <v>222</v>
      </c>
      <c r="C45" s="159">
        <f>$F$15+IF($Q24&gt;$I24,C$22*$I24+C$23*($Q24-$I24),$Q24*C$22)+('Incremental Rev Req'!$F$87*$Q24)</f>
        <v>189.20379899663945</v>
      </c>
      <c r="D45" s="159">
        <f>$F$15+IF($R24&gt;$J24,C$25*$J24+C$26*($R24-$J24),$R24*C$25)+('Incremental Rev Req'!$F$87*$R24)</f>
        <v>87.217413833606699</v>
      </c>
      <c r="E45" s="159">
        <f>$F$15+IF($Q24&gt;$I24,D$22*$I24+D$23*($Q24-$I24),$Q24*D$22)+('Incremental Rev Req'!$F$87*$Q24)</f>
        <v>189.79934445526541</v>
      </c>
      <c r="F45" s="159">
        <f>$F$15+IF($R24&gt;$J24,D$25*$J24+D$26*($R24-$J24),$R24*D$25)+('Incremental Rev Req'!$F$87*$R24)</f>
        <v>87.445745275295806</v>
      </c>
      <c r="G45" s="159">
        <f>$F$15+IF($Q24&gt;$I24,E$22*$I24+E$23*($Q24-$I24),$Q24*E$22)+('Incremental Rev Req'!$F$87*$Q24)</f>
        <v>187.55970412120087</v>
      </c>
      <c r="H45" s="159">
        <f>$F$15+IF($R24&gt;$J24,E$25*$J24+E$26*($R24-$J24),$R24*E$25)+('Incremental Rev Req'!$F$87*$R24)</f>
        <v>86.58706975534156</v>
      </c>
      <c r="I45" s="159">
        <f>$F$15+IF($Q24&gt;$I24,F$22*$I24+F$23*($Q24-$I24),$Q24*F$22)+('Incremental Rev Req'!$F$87*$Q24)</f>
        <v>211.3854583572207</v>
      </c>
      <c r="J45" s="159">
        <f>$F$15+IF($R24&gt;$J24,F$25*$J24+F$26*($R24-$J24),$R24*F$25)+('Incremental Rev Req'!$F$87*$R24)</f>
        <v>95.72183643896696</v>
      </c>
      <c r="M45" s="141" t="s">
        <v>222</v>
      </c>
      <c r="N45" s="159">
        <f>$F$15+IF($Q33&gt;$L24,C$22*$L24+C$23*($Q33-$L24),$Q33*C$22)+('Incremental Rev Req'!$F$87*$Q33)</f>
        <v>167.19293597000299</v>
      </c>
      <c r="O45" s="159">
        <f>$F$15+IF($R33&gt;$M24,C$25*$M24+C$26*($R33-$M24),$R33*C$25)+('Incremental Rev Req'!$F$87*$R33)</f>
        <v>97.524866945128153</v>
      </c>
      <c r="P45" s="159">
        <f>$F$15+IF($Q33&gt;$L24,D$22*$L24+D$23*($Q33-$L24),$Q33*D$22)+('Incremental Rev Req'!$F$87*$Q33)</f>
        <v>167.70922871842319</v>
      </c>
      <c r="Q45" s="159">
        <f>$F$15+IF($R33&gt;$M24,D$25*$M24+D$26*($R33-$M24),$R33*D$25)+('Incremental Rev Req'!$F$87*$R33)</f>
        <v>97.790311588304107</v>
      </c>
      <c r="R45" s="159">
        <f>$F$15+IF($Q33&gt;$L24,E$22*$L24+E$23*($Q33-$L24),$Q33*E$22)+('Incremental Rev Req'!$F$87*$Q33)</f>
        <v>165.76763039574473</v>
      </c>
      <c r="S45" s="159">
        <f>$F$15+IF($R33&gt;$M24,E$25*$M24+E$26*($R33-$M24),$R33*E$25)+('Incremental Rev Req'!$F$87*$R33)</f>
        <v>96.792066163530222</v>
      </c>
      <c r="T45" s="159">
        <f>$F$15+IF($Q33&gt;$L24,F$22*$L24+F$23*($Q33-$L24),$Q33*F$22)+('Incremental Rev Req'!$F$87*$Q33)</f>
        <v>186.42275245154894</v>
      </c>
      <c r="U45" s="159">
        <f>$F$15+IF($R33&gt;$M24,F$25*$M24+F$26*($R33-$M24),$R33*F$25)+('Incremental Rev Req'!$F$87*$R33)</f>
        <v>107.41160618348071</v>
      </c>
      <c r="X45" s="499"/>
      <c r="Y45" s="499"/>
      <c r="Z45" s="499"/>
      <c r="AA45" s="499"/>
      <c r="AB45" s="499"/>
      <c r="AC45" s="499"/>
      <c r="AD45" s="499"/>
      <c r="AE45" s="499"/>
      <c r="AF45" s="499"/>
      <c r="AG45" s="499"/>
      <c r="AH45" s="499"/>
      <c r="AI45" s="499"/>
    </row>
    <row r="46" spans="1:35">
      <c r="B46" s="144" t="s">
        <v>224</v>
      </c>
      <c r="C46" s="159">
        <f>$F$15+IF($Q25&gt;$I25,C$22*$I25+C$23*($Q25-$I25),$Q25*C$22)+('Incremental Rev Req'!$F$87*$Q25)</f>
        <v>157.91596552943193</v>
      </c>
      <c r="D46" s="159">
        <f>$F$15+IF($R25&gt;$J25,C$25*$J25+C$26*($R25-$J25),$R25*C$25)+('Incremental Rev Req'!$F$87*$R25)</f>
        <v>136.48221629276804</v>
      </c>
      <c r="E46" s="159">
        <f>$F$15+IF($Q25&gt;$I25,D$22*$I25+D$23*($Q25-$I25),$Q25*D$22)+('Incremental Rev Req'!$F$87*$Q25)</f>
        <v>158.39885545084695</v>
      </c>
      <c r="F46" s="159">
        <f>$F$15+IF($R25&gt;$J25,D$25*$J25+D$26*($R25-$J25),$R25*D$25)+('Incremental Rev Req'!$F$87*$R25)</f>
        <v>136.88793147029318</v>
      </c>
      <c r="G46" s="159">
        <f>$F$15+IF($Q25&gt;$I25,E$22*$I25+E$23*($Q25-$I25),$Q25*E$22)+('Incremental Rev Req'!$F$87*$Q25)</f>
        <v>156.58287359883261</v>
      </c>
      <c r="H46" s="159">
        <f>$F$15+IF($R25&gt;$J25,E$25*$J25+E$26*($R25-$J25),$R25*E$25)+('Incremental Rev Req'!$F$87*$R25)</f>
        <v>135.3621771175963</v>
      </c>
      <c r="I46" s="159">
        <f>$F$15+IF($Q25&gt;$I25,F$22*$I25+F$23*($Q25-$I25),$Q25*F$22)+('Incremental Rev Req'!$F$87*$Q25)</f>
        <v>175.90166181901265</v>
      </c>
      <c r="J46" s="159">
        <f>$F$15+IF($R25&gt;$J25,F$25*$J25+F$26*($R25-$J25),$R25*F$25)+('Incremental Rev Req'!$F$87*$R25)</f>
        <v>151.59346554323406</v>
      </c>
      <c r="M46" s="144" t="s">
        <v>224</v>
      </c>
      <c r="N46" s="159">
        <f>$F$15+IF($Q34&gt;$L25,C$22*$L25+C$23*($Q34-$L25),$Q34*C$22)+('Incremental Rev Req'!$F$87*$Q34)</f>
        <v>160.35062081188846</v>
      </c>
      <c r="O46" s="159">
        <f>$F$15+IF($R34&gt;$M25,C$25*$M25+C$26*($R34-$M25),$R34*C$25)+('Incremental Rev Req'!$F$87*$R34)</f>
        <v>159.00697424743757</v>
      </c>
      <c r="P46" s="159">
        <f>$F$15+IF($Q34&gt;$L25,D$22*$L25+D$23*($Q34-$L25),$Q34*D$22)+('Incremental Rev Req'!$F$87*$Q34)</f>
        <v>160.84227699700324</v>
      </c>
      <c r="Q46" s="159">
        <f>$F$15+IF($R34&gt;$M25,D$25*$M25+D$26*($R34-$M25),$R34*D$25)+('Incremental Rev Req'!$F$87*$R34)</f>
        <v>159.49379247451037</v>
      </c>
      <c r="R46" s="159">
        <f>$F$15+IF($Q34&gt;$L25,E$22*$L25+E$23*($Q34-$L25),$Q34*E$22)+('Incremental Rev Req'!$F$87*$Q34)</f>
        <v>158.99332826147611</v>
      </c>
      <c r="S46" s="159">
        <f>$F$15+IF($R34&gt;$M25,E$25*$M25+E$26*($R34-$M25),$R34*E$25)+('Incremental Rev Req'!$F$87*$R34)</f>
        <v>157.66303762461942</v>
      </c>
      <c r="T46" s="159">
        <f>$F$15+IF($Q34&gt;$L25,F$22*$L25+F$23*($Q34-$L25),$Q34*F$22)+('Incremental Rev Req'!$F$87*$Q34)</f>
        <v>178.66282496486951</v>
      </c>
      <c r="U46" s="159">
        <f>$F$15+IF($R34&gt;$M25,F$25*$M25+F$26*($R34-$M25),$R34*F$25)+('Incremental Rev Req'!$F$87*$R34)</f>
        <v>177.13898403282772</v>
      </c>
      <c r="X46" s="499"/>
      <c r="Y46" s="499"/>
      <c r="Z46" s="499"/>
      <c r="AA46" s="499"/>
      <c r="AB46" s="499"/>
      <c r="AC46" s="499"/>
      <c r="AD46" s="499"/>
      <c r="AE46" s="499"/>
      <c r="AF46" s="499"/>
      <c r="AG46" s="499"/>
      <c r="AH46" s="499"/>
      <c r="AI46" s="499"/>
    </row>
    <row r="47" spans="1:35" s="10" customFormat="1">
      <c r="B47" s="6" t="s">
        <v>112</v>
      </c>
      <c r="C47" s="157">
        <f>SUMPRODUCT(C43:C46,$U$22:$U$25)</f>
        <v>160.37181948193862</v>
      </c>
      <c r="D47" s="157">
        <f t="shared" ref="D47:J47" si="8">SUMPRODUCT(D43:D46,$U$22:$U$25)</f>
        <v>145.42721416984045</v>
      </c>
      <c r="E47" s="157">
        <f t="shared" si="8"/>
        <v>160.86355199536698</v>
      </c>
      <c r="F47" s="157">
        <f t="shared" si="8"/>
        <v>145.86513686797414</v>
      </c>
      <c r="G47" s="157">
        <f t="shared" si="8"/>
        <v>159.01431621547209</v>
      </c>
      <c r="H47" s="157">
        <f t="shared" si="8"/>
        <v>144.21826117824017</v>
      </c>
      <c r="I47" s="157">
        <f t="shared" si="8"/>
        <v>178.68686655585182</v>
      </c>
      <c r="J47" s="157">
        <f t="shared" si="8"/>
        <v>161.73806328399507</v>
      </c>
      <c r="M47" s="6" t="s">
        <v>112</v>
      </c>
      <c r="N47" s="157">
        <f t="shared" ref="N47:U47" si="9">SUMPRODUCT(N43:N46,$U$31:$U$34)</f>
        <v>152.47271023489938</v>
      </c>
      <c r="O47" s="157">
        <f t="shared" si="9"/>
        <v>146.47874440491921</v>
      </c>
      <c r="P47" s="157">
        <f t="shared" si="9"/>
        <v>152.9360274514849</v>
      </c>
      <c r="Q47" s="157">
        <f t="shared" si="9"/>
        <v>146.92045326177339</v>
      </c>
      <c r="R47" s="157">
        <f t="shared" si="9"/>
        <v>151.19365176764438</v>
      </c>
      <c r="S47" s="157">
        <f t="shared" si="9"/>
        <v>145.25933913959278</v>
      </c>
      <c r="T47" s="157">
        <f t="shared" si="9"/>
        <v>169.72940244090626</v>
      </c>
      <c r="U47" s="157">
        <f t="shared" si="9"/>
        <v>162.93061261645096</v>
      </c>
      <c r="X47" s="499"/>
      <c r="Y47" s="499"/>
      <c r="Z47" s="499"/>
      <c r="AA47" s="499"/>
      <c r="AB47" s="499"/>
      <c r="AC47" s="499"/>
      <c r="AD47" s="499"/>
      <c r="AE47" s="499"/>
      <c r="AF47" s="499"/>
      <c r="AG47" s="499"/>
      <c r="AH47" s="499"/>
      <c r="AI47" s="499"/>
    </row>
    <row r="48" spans="1:35">
      <c r="B48" s="7"/>
      <c r="C48" s="143"/>
      <c r="D48" s="143"/>
      <c r="E48" s="158"/>
      <c r="F48" s="146"/>
      <c r="G48" s="147"/>
      <c r="H48" s="147"/>
      <c r="I48" s="147"/>
      <c r="J48" s="147"/>
      <c r="M48" s="7"/>
      <c r="N48" s="143"/>
      <c r="O48" s="143"/>
      <c r="P48" s="158"/>
      <c r="Q48" s="146"/>
      <c r="R48" s="147"/>
      <c r="S48" s="147"/>
      <c r="T48" s="147"/>
      <c r="U48" s="147"/>
      <c r="X48" s="10"/>
      <c r="Y48" s="10"/>
      <c r="Z48" s="10"/>
      <c r="AA48" s="10"/>
    </row>
    <row r="49" spans="2:35">
      <c r="B49" s="7"/>
      <c r="C49" s="143"/>
      <c r="D49" s="143"/>
      <c r="E49" s="158"/>
      <c r="F49" s="143"/>
      <c r="G49" s="147"/>
      <c r="H49" s="147"/>
      <c r="I49" s="147"/>
      <c r="J49" s="147"/>
      <c r="M49" s="7"/>
      <c r="N49" s="143"/>
      <c r="O49" s="143"/>
      <c r="P49" s="158"/>
      <c r="Q49" s="143"/>
      <c r="R49" s="147"/>
      <c r="S49" s="147"/>
      <c r="T49" s="147"/>
      <c r="U49" s="147"/>
    </row>
    <row r="50" spans="2:35">
      <c r="B50" s="7"/>
      <c r="C50" s="461" t="s">
        <v>513</v>
      </c>
      <c r="D50" s="461"/>
      <c r="E50" s="461"/>
      <c r="F50" s="461"/>
      <c r="G50" s="461"/>
      <c r="H50" s="461"/>
      <c r="I50" s="461"/>
      <c r="J50" s="461"/>
      <c r="M50" s="7"/>
      <c r="N50" s="461" t="s">
        <v>514</v>
      </c>
      <c r="O50" s="461"/>
      <c r="P50" s="461"/>
      <c r="Q50" s="461"/>
      <c r="R50" s="461"/>
      <c r="S50" s="461"/>
      <c r="T50" s="461"/>
      <c r="U50" s="461"/>
    </row>
    <row r="51" spans="2:35">
      <c r="B51" s="7"/>
      <c r="C51" s="863" t="str">
        <f>C30</f>
        <v>6/1/2026</v>
      </c>
      <c r="D51" s="863"/>
      <c r="E51" s="864" t="str">
        <f>D30</f>
        <v>8/1/2026</v>
      </c>
      <c r="F51" s="863"/>
      <c r="G51" s="863" t="str">
        <f>E30</f>
        <v>Authorized</v>
      </c>
      <c r="H51" s="863"/>
      <c r="I51" s="864" t="str">
        <f>F30</f>
        <v>w/Pending</v>
      </c>
      <c r="J51" s="863"/>
      <c r="M51" s="7"/>
      <c r="N51" s="863" t="str">
        <f>N41</f>
        <v>6/1/2026</v>
      </c>
      <c r="O51" s="863"/>
      <c r="P51" s="864" t="str">
        <f>P41</f>
        <v>8/1/2026</v>
      </c>
      <c r="Q51" s="863"/>
      <c r="R51" s="863" t="str">
        <f>R41</f>
        <v>Authorized</v>
      </c>
      <c r="S51" s="863"/>
      <c r="T51" s="864" t="str">
        <f>T41</f>
        <v>w/Pending</v>
      </c>
      <c r="U51" s="863"/>
      <c r="AD51" s="10"/>
      <c r="AE51" s="10"/>
    </row>
    <row r="52" spans="2:35">
      <c r="B52" s="7"/>
      <c r="C52" s="143" t="s">
        <v>192</v>
      </c>
      <c r="D52" s="143" t="s">
        <v>193</v>
      </c>
      <c r="E52" s="143" t="s">
        <v>192</v>
      </c>
      <c r="F52" s="143" t="s">
        <v>193</v>
      </c>
      <c r="G52" s="143" t="s">
        <v>192</v>
      </c>
      <c r="H52" s="143" t="s">
        <v>193</v>
      </c>
      <c r="I52" s="143" t="s">
        <v>192</v>
      </c>
      <c r="J52" s="143" t="s">
        <v>193</v>
      </c>
      <c r="M52" s="7"/>
      <c r="N52" s="143" t="s">
        <v>192</v>
      </c>
      <c r="O52" s="143" t="s">
        <v>193</v>
      </c>
      <c r="P52" s="143" t="s">
        <v>192</v>
      </c>
      <c r="Q52" s="143" t="s">
        <v>193</v>
      </c>
      <c r="R52" s="143" t="s">
        <v>192</v>
      </c>
      <c r="S52" s="143" t="s">
        <v>193</v>
      </c>
      <c r="T52" s="143" t="s">
        <v>192</v>
      </c>
      <c r="U52" s="143" t="s">
        <v>193</v>
      </c>
      <c r="AB52" s="10"/>
      <c r="AC52" s="10"/>
    </row>
    <row r="53" spans="2:35">
      <c r="B53" s="138" t="s">
        <v>223</v>
      </c>
      <c r="C53" s="159">
        <f>$Q$15+IF($S22&gt;$I22,C$31*$I22+C$32*($S22-$I22),$S22*C$31)+('Incremental Rev Req'!$F$87*$S22)</f>
        <v>91.218596196600004</v>
      </c>
      <c r="D53" s="159">
        <f>$Q$15+IF($T22&gt;$J22,C$34*$J22+C$35*($T22-$J22),$T22*C$34)+('Incremental Rev Req'!$F$87*$T22)</f>
        <v>83.765680341300012</v>
      </c>
      <c r="E53" s="159">
        <f>$Q$15+IF($S22&gt;$I22,D$31*$I22+D$32*($S22-$I22),$S22*D$31)+('Incremental Rev Req'!$F$87*$S22)</f>
        <v>91.538052436699999</v>
      </c>
      <c r="F53" s="159">
        <f>$Q$15+IF($T22&gt;$J22,D$34*$J22+D$35*($T22-$J22),$T22*D$34)+('Incremental Rev Req'!$F$87*$T22)</f>
        <v>84.057226271849999</v>
      </c>
      <c r="G53" s="159">
        <f>$Q$15+IF($S22&gt;$I22,E$31*$I22+E$32*($S22-$I22),$S22*E$31)+('Incremental Rev Req'!$F$87*$S22)</f>
        <v>90.384459860119236</v>
      </c>
      <c r="H53" s="159">
        <f>$Q$15+IF($T22&gt;$J22,E$34*$J22+E$35*($T22-$J22),$T22*E$34)+('Incremental Rev Req'!$F$87*$T22)</f>
        <v>83.004420976484582</v>
      </c>
      <c r="I53" s="159">
        <f>$Q$15+IF($S22&gt;$I22,F$31*$I22+F$32*($S22-$I22),$S22*F$31)+('Incremental Rev Req'!$F$87*$S22)</f>
        <v>102.65661481288757</v>
      </c>
      <c r="J53" s="159">
        <f>$Q$15+IF($T22&gt;$J22,F$34*$J22+F$35*($T22-$J22),$T22*F$34)+('Incremental Rev Req'!$F$87*$T22)</f>
        <v>94.204380114670883</v>
      </c>
      <c r="M53" s="138" t="s">
        <v>223</v>
      </c>
      <c r="N53" s="159">
        <f>$Q$15+IF($S31&gt;$L22,C$31*$L22+C$32*($S31-$L22),$S31*C$31)+('Incremental Rev Req'!$F$87*$S31)</f>
        <v>85.926681025360011</v>
      </c>
      <c r="O53" s="159">
        <f>$Q$15+IF($T31&gt;$M22,C$34*$M22+C$35*($T31-$M22),$T31*C$34)+('Incremental Rev Req'!$F$87*$T31)</f>
        <v>79.688259767879998</v>
      </c>
      <c r="P53" s="159">
        <f>$Q$15+IF($S31&gt;$L22,D$31*$L22+D$32*($S31-$L22),$S31*D$31)+('Incremental Rev Req'!$F$87*$S31)</f>
        <v>86.225179339679997</v>
      </c>
      <c r="Q53" s="159">
        <f>$Q$15+IF($T31&gt;$M22,D$34*$M22+D$35*($T31-$M22),$T31*D$34)+('Incremental Rev Req'!$F$87*$T31)</f>
        <v>79.964536229060002</v>
      </c>
      <c r="R53" s="159">
        <f>$Q$15+IF($S31&gt;$L22,E$31*$L22+E$32*($S31-$L22),$S31*E$31)+('Incremental Rev Req'!$F$87*$S31)</f>
        <v>85.142954814133276</v>
      </c>
      <c r="S53" s="159">
        <f>$Q$15+IF($T31&gt;$M22,E$34*$M22+E$35*($T31-$M22),$T31*E$34)+('Incremental Rev Req'!$F$87*$T31)</f>
        <v>78.966870712801864</v>
      </c>
      <c r="T53" s="159">
        <f>$Q$15+IF($S31&gt;$L22,F$31*$L22+F$32*($S31-$L22),$S31*F$31)+('Incremental Rev Req'!$F$87*$S31)</f>
        <v>96.655881770165792</v>
      </c>
      <c r="U53" s="159">
        <f>$Q$15+IF($T31&gt;$M22,F$34*$M22+F$35*($T31-$M22),$T31*F$34)+('Incremental Rev Req'!$F$87*$T31)</f>
        <v>89.580241546760547</v>
      </c>
      <c r="X53" s="499"/>
      <c r="Y53" s="499"/>
      <c r="Z53" s="499"/>
      <c r="AA53" s="499"/>
      <c r="AB53" s="499"/>
      <c r="AC53" s="499"/>
      <c r="AD53" s="499"/>
      <c r="AE53" s="499"/>
      <c r="AF53" s="499"/>
      <c r="AG53" s="499"/>
      <c r="AH53" s="499"/>
      <c r="AI53" s="499"/>
    </row>
    <row r="54" spans="2:35">
      <c r="B54" s="141" t="s">
        <v>225</v>
      </c>
      <c r="C54" s="159">
        <f>$Q$15+IF($S23&gt;$I23,C$31*$I23+C$32*($S23-$I23),$S23*C$31)+('Incremental Rev Req'!$F$87*$S23)</f>
        <v>164.74195080860005</v>
      </c>
      <c r="D54" s="159">
        <f>$Q$15+IF($T23&gt;$J23,C$34*$J23+C$35*($T23-$J23),$T23*C$34)+('Incremental Rev Req'!$F$87*$T23)</f>
        <v>146.84733243557002</v>
      </c>
      <c r="E54" s="159">
        <f>$Q$15+IF($S23&gt;$I23,D$31*$I23+D$32*($S23-$I23),$S23*D$31)+('Incremental Rev Req'!$F$87*$S23)</f>
        <v>165.33545998680003</v>
      </c>
      <c r="F54" s="159">
        <f>$Q$15+IF($T23&gt;$J23,D$34*$J23+D$35*($T23-$J23),$T23*D$34)+('Incremental Rev Req'!$F$87*$T23)</f>
        <v>147.37447768866002</v>
      </c>
      <c r="G54" s="159">
        <f>$Q$15+IF($S23&gt;$I23,E$31*$I23+E$32*($S23-$I23),$S23*E$31)+('Incremental Rev Req'!$F$87*$S23)</f>
        <v>163.18737613902695</v>
      </c>
      <c r="H54" s="159">
        <f>$Q$15+IF($T23&gt;$J23,E$34*$J23+E$35*($T23-$J23),$T23*E$34)+('Incremental Rev Req'!$F$87*$T23)</f>
        <v>145.46849774217119</v>
      </c>
      <c r="I54" s="159">
        <f>$Q$15+IF($S23&gt;$I23,F$31*$I23+F$32*($S23-$I23),$S23*F$31)+('Incremental Rev Req'!$F$87*$S23)</f>
        <v>186.03913365427175</v>
      </c>
      <c r="J54" s="159">
        <f>$Q$15+IF($T23&gt;$J23,F$34*$J23+F$35*($T23-$J23),$T23*F$34)+('Incremental Rev Req'!$F$87*$T23)</f>
        <v>165.74470419064616</v>
      </c>
      <c r="M54" s="141" t="s">
        <v>225</v>
      </c>
      <c r="N54" s="159">
        <f>$Q$15+IF($S32&gt;$L23,C$31*$L23+C$32*($S32-$L23),$S32*C$31)+('Incremental Rev Req'!$F$87*$S32)</f>
        <v>166.54876946104005</v>
      </c>
      <c r="O54" s="159">
        <f>$Q$15+IF($T32&gt;$M23,C$34*$M23+C$35*($T32-$M23),$T32*C$34)+('Incremental Rev Req'!$F$87*$T32)</f>
        <v>185.00352223464003</v>
      </c>
      <c r="P54" s="159">
        <f>$Q$15+IF($S32&gt;$L23,D$31*$L23+D$32*($S32-$L23),$S32*D$31)+('Incremental Rev Req'!$F$87*$S32)</f>
        <v>167.14990938352005</v>
      </c>
      <c r="Q54" s="159">
        <f>$Q$15+IF($T32&gt;$M23,D$34*$M23+D$35*($T32-$M23),$T32*D$34)+('Incremental Rev Req'!$F$87*$T32)</f>
        <v>185.67419219668</v>
      </c>
      <c r="R54" s="159">
        <f>$Q$15+IF($S32&gt;$L23,E$31*$L23+E$32*($S32-$L23),$S32*E$31)+('Incremental Rev Req'!$F$87*$S32)</f>
        <v>164.97753982540252</v>
      </c>
      <c r="S54" s="159">
        <f>$Q$15+IF($T32&gt;$M23,E$34*$M23+E$35*($T32-$M23),$T32*E$34)+('Incremental Rev Req'!$F$87*$T32)</f>
        <v>183.25232718849341</v>
      </c>
      <c r="T54" s="159">
        <f>$Q$15+IF($S32&gt;$L23,F$31*$L23+F$32*($S32-$L23),$S32*F$31)+('Incremental Rev Req'!$F$87*$S32)</f>
        <v>188.08765371926447</v>
      </c>
      <c r="U54" s="159">
        <f>$Q$15+IF($T32&gt;$M23,F$34*$M23+F$35*($T32-$M23),$T32*F$34)+('Incremental Rev Req'!$F$87*$T32)</f>
        <v>209.01662496444453</v>
      </c>
      <c r="X54" s="499"/>
      <c r="Y54" s="499"/>
      <c r="Z54" s="499"/>
      <c r="AA54" s="499"/>
      <c r="AB54" s="499"/>
      <c r="AC54" s="499"/>
      <c r="AD54" s="499"/>
      <c r="AE54" s="499"/>
      <c r="AF54" s="499"/>
      <c r="AG54" s="499"/>
      <c r="AH54" s="499"/>
      <c r="AI54" s="499"/>
    </row>
    <row r="55" spans="2:35">
      <c r="B55" s="141" t="s">
        <v>222</v>
      </c>
      <c r="C55" s="159">
        <f>$Q$15+IF($S24&gt;$I24,C$31*$I24+C$32*($S24-$I24),$S24*C$31)+('Incremental Rev Req'!$F$87*$S24)</f>
        <v>176.81327738624003</v>
      </c>
      <c r="D55" s="159">
        <f>$Q$15+IF($T24&gt;$J24,C$34*$J24+C$35*($T24-$J24),$T24*C$34)+('Incremental Rev Req'!$F$87*$T24)</f>
        <v>89.024368100220016</v>
      </c>
      <c r="E55" s="159">
        <f>$Q$15+IF($S24&gt;$I24,D$31*$I24+D$32*($S24-$I24),$S24*D$31)+('Incremental Rev Req'!$F$87*$S24)</f>
        <v>177.45266186111999</v>
      </c>
      <c r="F55" s="159">
        <f>$Q$15+IF($T24&gt;$J24,D$34*$J24+D$35*($T24-$J24),$T24*D$34)+('Incremental Rev Req'!$F$87*$T24)</f>
        <v>89.335607209390005</v>
      </c>
      <c r="G55" s="159">
        <f>$Q$15+IF($S24&gt;$I24,E$31*$I24+E$32*($S24-$I24),$S24*E$31)+('Incremental Rev Req'!$F$87*$S24)</f>
        <v>175.1414498771592</v>
      </c>
      <c r="H55" s="159">
        <f>$Q$15+IF($T24&gt;$J24,E$34*$J24+E$35*($T24-$J24),$T24*E$34)+('Incremental Rev Req'!$F$87*$T24)</f>
        <v>88.211687621005296</v>
      </c>
      <c r="I55" s="159">
        <f>$Q$15+IF($S24&gt;$I24,F$31*$I24+F$32*($S24-$I24),$S24*F$31)+('Incremental Rev Req'!$F$87*$S24)</f>
        <v>199.72859803646131</v>
      </c>
      <c r="J55" s="159">
        <f>$Q$15+IF($T24&gt;$J24,F$34*$J24+F$35*($T24-$J24),$T24*F$34)+('Incremental Rev Req'!$F$87*$T24)</f>
        <v>100.16817522600613</v>
      </c>
      <c r="M55" s="141" t="s">
        <v>222</v>
      </c>
      <c r="N55" s="159">
        <f>$Q$15+IF($S33&gt;$L24,C$31*$L24+C$32*($S33-$L24),$S33*C$31)+('Incremental Rev Req'!$F$87*$S33)</f>
        <v>192.12901107951006</v>
      </c>
      <c r="O55" s="159">
        <f>$Q$15+IF($T33&gt;$M24,C$34*$M24+C$35*($T33-$M24),$T33*C$34)+('Incremental Rev Req'!$F$87*$T33)</f>
        <v>108.13149151884001</v>
      </c>
      <c r="P55" s="159">
        <f>$Q$15+IF($S33&gt;$L24,D$31*$L24+D$32*($S33-$L24),$S33*D$31)+('Incremental Rev Req'!$F$87*$S33)</f>
        <v>192.82548691238003</v>
      </c>
      <c r="Q55" s="159">
        <f>$Q$15+IF($T33&gt;$M24,D$34*$M24+D$35*($T33-$M24),$T33*D$34)+('Incremental Rev Req'!$F$87*$T33)</f>
        <v>108.51428459957999</v>
      </c>
      <c r="R55" s="159">
        <f>$Q$15+IF($S33&gt;$L24,E$31*$L24+E$32*($S33-$L24),$S33*E$31)+('Incremental Rev Req'!$F$87*$S33)</f>
        <v>190.30711184766781</v>
      </c>
      <c r="S55" s="159">
        <f>$Q$15+IF($T33&gt;$M24,E$34*$M24+E$35*($T33-$M24),$T33*E$34)+('Incremental Rev Req'!$F$87*$T33)</f>
        <v>107.13197553537167</v>
      </c>
      <c r="T55" s="159">
        <f>$Q$15+IF($S33&gt;$L24,F$31*$L24+F$32*($S33-$L24),$S33*F$31)+('Incremental Rev Req'!$F$87*$S33)</f>
        <v>217.09810344276056</v>
      </c>
      <c r="U55" s="159">
        <f>$Q$15+IF($T33&gt;$M24,F$34*$M24+F$35*($T33-$M24),$T33*F$34)+('Incremental Rev Req'!$F$87*$T33)</f>
        <v>121.83726349662204</v>
      </c>
      <c r="X55" s="499"/>
      <c r="Y55" s="499"/>
      <c r="Z55" s="499"/>
      <c r="AA55" s="499"/>
      <c r="AB55" s="499"/>
      <c r="AC55" s="499"/>
      <c r="AD55" s="499"/>
      <c r="AE55" s="499"/>
      <c r="AF55" s="499"/>
      <c r="AG55" s="499"/>
      <c r="AH55" s="499"/>
      <c r="AI55" s="499"/>
    </row>
    <row r="56" spans="2:35">
      <c r="B56" s="144" t="s">
        <v>224</v>
      </c>
      <c r="C56" s="159">
        <f>$Q$15+IF($S25&gt;$I25,C$31*$I25+C$32*($S25-$I25),$S25*C$31)+('Incremental Rev Req'!$F$87*$S25)</f>
        <v>118.02604246068002</v>
      </c>
      <c r="D56" s="159">
        <f>$Q$15+IF($T25&gt;$J25,C$34*$J25+C$35*($T25-$J25),$T25*C$34)+('Incremental Rev Req'!$F$87*$T25)</f>
        <v>94.500731604780015</v>
      </c>
      <c r="E56" s="159">
        <f>$Q$15+IF($S25&gt;$I25,D$31*$I25+D$32*($S25-$I25),$S25*D$31)+('Incremental Rev Req'!$F$87*$S25)</f>
        <v>118.44547549384001</v>
      </c>
      <c r="F56" s="159">
        <f>$Q$15+IF($T25&gt;$J25,D$34*$J25+D$35*($T25-$J25),$T25*D$34)+('Incremental Rev Req'!$F$87*$T25)</f>
        <v>94.83247906311</v>
      </c>
      <c r="G56" s="159">
        <f>$Q$15+IF($S25&gt;$I25,E$31*$I25+E$32*($S25-$I25),$S25*E$31)+('Incremental Rev Req'!$F$87*$S25)</f>
        <v>116.92928941800119</v>
      </c>
      <c r="H56" s="159">
        <f>$Q$15+IF($T25&gt;$J25,E$34*$J25+E$35*($T25-$J25),$T25*E$34)+('Incremental Rev Req'!$F$87*$T25)</f>
        <v>93.634501508784496</v>
      </c>
      <c r="I56" s="159">
        <f>$Q$15+IF($S25&gt;$I25,F$31*$I25+F$32*($S25-$I25),$S25*F$31)+('Incremental Rev Req'!$F$87*$S25)</f>
        <v>133.05878854764572</v>
      </c>
      <c r="J56" s="159">
        <f>$Q$15+IF($T25&gt;$J25,F$34*$J25+F$35*($T25-$J25),$T25*F$34)+('Incremental Rev Req'!$F$87*$T25)</f>
        <v>106.37883297821637</v>
      </c>
      <c r="M56" s="144" t="s">
        <v>224</v>
      </c>
      <c r="N56" s="159">
        <f>$Q$15+IF($S34&gt;$L25,C$31*$L25+C$32*($S34-$L25),$S34*C$31)+('Incremental Rev Req'!$F$87*$S34)</f>
        <v>110.40732845851001</v>
      </c>
      <c r="O56" s="159">
        <f>$Q$15+IF($T34&gt;$M25,C$34*$M25+C$35*($T34-$M25),$T34*C$34)+('Incremental Rev Req'!$F$87*$T34)</f>
        <v>95.592323476080011</v>
      </c>
      <c r="P56" s="159">
        <f>$Q$15+IF($S34&gt;$L25,D$31*$L25+D$32*($S34-$L25),$S34*D$31)+('Incremental Rev Req'!$F$87*$S34)</f>
        <v>110.79768121437999</v>
      </c>
      <c r="Q56" s="159">
        <f>$Q$15+IF($T34&gt;$M25,D$34*$M25+D$35*($T34-$M25),$T34*D$34)+('Incremental Rev Req'!$F$87*$T34)</f>
        <v>95.928158819960004</v>
      </c>
      <c r="R56" s="159">
        <f>$Q$15+IF($S34&gt;$L25,E$31*$L25+E$32*($S34-$L25),$S34*E$31)+('Incremental Rev Req'!$F$87*$S34)</f>
        <v>109.38443036630143</v>
      </c>
      <c r="S56" s="159">
        <f>$Q$15+IF($T34&gt;$M25,E$34*$M25+E$35*($T34-$M25),$T34*E$34)+('Incremental Rev Req'!$F$87*$T34)</f>
        <v>94.715419449046038</v>
      </c>
      <c r="T56" s="159">
        <f>$Q$15+IF($S34&gt;$L25,F$31*$L25+F$32*($S34-$L25),$S34*F$31)+('Incremental Rev Req'!$F$87*$S34)</f>
        <v>124.41888338450471</v>
      </c>
      <c r="U56" s="159">
        <f>$Q$15+IF($T34&gt;$M25,F$34*$M25+F$35*($T34-$M25),$T34*F$34)+('Incremental Rev Req'!$F$87*$T34)</f>
        <v>107.61679015766472</v>
      </c>
      <c r="X56" s="499"/>
      <c r="Y56" s="499"/>
      <c r="Z56" s="499"/>
      <c r="AA56" s="499"/>
      <c r="AB56" s="499"/>
      <c r="AC56" s="499"/>
      <c r="AD56" s="499"/>
      <c r="AE56" s="499"/>
      <c r="AF56" s="499"/>
      <c r="AG56" s="499"/>
      <c r="AH56" s="499"/>
      <c r="AI56" s="499"/>
    </row>
    <row r="57" spans="2:35">
      <c r="B57" s="6" t="s">
        <v>112</v>
      </c>
      <c r="C57" s="157">
        <f>SUMPRODUCT(C53:C56,$V$22:$V$25)</f>
        <v>105.07264711837779</v>
      </c>
      <c r="D57" s="157">
        <f t="shared" ref="D57:J57" si="10">SUMPRODUCT(D53:D56,$V$22:$V$25)</f>
        <v>89.536225347153291</v>
      </c>
      <c r="E57" s="157">
        <f t="shared" si="10"/>
        <v>105.44377113699372</v>
      </c>
      <c r="F57" s="157">
        <f t="shared" si="10"/>
        <v>89.849376264020464</v>
      </c>
      <c r="G57" s="157">
        <f t="shared" si="10"/>
        <v>104.10279072934681</v>
      </c>
      <c r="H57" s="157">
        <f t="shared" si="10"/>
        <v>88.718533862854954</v>
      </c>
      <c r="I57" s="157">
        <f t="shared" si="10"/>
        <v>118.36841594691444</v>
      </c>
      <c r="J57" s="157">
        <f t="shared" si="10"/>
        <v>100.74866777321515</v>
      </c>
      <c r="M57" s="6" t="s">
        <v>112</v>
      </c>
      <c r="N57" s="157">
        <f t="shared" ref="N57:U57" si="11">SUMPRODUCT(N53:N56,$V$31:$V$34)</f>
        <v>100.54679904159514</v>
      </c>
      <c r="O57" s="157">
        <f t="shared" si="11"/>
        <v>89.794816041108191</v>
      </c>
      <c r="P57" s="157">
        <f t="shared" si="11"/>
        <v>100.90015395257404</v>
      </c>
      <c r="Q57" s="157">
        <f t="shared" si="11"/>
        <v>90.108940388880072</v>
      </c>
      <c r="R57" s="157">
        <f t="shared" si="11"/>
        <v>99.620236799279468</v>
      </c>
      <c r="S57" s="157">
        <f t="shared" si="11"/>
        <v>88.974601877916911</v>
      </c>
      <c r="T57" s="157">
        <f t="shared" si="11"/>
        <v>113.23625856538166</v>
      </c>
      <c r="U57" s="157">
        <f t="shared" si="11"/>
        <v>101.04192812293621</v>
      </c>
      <c r="X57" s="499"/>
      <c r="Y57" s="499"/>
      <c r="Z57" s="499"/>
      <c r="AA57" s="499"/>
      <c r="AB57" s="499"/>
      <c r="AC57" s="499"/>
      <c r="AD57" s="499"/>
      <c r="AE57" s="499"/>
      <c r="AF57" s="499"/>
      <c r="AG57" s="499"/>
      <c r="AH57" s="499"/>
      <c r="AI57" s="499"/>
    </row>
    <row r="58" spans="2:35">
      <c r="B58" s="7"/>
      <c r="C58" s="143"/>
      <c r="D58" s="143"/>
      <c r="E58" s="158"/>
      <c r="F58" s="143"/>
      <c r="G58" s="147"/>
      <c r="H58" s="147"/>
      <c r="I58" s="147"/>
      <c r="J58" s="147"/>
      <c r="M58" s="7"/>
      <c r="N58" s="143"/>
      <c r="O58" s="143"/>
      <c r="P58" s="158"/>
      <c r="Q58" s="143"/>
      <c r="R58" s="147"/>
      <c r="S58" s="147"/>
      <c r="T58" s="147"/>
      <c r="U58" s="147"/>
    </row>
    <row r="59" spans="2:35">
      <c r="B59" s="7"/>
      <c r="C59" s="8"/>
      <c r="D59" s="8"/>
      <c r="E59" s="9"/>
      <c r="G59" s="147"/>
      <c r="H59" s="147"/>
      <c r="I59" s="147"/>
      <c r="M59" s="7"/>
      <c r="N59" s="8"/>
      <c r="O59" s="8"/>
      <c r="P59" s="9"/>
      <c r="R59" s="147"/>
      <c r="S59" s="147"/>
      <c r="T59" s="147"/>
    </row>
    <row r="60" spans="2:35">
      <c r="B60" s="7"/>
      <c r="C60" s="865" t="s">
        <v>284</v>
      </c>
      <c r="D60" s="865"/>
      <c r="E60" s="865"/>
      <c r="F60" s="865"/>
      <c r="G60" s="865"/>
      <c r="H60" s="865"/>
      <c r="I60" s="865"/>
      <c r="J60" s="865"/>
      <c r="M60" s="7"/>
      <c r="N60" s="865" t="s">
        <v>273</v>
      </c>
      <c r="O60" s="865"/>
      <c r="P60" s="865"/>
      <c r="Q60" s="865"/>
      <c r="R60" s="865"/>
      <c r="S60" s="865"/>
      <c r="T60" s="865"/>
      <c r="U60" s="865"/>
    </row>
    <row r="61" spans="2:35">
      <c r="B61" s="7"/>
      <c r="C61" s="862" t="str">
        <f>C51</f>
        <v>6/1/2026</v>
      </c>
      <c r="D61" s="862"/>
      <c r="E61" s="861" t="str">
        <f>E51</f>
        <v>8/1/2026</v>
      </c>
      <c r="F61" s="862"/>
      <c r="G61" s="862" t="str">
        <f>G51</f>
        <v>Authorized</v>
      </c>
      <c r="H61" s="862"/>
      <c r="I61" s="861" t="str">
        <f>I51</f>
        <v>w/Pending</v>
      </c>
      <c r="J61" s="862"/>
      <c r="M61" s="7"/>
      <c r="N61" s="862" t="str">
        <f>N51</f>
        <v>6/1/2026</v>
      </c>
      <c r="O61" s="862"/>
      <c r="P61" s="861" t="str">
        <f>P51</f>
        <v>8/1/2026</v>
      </c>
      <c r="Q61" s="862"/>
      <c r="R61" s="862" t="str">
        <f>R51</f>
        <v>Authorized</v>
      </c>
      <c r="S61" s="862"/>
      <c r="T61" s="861" t="str">
        <f>T51</f>
        <v>w/Pending</v>
      </c>
      <c r="U61" s="862"/>
    </row>
    <row r="62" spans="2:35">
      <c r="B62" s="7"/>
      <c r="C62" s="8" t="s">
        <v>192</v>
      </c>
      <c r="D62" s="8" t="s">
        <v>193</v>
      </c>
      <c r="E62" s="8" t="s">
        <v>192</v>
      </c>
      <c r="F62" s="8" t="s">
        <v>193</v>
      </c>
      <c r="G62" s="8" t="s">
        <v>192</v>
      </c>
      <c r="H62" s="8" t="s">
        <v>193</v>
      </c>
      <c r="I62" s="8" t="s">
        <v>192</v>
      </c>
      <c r="J62" s="8" t="s">
        <v>193</v>
      </c>
      <c r="M62" s="7"/>
      <c r="N62" s="8" t="s">
        <v>192</v>
      </c>
      <c r="O62" s="8" t="s">
        <v>193</v>
      </c>
      <c r="P62" s="8" t="s">
        <v>192</v>
      </c>
      <c r="Q62" s="8" t="s">
        <v>193</v>
      </c>
      <c r="R62" s="8" t="s">
        <v>192</v>
      </c>
      <c r="S62" s="8" t="s">
        <v>193</v>
      </c>
      <c r="T62" s="8" t="s">
        <v>192</v>
      </c>
      <c r="U62" s="8" t="s">
        <v>193</v>
      </c>
    </row>
    <row r="63" spans="2:35" ht="15" customHeight="1">
      <c r="B63" s="138" t="s">
        <v>223</v>
      </c>
      <c r="C63" s="159">
        <f>$F$15+($C$22*$I31)+('Incremental Rev Req'!$F$87*$I31)</f>
        <v>135.17851562411644</v>
      </c>
      <c r="D63" s="159">
        <f>$F$15+($C$25*$J31)+('Incremental Rev Req'!$F$87*$J31)</f>
        <v>137.65352930465238</v>
      </c>
      <c r="E63" s="159">
        <f>$F$15+($D$22*$I31)+('Incremental Rev Req'!$F$87*$I31)</f>
        <v>135.57953667351208</v>
      </c>
      <c r="F63" s="159">
        <f>$F$15+($D$25*$J31)+('Incremental Rev Req'!$F$87*$J31)</f>
        <v>138.06346193292347</v>
      </c>
      <c r="G63" s="159">
        <f>$F$15+($E$22*$I31)+('Incremental Rev Req'!$F$87*$I31)</f>
        <v>134.07143531193421</v>
      </c>
      <c r="H63" s="159">
        <f>$F$15+($E$25*$J31)+('Incremental Rev Req'!$F$87*$J31)</f>
        <v>136.52184720775494</v>
      </c>
      <c r="I63" s="159">
        <f>$F$15+($F$22*$I31)+('Incremental Rev Req'!$F$87*$I31)</f>
        <v>150.11492758944306</v>
      </c>
      <c r="J63" s="159">
        <f>$F$15+($F$25*$J31)+('Incremental Rev Req'!$F$87*$J31)</f>
        <v>152.92186153587511</v>
      </c>
      <c r="M63" s="138" t="s">
        <v>223</v>
      </c>
      <c r="N63" s="159">
        <f>$F$15+($C$22*$L31)+('Incremental Rev Req'!$F$87*$L31)</f>
        <v>98.465812696166935</v>
      </c>
      <c r="O63" s="159">
        <f>$F$15+($C$25*$M31)+('Incremental Rev Req'!$F$87*$M31)</f>
        <v>132.70350194358053</v>
      </c>
      <c r="P63" s="159">
        <f>$F$15+($D$22*$L31)+('Incremental Rev Req'!$F$87*$L31)</f>
        <v>98.734645325576608</v>
      </c>
      <c r="Q63" s="159">
        <f>$F$15+($D$25*$M31)+('Incremental Rev Req'!$F$87*$M31)</f>
        <v>133.09561141410072</v>
      </c>
      <c r="R63" s="159">
        <f>$F$15+($E$22*$L31)+('Incremental Rev Req'!$F$87*$L31)</f>
        <v>97.723658857259579</v>
      </c>
      <c r="S63" s="159">
        <f>$F$15+($E$25*$M31)+('Incremental Rev Req'!$F$87*$M31)</f>
        <v>131.62102341611345</v>
      </c>
      <c r="T63" s="159">
        <f>$F$15+($F$22*$L31)+('Incremental Rev Req'!$F$87*$L31)</f>
        <v>108.47874071736736</v>
      </c>
      <c r="U63" s="159">
        <f>$F$15+($F$25*$M31)+('Incremental Rev Req'!$F$87*$M31)</f>
        <v>147.30799364301097</v>
      </c>
      <c r="X63" s="499"/>
      <c r="Y63" s="499"/>
      <c r="Z63" s="499"/>
      <c r="AA63" s="499"/>
      <c r="AB63" s="499"/>
      <c r="AC63" s="499"/>
      <c r="AD63" s="499"/>
      <c r="AE63" s="499"/>
      <c r="AF63" s="499"/>
      <c r="AG63" s="499"/>
      <c r="AH63" s="499"/>
      <c r="AI63" s="499"/>
    </row>
    <row r="64" spans="2:35" ht="15" customHeight="1">
      <c r="B64" s="141" t="s">
        <v>225</v>
      </c>
      <c r="C64" s="159">
        <f>$F$15+($C$22*$I32)+('Incremental Rev Req'!$F$87*$I32)</f>
        <v>192.10383027644261</v>
      </c>
      <c r="D64" s="159">
        <f>$F$15+($C$25*$J32)+('Incremental Rev Req'!$F$87*$J32)</f>
        <v>183.44128239456688</v>
      </c>
      <c r="E64" s="159">
        <f>$F$15+($D$22*$I32)+('Incremental Rev Req'!$F$87*$I32)</f>
        <v>192.70981763997378</v>
      </c>
      <c r="F64" s="159">
        <f>$F$15+($D$25*$J32)+('Incremental Rev Req'!$F$87*$J32)</f>
        <v>184.01607923203397</v>
      </c>
      <c r="G64" s="159">
        <f>$F$15+($E$22*$I32)+('Incremental Rev Req'!$F$87*$I32)</f>
        <v>190.43090891581164</v>
      </c>
      <c r="H64" s="159">
        <f>$F$15+($E$25*$J32)+('Incremental Rev Req'!$F$87*$J32)</f>
        <v>181.854467280439</v>
      </c>
      <c r="I64" s="159">
        <f>$F$15+($F$22*$I32)+('Incremental Rev Req'!$F$87*$I32)</f>
        <v>214.67440835738057</v>
      </c>
      <c r="J64" s="159">
        <f>$F$15+($F$25*$J32)+('Incremental Rev Req'!$F$87*$J32)</f>
        <v>204.85013954486837</v>
      </c>
      <c r="M64" s="141" t="s">
        <v>225</v>
      </c>
      <c r="N64" s="159">
        <f>$F$15+($C$22*$L32)+('Incremental Rev Req'!$F$87*$L32)</f>
        <v>211.90393972072997</v>
      </c>
      <c r="O64" s="159">
        <f>$F$15+($C$25*$M32)+('Incremental Rev Req'!$F$87*$M32)</f>
        <v>297.70441397930858</v>
      </c>
      <c r="P64" s="159">
        <f>$F$15+($D$22*$L32)+('Incremental Rev Req'!$F$87*$L32)</f>
        <v>212.58121971526481</v>
      </c>
      <c r="Q64" s="159">
        <f>$F$15+($D$25*$M32)+('Incremental Rev Req'!$F$87*$M32)</f>
        <v>298.69062870819266</v>
      </c>
      <c r="R64" s="159">
        <f>$F$15+($E$22*$L32)+('Incremental Rev Req'!$F$87*$L32)</f>
        <v>210.03420408237773</v>
      </c>
      <c r="S64" s="159">
        <f>$F$15+($E$25*$M32)+('Incremental Rev Req'!$F$87*$M32)</f>
        <v>294.98181647083072</v>
      </c>
      <c r="T64" s="159">
        <f>$F$15+($F$22*$L32)+('Incremental Rev Req'!$F$87*$L32)</f>
        <v>237.12987992883711</v>
      </c>
      <c r="U64" s="159">
        <f>$F$15+($F$25*$M32)+('Incremental Rev Req'!$F$87*$M32)</f>
        <v>334.43692340514883</v>
      </c>
      <c r="X64" s="499"/>
      <c r="Y64" s="499"/>
      <c r="Z64" s="499"/>
      <c r="AA64" s="499"/>
      <c r="AB64" s="499"/>
      <c r="AC64" s="499"/>
      <c r="AD64" s="499"/>
      <c r="AE64" s="499"/>
      <c r="AF64" s="499"/>
      <c r="AG64" s="499"/>
      <c r="AH64" s="499"/>
      <c r="AI64" s="499"/>
    </row>
    <row r="65" spans="2:35">
      <c r="B65" s="141" t="s">
        <v>222</v>
      </c>
      <c r="C65" s="159">
        <f>$F$15+($C$22*$I33)+('Incremental Rev Req'!$F$87*$I33)</f>
        <v>220.56648760260572</v>
      </c>
      <c r="D65" s="159">
        <f>$F$15+($C$25*$J33)+('Incremental Rev Req'!$F$87*$J33)</f>
        <v>158.69114558920768</v>
      </c>
      <c r="E65" s="159">
        <f>$F$15+($D$22*$I33)+('Incremental Rev Req'!$F$87*$I33)</f>
        <v>221.27495812320467</v>
      </c>
      <c r="F65" s="159">
        <f>$F$15+($D$25*$J33)+('Incremental Rev Req'!$F$87*$J33)</f>
        <v>159.17682663792016</v>
      </c>
      <c r="G65" s="159">
        <f>$F$15+($E$22*$I33)+('Incremental Rev Req'!$F$87*$I33)</f>
        <v>218.6106457177504</v>
      </c>
      <c r="H65" s="159">
        <f>$F$15+($E$25*$J33)+('Incremental Rev Req'!$F$87*$J33)</f>
        <v>157.35034832223138</v>
      </c>
      <c r="I65" s="159">
        <f>$F$15+($F$22*$I33)+('Incremental Rev Req'!$F$87*$I33)</f>
        <v>246.95414874134937</v>
      </c>
      <c r="J65" s="159">
        <f>$F$15+($F$25*$J33)+('Incremental Rev Req'!$F$87*$J33)</f>
        <v>176.78080008054766</v>
      </c>
      <c r="M65" s="141" t="s">
        <v>222</v>
      </c>
      <c r="N65" s="159">
        <f>$F$15+($C$22*$L33)+('Incremental Rev Req'!$F$87*$L33)</f>
        <v>233.76656056546395</v>
      </c>
      <c r="O65" s="159">
        <f>$F$15+($C$25*$M33)+('Incremental Rev Req'!$F$87*$M33)</f>
        <v>235.41656968582123</v>
      </c>
      <c r="P65" s="159">
        <f>$F$15+($D$22*$L33)+('Incremental Rev Req'!$F$87*$L33)</f>
        <v>234.52255950673199</v>
      </c>
      <c r="Q65" s="159">
        <f>$F$15+($D$25*$M33)+('Incremental Rev Req'!$F$87*$M33)</f>
        <v>236.17850967967294</v>
      </c>
      <c r="R65" s="159">
        <f>$F$15+($E$22*$L33)+('Incremental Rev Req'!$F$87*$L33)</f>
        <v>231.67950916212777</v>
      </c>
      <c r="S65" s="159">
        <f>$F$15+($E$25*$M33)+('Incremental Rev Req'!$F$87*$M33)</f>
        <v>233.31311709267496</v>
      </c>
      <c r="T65" s="159">
        <f>$F$15+($F$22*$L33)+('Incremental Rev Req'!$F$87*$L33)</f>
        <v>261.92446312232045</v>
      </c>
      <c r="U65" s="159">
        <f>$F$15+($F$25*$M33)+('Incremental Rev Req'!$F$87*$M33)</f>
        <v>263.79575241994178</v>
      </c>
      <c r="X65" s="499"/>
      <c r="Y65" s="499"/>
      <c r="Z65" s="499"/>
      <c r="AA65" s="499"/>
      <c r="AB65" s="499"/>
      <c r="AC65" s="499"/>
      <c r="AD65" s="499"/>
      <c r="AE65" s="499"/>
      <c r="AF65" s="499"/>
      <c r="AG65" s="499"/>
      <c r="AH65" s="499"/>
      <c r="AI65" s="499"/>
    </row>
    <row r="66" spans="2:35" s="10" customFormat="1" ht="18" customHeight="1">
      <c r="B66" s="144" t="s">
        <v>224</v>
      </c>
      <c r="C66" s="159">
        <f>$F$15+($C$22*$I34)+('Incremental Rev Req'!$F$87*$I34)</f>
        <v>152.50361138786789</v>
      </c>
      <c r="D66" s="159">
        <f>$F$15+($C$25*$J34)+('Incremental Rev Req'!$F$87*$J34)</f>
        <v>142.60355666572423</v>
      </c>
      <c r="E66" s="159">
        <f>$F$15+($D$22*$I34)+('Incremental Rev Req'!$F$87*$I34)</f>
        <v>152.96701348939175</v>
      </c>
      <c r="F66" s="159">
        <f>$F$15+($D$25*$J34)+('Incremental Rev Req'!$F$87*$J34)</f>
        <v>143.03131245174623</v>
      </c>
      <c r="G66" s="159">
        <f>$F$15+($E$22*$I34)+('Incremental Rev Req'!$F$87*$I34)</f>
        <v>151.22431858267953</v>
      </c>
      <c r="H66" s="159">
        <f>$F$15+($E$25*$J34)+('Incremental Rev Req'!$F$87*$J34)</f>
        <v>141.42267099939647</v>
      </c>
      <c r="I66" s="159">
        <f>$F$15+($F$22*$I34)+('Incremental Rev Req'!$F$87*$I34)</f>
        <v>169.76346521446752</v>
      </c>
      <c r="J66" s="159">
        <f>$F$15+($F$25*$J34)+('Incremental Rev Req'!$F$87*$J34)</f>
        <v>158.53572942873924</v>
      </c>
      <c r="M66" s="144" t="s">
        <v>224</v>
      </c>
      <c r="N66" s="159">
        <f>$F$15+($C$22*$L34)+('Incremental Rev Req'!$F$87*$L34)</f>
        <v>131.87849738340188</v>
      </c>
      <c r="O66" s="159">
        <f>$F$15+($C$25*$M34)+('Incremental Rev Req'!$F$87*$M34)</f>
        <v>174.36623223260187</v>
      </c>
      <c r="P66" s="159">
        <f>$F$15+($D$22*$L34)+('Incremental Rev Req'!$F$87*$L34)</f>
        <v>132.26763632763024</v>
      </c>
      <c r="Q66" s="159">
        <f>$F$15+($D$25*$M34)+('Incremental Rev Req'!$F$87*$M34)</f>
        <v>174.9083532808589</v>
      </c>
      <c r="R66" s="159">
        <f>$F$15+($E$22*$L34)+('Incremental Rev Req'!$F$87*$L34)</f>
        <v>130.80421945083984</v>
      </c>
      <c r="S66" s="159">
        <f>$F$15+($E$25*$M34)+('Incremental Rev Req'!$F$87*$M34)</f>
        <v>172.86962366242955</v>
      </c>
      <c r="T66" s="159">
        <f>$F$15+($F$22*$L34)+('Incremental Rev Req'!$F$87*$L34)</f>
        <v>146.37234899420028</v>
      </c>
      <c r="U66" s="159">
        <f>$F$15+($F$25*$M34)+('Incremental Rev Req'!$F$87*$M34)</f>
        <v>194.55804840795079</v>
      </c>
      <c r="X66" s="499"/>
      <c r="Y66" s="499"/>
      <c r="Z66" s="499"/>
      <c r="AA66" s="499"/>
      <c r="AB66" s="499"/>
      <c r="AC66" s="499"/>
      <c r="AD66" s="499"/>
      <c r="AE66" s="499"/>
      <c r="AF66" s="499"/>
      <c r="AG66" s="499"/>
      <c r="AH66" s="499"/>
      <c r="AI66" s="499"/>
    </row>
    <row r="67" spans="2:35">
      <c r="B67" s="6" t="s">
        <v>112</v>
      </c>
      <c r="C67" s="157">
        <f t="shared" ref="C67:J67" si="12">SUMPRODUCT(C63:C66,$U$22:$U$25)</f>
        <v>142.63973865410529</v>
      </c>
      <c r="D67" s="157">
        <f t="shared" si="12"/>
        <v>140.03051653975973</v>
      </c>
      <c r="E67" s="157">
        <f t="shared" si="12"/>
        <v>143.06762471764694</v>
      </c>
      <c r="F67" s="157">
        <f t="shared" si="12"/>
        <v>140.44900779111973</v>
      </c>
      <c r="G67" s="157">
        <f t="shared" si="12"/>
        <v>141.45849333663878</v>
      </c>
      <c r="H67" s="157">
        <f t="shared" si="12"/>
        <v>138.87520704690539</v>
      </c>
      <c r="I67" s="157">
        <f t="shared" si="12"/>
        <v>158.57676372775543</v>
      </c>
      <c r="J67" s="157">
        <f t="shared" si="12"/>
        <v>155.61762286153123</v>
      </c>
      <c r="M67" s="6" t="s">
        <v>112</v>
      </c>
      <c r="N67" s="157">
        <f>SUMPRODUCT(N63:N66,$U$31:$U$34)</f>
        <v>114.58930745887079</v>
      </c>
      <c r="O67" s="157">
        <f t="shared" ref="O67:U67" si="13">SUMPRODUCT(O63:O66,$U$31:$U$34)</f>
        <v>152.92390402236836</v>
      </c>
      <c r="P67" s="157">
        <f t="shared" si="13"/>
        <v>114.91619463418292</v>
      </c>
      <c r="Q67" s="157">
        <f t="shared" si="13"/>
        <v>153.38881943712863</v>
      </c>
      <c r="R67" s="157">
        <f t="shared" si="13"/>
        <v>113.68688511311535</v>
      </c>
      <c r="S67" s="157">
        <f t="shared" si="13"/>
        <v>151.64043348313646</v>
      </c>
      <c r="T67" s="157">
        <f t="shared" si="13"/>
        <v>126.76453248509343</v>
      </c>
      <c r="U67" s="157">
        <f t="shared" si="13"/>
        <v>170.24012264569402</v>
      </c>
      <c r="X67" s="499"/>
      <c r="Y67" s="499"/>
      <c r="Z67" s="499"/>
      <c r="AA67" s="499"/>
      <c r="AB67" s="499"/>
      <c r="AC67" s="499"/>
      <c r="AD67" s="499"/>
      <c r="AE67" s="499"/>
      <c r="AF67" s="499"/>
      <c r="AG67" s="499"/>
      <c r="AH67" s="499"/>
      <c r="AI67" s="499"/>
    </row>
    <row r="68" spans="2:35">
      <c r="B68" s="7"/>
      <c r="C68" s="143"/>
      <c r="D68" s="143"/>
      <c r="E68" s="158"/>
      <c r="F68" s="146"/>
      <c r="G68" s="147"/>
      <c r="H68" s="147"/>
      <c r="I68" s="147"/>
      <c r="J68" s="147"/>
      <c r="M68" s="7"/>
      <c r="N68" s="143"/>
      <c r="O68" s="143"/>
      <c r="P68" s="158"/>
      <c r="Q68" s="146"/>
      <c r="R68" s="147"/>
      <c r="S68" s="147"/>
      <c r="T68" s="147"/>
      <c r="U68" s="147"/>
    </row>
    <row r="69" spans="2:35">
      <c r="B69" s="7"/>
      <c r="C69" s="143"/>
      <c r="D69" s="143"/>
      <c r="E69" s="158"/>
      <c r="F69" s="143"/>
      <c r="G69" s="147"/>
      <c r="H69" s="147"/>
      <c r="I69" s="147"/>
      <c r="J69" s="147"/>
      <c r="M69" s="7"/>
      <c r="N69" s="143"/>
      <c r="O69" s="143"/>
      <c r="P69" s="158"/>
      <c r="Q69" s="143"/>
      <c r="R69" s="147"/>
      <c r="S69" s="147"/>
      <c r="T69" s="147"/>
      <c r="U69" s="147"/>
    </row>
    <row r="70" spans="2:35">
      <c r="B70" s="7"/>
      <c r="C70" s="865" t="s">
        <v>285</v>
      </c>
      <c r="D70" s="865"/>
      <c r="E70" s="865"/>
      <c r="F70" s="865"/>
      <c r="G70" s="865"/>
      <c r="H70" s="865"/>
      <c r="I70" s="865"/>
      <c r="J70" s="865"/>
      <c r="M70" s="7"/>
      <c r="N70" s="865" t="s">
        <v>274</v>
      </c>
      <c r="O70" s="865"/>
      <c r="P70" s="865"/>
      <c r="Q70" s="865"/>
      <c r="R70" s="865"/>
      <c r="S70" s="865"/>
      <c r="T70" s="865"/>
      <c r="U70" s="865"/>
      <c r="AD70" s="10"/>
      <c r="AE70" s="10"/>
    </row>
    <row r="71" spans="2:35">
      <c r="B71" s="7"/>
      <c r="C71" s="863" t="str">
        <f>C61</f>
        <v>6/1/2026</v>
      </c>
      <c r="D71" s="863"/>
      <c r="E71" s="864" t="str">
        <f>E61</f>
        <v>8/1/2026</v>
      </c>
      <c r="F71" s="863"/>
      <c r="G71" s="863" t="str">
        <f>G61</f>
        <v>Authorized</v>
      </c>
      <c r="H71" s="863"/>
      <c r="I71" s="864" t="str">
        <f>I61</f>
        <v>w/Pending</v>
      </c>
      <c r="J71" s="863"/>
      <c r="M71" s="7"/>
      <c r="N71" s="863" t="str">
        <f>N61</f>
        <v>6/1/2026</v>
      </c>
      <c r="O71" s="863"/>
      <c r="P71" s="864" t="str">
        <f>P61</f>
        <v>8/1/2026</v>
      </c>
      <c r="Q71" s="863"/>
      <c r="R71" s="863" t="str">
        <f>R61</f>
        <v>Authorized</v>
      </c>
      <c r="S71" s="863"/>
      <c r="T71" s="864" t="str">
        <f>T61</f>
        <v>w/Pending</v>
      </c>
      <c r="U71" s="863"/>
      <c r="AB71" s="10"/>
      <c r="AC71" s="10"/>
    </row>
    <row r="72" spans="2:35">
      <c r="B72" s="7"/>
      <c r="C72" s="143" t="s">
        <v>192</v>
      </c>
      <c r="D72" s="143" t="s">
        <v>193</v>
      </c>
      <c r="E72" s="143" t="s">
        <v>192</v>
      </c>
      <c r="F72" s="143" t="s">
        <v>193</v>
      </c>
      <c r="G72" s="143" t="s">
        <v>192</v>
      </c>
      <c r="H72" s="143" t="s">
        <v>193</v>
      </c>
      <c r="I72" s="143" t="s">
        <v>192</v>
      </c>
      <c r="J72" s="143" t="s">
        <v>193</v>
      </c>
      <c r="M72" s="7"/>
      <c r="N72" s="143" t="s">
        <v>192</v>
      </c>
      <c r="O72" s="143" t="s">
        <v>193</v>
      </c>
      <c r="P72" s="143" t="s">
        <v>192</v>
      </c>
      <c r="Q72" s="143" t="s">
        <v>193</v>
      </c>
      <c r="R72" s="143" t="s">
        <v>192</v>
      </c>
      <c r="S72" s="143" t="s">
        <v>193</v>
      </c>
      <c r="T72" s="143" t="s">
        <v>192</v>
      </c>
      <c r="U72" s="143" t="s">
        <v>193</v>
      </c>
    </row>
    <row r="73" spans="2:35">
      <c r="B73" s="138" t="s">
        <v>223</v>
      </c>
      <c r="C73" s="159">
        <f>$Q$15+($C$31*$I31)+('Incremental Rev Req'!$F$87*$I31)</f>
        <v>75.849299999999999</v>
      </c>
      <c r="D73" s="159">
        <f>$Q$15+($C$34*$J31)+('Incremental Rev Req'!$F$87*$J31)</f>
        <v>77.403419999999997</v>
      </c>
      <c r="E73" s="159">
        <f>$Q$15+($D$31*$I31)+('Incremental Rev Req'!$F$87*$I31)</f>
        <v>76.111199999999997</v>
      </c>
      <c r="F73" s="159">
        <f>$Q$15+($D$34*$J31)+('Incremental Rev Req'!$F$87*$J31)</f>
        <v>77.671139999999994</v>
      </c>
      <c r="G73" s="159">
        <f>$Q$15+($E$31*$I31)+('Incremental Rev Req'!$F$87*$I31)</f>
        <v>75.165449509379044</v>
      </c>
      <c r="H73" s="159">
        <f>$Q$15+($E$34*$J31)+('Incremental Rev Req'!$F$87*$J31)</f>
        <v>76.704372831809678</v>
      </c>
      <c r="I73" s="159">
        <f>$Q$15+($F$31*$I31)+('Incremental Rev Req'!$F$87*$I31)</f>
        <v>85.226537629379195</v>
      </c>
      <c r="J73" s="159">
        <f>$Q$15+($F$34*$J31)+('Incremental Rev Req'!$F$87*$J31)</f>
        <v>86.989040687809833</v>
      </c>
      <c r="M73" s="138" t="s">
        <v>223</v>
      </c>
      <c r="N73" s="159">
        <f>$Q$15+($C$31*$L31)+('Incremental Rev Req'!$F$87*$L31)</f>
        <v>52.796520000000001</v>
      </c>
      <c r="O73" s="159">
        <f>$Q$15+($C$34*$M31)+('Incremental Rev Req'!$F$87*$M31)</f>
        <v>74.295180000000002</v>
      </c>
      <c r="P73" s="159">
        <f>$Q$15+($D$31*$L31)+('Incremental Rev Req'!$F$87*$L31)</f>
        <v>52.972089999999994</v>
      </c>
      <c r="Q73" s="159">
        <f>$Q$15+($D$34*$M31)+('Incremental Rev Req'!$F$87*$M31)</f>
        <v>74.551259999999999</v>
      </c>
      <c r="R73" s="159">
        <f>$Q$15+($E$31*$L31)+('Incremental Rev Req'!$F$87*$L31)</f>
        <v>52.338086893324466</v>
      </c>
      <c r="S73" s="159">
        <f>$Q$15+($E$34*$M31)+('Incremental Rev Req'!$F$87*$M31)</f>
        <v>73.626526186948396</v>
      </c>
      <c r="T73" s="159">
        <f>$Q$15+($F$31*$L31)+('Incremental Rev Req'!$F$87*$L31)</f>
        <v>59.082742262657902</v>
      </c>
      <c r="U73" s="159">
        <f>$Q$15+($F$34*$M31)+('Incremental Rev Req'!$F$87*$M31)</f>
        <v>83.464034570948542</v>
      </c>
      <c r="X73" s="499"/>
      <c r="Y73" s="499"/>
      <c r="Z73" s="499"/>
      <c r="AA73" s="499"/>
      <c r="AB73" s="499"/>
      <c r="AC73" s="499"/>
      <c r="AD73" s="499"/>
      <c r="AE73" s="499"/>
      <c r="AF73" s="499"/>
      <c r="AG73" s="499"/>
      <c r="AH73" s="499"/>
      <c r="AI73" s="499"/>
    </row>
    <row r="74" spans="2:35">
      <c r="B74" s="141" t="s">
        <v>225</v>
      </c>
      <c r="C74" s="159">
        <f>$Q$15+($C$31*$I32)+('Incremental Rev Req'!$F$87*$I32)</f>
        <v>111.59406000000001</v>
      </c>
      <c r="D74" s="159">
        <f>$Q$15+($C$34*$J32)+('Incremental Rev Req'!$F$87*$J32)</f>
        <v>106.15464000000001</v>
      </c>
      <c r="E74" s="159">
        <f>$Q$15+($D$31*$I32)+('Incremental Rev Req'!$F$87*$I32)</f>
        <v>111.98981999999999</v>
      </c>
      <c r="F74" s="159">
        <f>$Q$15+($D$34*$J32)+('Incremental Rev Req'!$F$87*$J32)</f>
        <v>106.53003</v>
      </c>
      <c r="G74" s="159">
        <f>$Q$15+($E$31*$I32)+('Incremental Rev Req'!$F$87*$I32)</f>
        <v>110.56068592528389</v>
      </c>
      <c r="H74" s="159">
        <f>$Q$15+($E$34*$J32)+('Incremental Rev Req'!$F$87*$J32)</f>
        <v>105.17445429677663</v>
      </c>
      <c r="I74" s="159">
        <f>$Q$15+($F$31*$I32)+('Incremental Rev Req'!$F$87*$I32)</f>
        <v>125.76410797328411</v>
      </c>
      <c r="J74" s="159">
        <f>$Q$15+($F$34*$J32)+('Incremental Rev Req'!$F$87*$J32)</f>
        <v>119.59534726877685</v>
      </c>
      <c r="M74" s="141" t="s">
        <v>225</v>
      </c>
      <c r="N74" s="159">
        <f>$Q$15+($C$31*$L32)+('Incremental Rev Req'!$F$87*$L32)</f>
        <v>124.02702000000001</v>
      </c>
      <c r="O74" s="159">
        <f>$Q$15+($C$34*$M32)+('Incremental Rev Req'!$F$87*$M32)</f>
        <v>177.90318000000002</v>
      </c>
      <c r="P74" s="159">
        <f>$Q$15+($D$31*$L32)+('Incremental Rev Req'!$F$87*$L32)</f>
        <v>124.46934</v>
      </c>
      <c r="Q74" s="159">
        <f>$Q$15+($D$34*$M32)+('Incremental Rev Req'!$F$87*$M32)</f>
        <v>178.54725999999999</v>
      </c>
      <c r="R74" s="159">
        <f>$Q$15+($E$31*$L32)+('Incremental Rev Req'!$F$87*$L32)</f>
        <v>122.87207250472906</v>
      </c>
      <c r="S74" s="159">
        <f>$Q$15+($E$34*$M32)+('Incremental Rev Req'!$F$87*$M32)</f>
        <v>176.22141434899143</v>
      </c>
      <c r="T74" s="159">
        <f>$Q$15+($F$31*$L32)+('Incremental Rev Req'!$F$87*$L32)</f>
        <v>139.86413244072932</v>
      </c>
      <c r="U74" s="159">
        <f>$Q$15+($F$34*$M32)+('Incremental Rev Req'!$F$87*$M32)</f>
        <v>200.96423846632513</v>
      </c>
      <c r="X74" s="499"/>
      <c r="Y74" s="499"/>
      <c r="Z74" s="499"/>
      <c r="AA74" s="499"/>
      <c r="AB74" s="499"/>
      <c r="AC74" s="499"/>
      <c r="AD74" s="499"/>
      <c r="AE74" s="499"/>
      <c r="AF74" s="499"/>
      <c r="AG74" s="499"/>
      <c r="AH74" s="499"/>
      <c r="AI74" s="499"/>
    </row>
    <row r="75" spans="2:35">
      <c r="B75" s="141" t="s">
        <v>222</v>
      </c>
      <c r="C75" s="159">
        <f>$Q$15+($C$31*$I33)+('Incremental Rev Req'!$F$87*$I33)</f>
        <v>129.46644000000003</v>
      </c>
      <c r="D75" s="159">
        <f>$Q$15+($C$34*$J33)+('Incremental Rev Req'!$F$87*$J33)</f>
        <v>90.613440000000011</v>
      </c>
      <c r="E75" s="159">
        <f>$Q$15+($D$31*$I33)+('Incremental Rev Req'!$F$87*$I33)</f>
        <v>129.92913000000001</v>
      </c>
      <c r="F75" s="159">
        <f>$Q$15+($D$34*$J33)+('Incremental Rev Req'!$F$87*$J33)</f>
        <v>90.930629999999994</v>
      </c>
      <c r="G75" s="159">
        <f>$Q$15+($E$31*$I33)+('Incremental Rev Req'!$F$87*$I33)</f>
        <v>128.25830413323629</v>
      </c>
      <c r="H75" s="159">
        <f>$Q$15+($E$34*$J33)+('Incremental Rev Req'!$F$87*$J33)</f>
        <v>89.785221072470179</v>
      </c>
      <c r="I75" s="159">
        <f>$Q$15+($F$31*$I33)+('Incremental Rev Req'!$F$87*$I33)</f>
        <v>146.03289314523659</v>
      </c>
      <c r="J75" s="159">
        <f>$Q$15+($F$34*$J33)+('Incremental Rev Req'!$F$87*$J33)</f>
        <v>101.97031668447036</v>
      </c>
      <c r="M75" s="141" t="s">
        <v>222</v>
      </c>
      <c r="N75" s="159">
        <f>$Q$15+($C$31*$L33)+('Incremental Rev Req'!$F$87*$L33)</f>
        <v>137.75508000000002</v>
      </c>
      <c r="O75" s="159">
        <f>$Q$15+($C$34*$M33)+('Incremental Rev Req'!$F$87*$M33)</f>
        <v>138.79116000000002</v>
      </c>
      <c r="P75" s="159">
        <f>$Q$15+($D$31*$L33)+('Incremental Rev Req'!$F$87*$L33)</f>
        <v>138.24880999999999</v>
      </c>
      <c r="Q75" s="159">
        <f>$Q$15+($D$34*$M33)+('Incremental Rev Req'!$F$87*$M33)</f>
        <v>139.28877000000003</v>
      </c>
      <c r="R75" s="159">
        <f>$Q$15+($E$31*$L33)+('Incremental Rev Req'!$F$87*$L33)</f>
        <v>136.46589518619976</v>
      </c>
      <c r="S75" s="159">
        <f>$Q$15+($E$34*$M33)+('Incremental Rev Req'!$F$87*$M33)</f>
        <v>137.49184406782021</v>
      </c>
      <c r="T75" s="159">
        <f>$Q$15+($F$31*$L33)+('Incremental Rev Req'!$F$87*$L33)</f>
        <v>155.4329094568667</v>
      </c>
      <c r="U75" s="159">
        <f>$Q$15+($F$34*$M33)+('Incremental Rev Req'!$F$87*$M33)</f>
        <v>156.6079114958205</v>
      </c>
      <c r="X75" s="499"/>
      <c r="Y75" s="499"/>
      <c r="Z75" s="499"/>
      <c r="AA75" s="499"/>
      <c r="AB75" s="499"/>
      <c r="AC75" s="499"/>
      <c r="AD75" s="499"/>
      <c r="AE75" s="499"/>
      <c r="AF75" s="499"/>
      <c r="AG75" s="499"/>
      <c r="AH75" s="499"/>
      <c r="AI75" s="499"/>
    </row>
    <row r="76" spans="2:35">
      <c r="B76" s="144" t="s">
        <v>224</v>
      </c>
      <c r="C76" s="159">
        <f>$Q$15+($C$31*$I34)+('Incremental Rev Req'!$F$87*$I34)</f>
        <v>86.72814000000001</v>
      </c>
      <c r="D76" s="159">
        <f>$Q$15+($C$34*$J34)+('Incremental Rev Req'!$F$87*$J34)</f>
        <v>80.511660000000006</v>
      </c>
      <c r="E76" s="159">
        <f>$Q$15+($D$31*$I34)+('Incremental Rev Req'!$F$87*$I34)</f>
        <v>87.030779999999993</v>
      </c>
      <c r="F76" s="159">
        <f>$Q$15+($D$34*$J34)+('Incremental Rev Req'!$F$87*$J34)</f>
        <v>80.791019999999989</v>
      </c>
      <c r="G76" s="159">
        <f>$Q$15+($E$31*$I34)+('Incremental Rev Req'!$F$87*$I34)</f>
        <v>85.937912766393552</v>
      </c>
      <c r="H76" s="159">
        <f>$Q$15+($E$34*$J34)+('Incremental Rev Req'!$F$87*$J34)</f>
        <v>79.782219476670974</v>
      </c>
      <c r="I76" s="159">
        <f>$Q$15+($F$31*$I34)+('Incremental Rev Req'!$F$87*$I34)</f>
        <v>97.564059038393737</v>
      </c>
      <c r="J76" s="159">
        <f>$Q$15+($F$34*$J34)+('Incremental Rev Req'!$F$87*$J34)</f>
        <v>90.514046804671139</v>
      </c>
      <c r="M76" s="144" t="s">
        <v>224</v>
      </c>
      <c r="N76" s="159">
        <f>$Q$15+($C$31*$L34)+('Incremental Rev Req'!$F$87*$L34)</f>
        <v>73.777140000000003</v>
      </c>
      <c r="O76" s="159">
        <f>$Q$15+($C$34*$M34)+('Incremental Rev Req'!$F$87*$M34)</f>
        <v>100.45620000000001</v>
      </c>
      <c r="P76" s="159">
        <f>$Q$15+($D$31*$L34)+('Incremental Rev Req'!$F$87*$L34)</f>
        <v>74.031279999999995</v>
      </c>
      <c r="Q76" s="159">
        <f>$Q$15+($D$34*$M34)+('Incremental Rev Req'!$F$87*$M34)</f>
        <v>100.81025</v>
      </c>
      <c r="R76" s="159">
        <f>$Q$15+($E$31*$L34)+('Incremental Rev Req'!$F$87*$L34)</f>
        <v>73.113551746138185</v>
      </c>
      <c r="S76" s="159">
        <f>$Q$15+($E$34*$M34)+('Incremental Rev Req'!$F$87*$M34)</f>
        <v>99.531735447864264</v>
      </c>
      <c r="T76" s="159">
        <f>$Q$15+($F$31*$L34)+('Incremental Rev Req'!$F$87*$L34)</f>
        <v>82.876533551471667</v>
      </c>
      <c r="U76" s="159">
        <f>$Q$15+($F$34*$M34)+('Incremental Rev Req'!$F$87*$M34)</f>
        <v>113.13283605453113</v>
      </c>
      <c r="X76" s="499"/>
      <c r="Y76" s="499"/>
      <c r="Z76" s="499"/>
      <c r="AA76" s="499"/>
      <c r="AB76" s="499"/>
      <c r="AC76" s="499"/>
      <c r="AD76" s="499"/>
      <c r="AE76" s="499"/>
      <c r="AF76" s="499"/>
      <c r="AG76" s="499"/>
      <c r="AH76" s="499"/>
      <c r="AI76" s="499"/>
    </row>
    <row r="77" spans="2:35">
      <c r="B77" s="6" t="s">
        <v>112</v>
      </c>
      <c r="C77" s="157">
        <f>SUMPRODUCT(C73:C76,$V$22:$V$25)</f>
        <v>81.547415617603818</v>
      </c>
      <c r="D77" s="157">
        <f t="shared" ref="D77:J77" si="14">SUMPRODUCT(D73:D76,$V$22:$V$25)</f>
        <v>79.175501331034837</v>
      </c>
      <c r="E77" s="157">
        <f t="shared" si="14"/>
        <v>81.830654402829168</v>
      </c>
      <c r="F77" s="157">
        <f t="shared" si="14"/>
        <v>79.449857571059169</v>
      </c>
      <c r="G77" s="157">
        <f t="shared" si="14"/>
        <v>80.807847147809028</v>
      </c>
      <c r="H77" s="157">
        <f t="shared" si="14"/>
        <v>78.459126190349195</v>
      </c>
      <c r="I77" s="157">
        <f t="shared" si="14"/>
        <v>91.688680966649272</v>
      </c>
      <c r="J77" s="157">
        <f t="shared" si="14"/>
        <v>88.998730265021862</v>
      </c>
      <c r="M77" s="6" t="s">
        <v>112</v>
      </c>
      <c r="N77" s="157">
        <f>SUMPRODUCT(N73:N76,$V$31:$V$34)</f>
        <v>65.334513582672599</v>
      </c>
      <c r="O77" s="157">
        <f t="shared" ref="O77:U77" si="15">SUMPRODUCT(O73:O76,$V$31:$V$34)</f>
        <v>89.987294819680528</v>
      </c>
      <c r="P77" s="157">
        <f t="shared" si="15"/>
        <v>65.557036921315131</v>
      </c>
      <c r="Q77" s="157">
        <f t="shared" si="15"/>
        <v>90.302139978259362</v>
      </c>
      <c r="R77" s="157">
        <f t="shared" si="15"/>
        <v>64.753480003805393</v>
      </c>
      <c r="S77" s="157">
        <f t="shared" si="15"/>
        <v>89.165198538031916</v>
      </c>
      <c r="T77" s="157">
        <f t="shared" si="15"/>
        <v>73.301883664894731</v>
      </c>
      <c r="U77" s="157">
        <f t="shared" si="15"/>
        <v>101.26021527960155</v>
      </c>
      <c r="X77" s="499"/>
      <c r="Y77" s="499"/>
      <c r="Z77" s="499"/>
      <c r="AA77" s="499"/>
      <c r="AB77" s="499"/>
      <c r="AC77" s="499"/>
      <c r="AD77" s="499"/>
      <c r="AE77" s="499"/>
      <c r="AF77" s="499"/>
      <c r="AG77" s="499"/>
      <c r="AH77" s="499"/>
      <c r="AI77" s="499"/>
    </row>
    <row r="78" spans="2:35">
      <c r="B78" s="7"/>
      <c r="C78" s="8"/>
      <c r="D78" s="8"/>
      <c r="E78" s="9"/>
      <c r="F78" s="8"/>
      <c r="G78" s="147"/>
      <c r="H78" s="147"/>
      <c r="I78" s="147"/>
      <c r="J78" s="147"/>
      <c r="M78" s="7"/>
      <c r="N78" s="8"/>
      <c r="O78" s="8"/>
      <c r="P78" s="9"/>
      <c r="Q78" s="8"/>
      <c r="R78" s="147"/>
      <c r="S78" s="147"/>
      <c r="T78" s="147"/>
      <c r="U78" s="147"/>
    </row>
    <row r="79" spans="2:35" ht="15.75" thickBot="1"/>
    <row r="80" spans="2:35" ht="15.75" thickBot="1">
      <c r="B80" s="755">
        <f>IF(Summary!$I$9="",400,Summary!$I$9)</f>
        <v>400</v>
      </c>
      <c r="C80" s="865" t="str">
        <f>$B$80&amp;" kWh Monthly Basic Bundled Non-CARE Customer"</f>
        <v>400 kWh Monthly Basic Bundled Non-CARE Customer</v>
      </c>
      <c r="D80" s="865"/>
      <c r="E80" s="865"/>
      <c r="F80" s="865"/>
      <c r="G80" s="865"/>
      <c r="H80" s="865"/>
      <c r="I80" s="865"/>
      <c r="J80" s="865"/>
      <c r="M80" s="755">
        <f>IF(Summary!$I$9="",400,Summary!$I$9)</f>
        <v>400</v>
      </c>
      <c r="N80" s="865" t="str">
        <f>$M$80&amp;" kWh Monthly All-Electric Bundled Non-CARE Customer"</f>
        <v>400 kWh Monthly All-Electric Bundled Non-CARE Customer</v>
      </c>
      <c r="O80" s="865"/>
      <c r="P80" s="865"/>
      <c r="Q80" s="865"/>
      <c r="R80" s="865"/>
      <c r="S80" s="865"/>
      <c r="T80" s="865"/>
      <c r="U80" s="865"/>
    </row>
    <row r="81" spans="2:35">
      <c r="B81" s="7"/>
      <c r="C81" s="862" t="str">
        <f>C71</f>
        <v>6/1/2026</v>
      </c>
      <c r="D81" s="862"/>
      <c r="E81" s="861" t="str">
        <f>E71</f>
        <v>8/1/2026</v>
      </c>
      <c r="F81" s="862"/>
      <c r="G81" s="862" t="str">
        <f>G71</f>
        <v>Authorized</v>
      </c>
      <c r="H81" s="862"/>
      <c r="I81" s="861" t="str">
        <f>I71</f>
        <v>w/Pending</v>
      </c>
      <c r="J81" s="862"/>
      <c r="M81" s="7"/>
      <c r="N81" s="862" t="str">
        <f>N71</f>
        <v>6/1/2026</v>
      </c>
      <c r="O81" s="862"/>
      <c r="P81" s="861" t="str">
        <f>P71</f>
        <v>8/1/2026</v>
      </c>
      <c r="Q81" s="862"/>
      <c r="R81" s="862" t="str">
        <f>R71</f>
        <v>Authorized</v>
      </c>
      <c r="S81" s="862"/>
      <c r="T81" s="861" t="str">
        <f>T71</f>
        <v>w/Pending</v>
      </c>
      <c r="U81" s="862"/>
    </row>
    <row r="82" spans="2:35">
      <c r="B82" s="7"/>
      <c r="C82" s="8" t="s">
        <v>192</v>
      </c>
      <c r="D82" s="8" t="s">
        <v>193</v>
      </c>
      <c r="E82" s="8" t="s">
        <v>192</v>
      </c>
      <c r="F82" s="8" t="s">
        <v>193</v>
      </c>
      <c r="G82" s="8" t="s">
        <v>192</v>
      </c>
      <c r="H82" s="8" t="s">
        <v>193</v>
      </c>
      <c r="I82" s="8" t="s">
        <v>192</v>
      </c>
      <c r="J82" s="8" t="s">
        <v>193</v>
      </c>
      <c r="M82" s="7"/>
      <c r="N82" s="8" t="s">
        <v>192</v>
      </c>
      <c r="O82" s="8" t="s">
        <v>193</v>
      </c>
      <c r="P82" s="8" t="s">
        <v>192</v>
      </c>
      <c r="Q82" s="8" t="s">
        <v>193</v>
      </c>
      <c r="R82" s="8" t="s">
        <v>192</v>
      </c>
      <c r="S82" s="8" t="s">
        <v>193</v>
      </c>
      <c r="T82" s="8" t="s">
        <v>192</v>
      </c>
      <c r="U82" s="8" t="s">
        <v>193</v>
      </c>
    </row>
    <row r="83" spans="2:35">
      <c r="B83" s="138" t="s">
        <v>223</v>
      </c>
      <c r="C83" s="159">
        <f>$F$15+$C$22*MIN(I22,$B$80)+IF($B$80-I22&gt;0,$C$23*($B$80-I22))+('Incremental Rev Req'!$F$87*$B$80)</f>
        <v>194.02869398118</v>
      </c>
      <c r="D83" s="159">
        <f>$F$15+$C$25*MIN(J22,$B$80)+IF($B$80-J22&gt;0,$C$26*($B$80-J22))+('Incremental Rev Req'!$F$87*$B$80)</f>
        <v>193.17565203090214</v>
      </c>
      <c r="E83" s="159">
        <f>$F$15+$D$22*MIN(I22,$B$80)+IF($B$80-I22&gt;0,$D$23*($B$80-I22))+('Incremental Rev Req'!$F$87*$B$80)</f>
        <v>194.64165776104136</v>
      </c>
      <c r="F83" s="159">
        <f>$F$15+$D$25*MIN(J22,$B$80)+IF($B$80-J22&gt;0,$D$26*($B$80-J22))+('Incremental Rev Req'!$F$87*$B$80)</f>
        <v>193.78553686847818</v>
      </c>
      <c r="G83" s="159">
        <f>$F$15+$E$22*MIN(I22,$B$80)+IF($B$80-I22&gt;0,$E$23*($B$80-I22))+('Incremental Rev Req'!$F$87*$B$80)</f>
        <v>192.33651314980469</v>
      </c>
      <c r="H83" s="159">
        <f>$F$15+$E$25*MIN(J22,$B$80)+IF($B$80-J22&gt;0,$E$26*($B$80-J22))+('Incremental Rev Req'!$F$87*$B$80)</f>
        <v>191.49197109346389</v>
      </c>
      <c r="I83" s="159">
        <f>$F$15+$F$22*MIN(I22,$B$80)+IF($B$80-I22&gt;0,$F$23*($B$80-I22))+('Incremental Rev Req'!$F$87*$B$80)</f>
        <v>216.85911535090776</v>
      </c>
      <c r="J83" s="159">
        <f>$F$15+$F$25*MIN(J22,$B$80)+IF($B$80-J22&gt;0,$F$26*($B$80-J22))+('Incremental Rev Req'!$F$87*$B$80)</f>
        <v>215.89139525478205</v>
      </c>
      <c r="M83" s="138" t="s">
        <v>223</v>
      </c>
      <c r="N83" s="159">
        <f>$F$15+$C$22*MIN($L22,$M$80)+IF($M$80-$L22&gt;0,$C$23*($M$80-$L22))+('Incremental Rev Req'!$F$87*$M$80)</f>
        <v>206.39780226020909</v>
      </c>
      <c r="O83" s="159">
        <f>$F$15+$C$25*MIN($M22,$M$80)+IF($M$80-$M22&gt;0,$C$26*($M$80-$M22))+('Incremental Rev Req'!$F$87*$M$80)</f>
        <v>194.88173593145788</v>
      </c>
      <c r="P83" s="159">
        <f>$F$15+$D$22*MIN($L22,$M$80)+IF($M$80-$L22&gt;0,$D$23*($M$80-$L22))+('Incremental Rev Req'!$F$87*$M$80)</f>
        <v>207.05541070320723</v>
      </c>
      <c r="Q83" s="159">
        <f>$F$15+$D$25*MIN($M22,$M$80)+IF($M$80-$M22&gt;0,$D$26*($M$80-$M22))+('Incremental Rev Req'!$F$87*$M$80)</f>
        <v>195.49777865360451</v>
      </c>
      <c r="R83" s="159">
        <f>$F$15+$E$22*MIN($L22,$M$80)+IF($M$80-$L22&gt;0,$E$23*($M$80-$L22))+('Incremental Rev Req'!$F$87*$M$80)</f>
        <v>204.58237296674622</v>
      </c>
      <c r="S83" s="159">
        <f>$F$15+$E$25*MIN($M22,$M$80)+IF($M$80-$M22&gt;0,$E$26*($M$80-$M22))+('Incremental Rev Req'!$F$87*$M$80)</f>
        <v>193.18105520614549</v>
      </c>
      <c r="T83" s="159">
        <f>$F$15+$F$22*MIN($L22,$M$80)+IF($M$80-$L22&gt;0,$F$23*($M$80-$L22))+('Incremental Rev Req'!$F$87*$M$80)</f>
        <v>230.89105674473049</v>
      </c>
      <c r="U83" s="159">
        <f>$F$15+$F$25*MIN($M22,$M$80)+IF($M$80-$M22&gt;0,$F$26*($M$80-$M22))+('Incremental Rev Req'!$F$87*$M$80)</f>
        <v>217.82683544703349</v>
      </c>
      <c r="X83" s="499"/>
      <c r="Y83" s="499"/>
      <c r="Z83" s="499"/>
      <c r="AA83" s="499"/>
      <c r="AB83" s="499"/>
      <c r="AC83" s="499"/>
      <c r="AD83" s="499"/>
      <c r="AE83" s="499"/>
      <c r="AF83" s="499"/>
      <c r="AG83" s="499"/>
      <c r="AH83" s="499"/>
      <c r="AI83" s="499"/>
    </row>
    <row r="84" spans="2:35">
      <c r="B84" s="141" t="s">
        <v>225</v>
      </c>
      <c r="C84" s="159">
        <f>$F$15+$C$22*MIN(I23,$B$80)+IF($B$80-I23&gt;0,$C$23*($B$80-I23))+('Incremental Rev Req'!$F$87*$B$80)</f>
        <v>188.80381203572807</v>
      </c>
      <c r="D84" s="159">
        <f>$F$15+$C$25*MIN(J23,$B$80)+IF($B$80-J23&gt;0,$C$26*($B$80-J23))+('Incremental Rev Req'!$F$87*$B$80)</f>
        <v>188.80381203572807</v>
      </c>
      <c r="E84" s="159">
        <f>$F$15+$D$22*MIN(I23,$B$80)+IF($B$80-I23&gt;0,$D$23*($B$80-I23))+('Incremental Rev Req'!$F$87*$B$80)</f>
        <v>189.39791729409197</v>
      </c>
      <c r="F84" s="159">
        <f>$F$15+$D$25*MIN(J23,$B$80)+IF($B$80-J23&gt;0,$D$26*($B$80-J23))+('Incremental Rev Req'!$F$87*$B$80)</f>
        <v>189.39791729409197</v>
      </c>
      <c r="G84" s="159">
        <f>$F$15+$E$22*MIN(I23,$B$80)+IF($B$80-I23&gt;0,$E$23*($B$80-I23))+('Incremental Rev Req'!$F$87*$B$80)</f>
        <v>187.1636930547173</v>
      </c>
      <c r="H84" s="159">
        <f>$F$15+$E$25*MIN(J23,$B$80)+IF($B$80-J23&gt;0,$E$26*($B$80-J23))+('Incremental Rev Req'!$F$87*$B$80)</f>
        <v>187.1636930547173</v>
      </c>
      <c r="I84" s="159">
        <f>$F$15+$F$22*MIN(I23,$B$80)+IF($B$80-I23&gt;0,$F$23*($B$80-I23))+('Incremental Rev Req'!$F$87*$B$80)</f>
        <v>210.93182976213785</v>
      </c>
      <c r="J84" s="159">
        <f>$F$15+$F$25*MIN(J23,$B$80)+IF($B$80-J23&gt;0,$F$26*($B$80-J23))+('Incremental Rev Req'!$F$87*$B$80)</f>
        <v>210.93182976213785</v>
      </c>
      <c r="M84" s="141" t="s">
        <v>225</v>
      </c>
      <c r="N84" s="159">
        <f>$F$15+$C$22*MIN($L23,$M$80)+IF($M$80-$L23&gt;0,$C$23*($M$80-$L23))+('Incremental Rev Req'!$F$87*$M$80)</f>
        <v>188.80381203572807</v>
      </c>
      <c r="O84" s="159">
        <f>$F$15+$C$25*MIN($M23,$M$80)+IF($M$80-$M23&gt;0,$C$26*($M$80-$M23))+('Incremental Rev Req'!$F$87*$M$80)</f>
        <v>188.80381203572807</v>
      </c>
      <c r="P84" s="159">
        <f>$F$15+$D$22*MIN($L23,$M$80)+IF($M$80-$L23&gt;0,$D$23*($M$80-$L23))+('Incremental Rev Req'!$F$87*$M$80)</f>
        <v>189.39791729409197</v>
      </c>
      <c r="Q84" s="159">
        <f>$F$15+$D$25*MIN($M23,$M$80)+IF($M$80-$M23&gt;0,$D$26*($M$80-$M23))+('Incremental Rev Req'!$F$87*$M$80)</f>
        <v>189.39791729409197</v>
      </c>
      <c r="R84" s="159">
        <f>$F$15+$E$22*MIN($L23,$M$80)+IF($M$80-$L23&gt;0,$E$23*($M$80-$L23))+('Incremental Rev Req'!$F$87*$M$80)</f>
        <v>187.1636930547173</v>
      </c>
      <c r="S84" s="159">
        <f>$F$15+$E$25*MIN($M23,$M$80)+IF($M$80-$M23&gt;0,$E$26*($M$80-$M23))+('Incremental Rev Req'!$F$87*$M$80)</f>
        <v>187.1636930547173</v>
      </c>
      <c r="T84" s="159">
        <f>$F$15+$F$22*MIN($L23,$M$80)+IF($M$80-$L23&gt;0,$F$23*($M$80-$L23))+('Incremental Rev Req'!$F$87*$M$80)</f>
        <v>210.93182976213785</v>
      </c>
      <c r="U84" s="159">
        <f>$F$15+$F$25*MIN($M23,$M$80)+IF($M$80-$M23&gt;0,$F$26*($M$80-$M23))+('Incremental Rev Req'!$F$87*$M$80)</f>
        <v>210.93182976213785</v>
      </c>
      <c r="X84" s="499"/>
      <c r="Y84" s="499"/>
      <c r="Z84" s="499"/>
      <c r="AA84" s="499"/>
      <c r="AB84" s="499"/>
      <c r="AC84" s="499"/>
      <c r="AD84" s="499"/>
      <c r="AE84" s="499"/>
      <c r="AF84" s="499"/>
      <c r="AG84" s="499"/>
      <c r="AH84" s="499"/>
      <c r="AI84" s="499"/>
    </row>
    <row r="85" spans="2:35">
      <c r="B85" s="141" t="s">
        <v>222</v>
      </c>
      <c r="C85" s="159">
        <f>$F$15+$C$22*MIN(I24,$B$80)+IF($B$80-I24&gt;0,$C$23*($B$80-I24))+('Incremental Rev Req'!$F$87*$B$80)</f>
        <v>188.80381203572807</v>
      </c>
      <c r="D85" s="159">
        <f>$F$15+$C$25*MIN(J24,$B$80)+IF($B$80-J24&gt;0,$C$26*($B$80-J24))+('Incremental Rev Req'!$F$87*$B$80)</f>
        <v>188.80381203572807</v>
      </c>
      <c r="E85" s="159">
        <f>$F$15+$D$22*MIN(I24,$B$80)+IF($B$80-I24&gt;0,$D$23*($B$80-I24))+('Incremental Rev Req'!$F$87*$B$80)</f>
        <v>189.39791729409197</v>
      </c>
      <c r="F85" s="159">
        <f>$F$15+$D$25*MIN(J24,$B$80)+IF($B$80-J24&gt;0,$D$26*($B$80-J24))+('Incremental Rev Req'!$F$87*$B$80)</f>
        <v>189.39791729409197</v>
      </c>
      <c r="G85" s="159">
        <f>$F$15+$E$22*MIN(I24,$B$80)+IF($B$80-I24&gt;0,$E$23*($B$80-I24))+('Incremental Rev Req'!$F$87*$B$80)</f>
        <v>187.1636930547173</v>
      </c>
      <c r="H85" s="159">
        <f>$F$15+$E$25*MIN(J24,$B$80)+IF($B$80-J24&gt;0,$E$26*($B$80-J24))+('Incremental Rev Req'!$F$87*$B$80)</f>
        <v>187.1636930547173</v>
      </c>
      <c r="I85" s="159">
        <f>$F$15+$F$22*MIN(I24,$B$80)+IF($B$80-I24&gt;0,$F$23*($B$80-I24))+('Incremental Rev Req'!$F$87*$B$80)</f>
        <v>210.93182976213785</v>
      </c>
      <c r="J85" s="159">
        <f>$F$15+$F$25*MIN(J24,$B$80)+IF($B$80-J24&gt;0,$F$26*($B$80-J24))+('Incremental Rev Req'!$F$87*$B$80)</f>
        <v>210.93182976213785</v>
      </c>
      <c r="M85" s="141" t="s">
        <v>222</v>
      </c>
      <c r="N85" s="159">
        <f>$F$15+$C$22*MIN($L24,$M$80)+IF($M$80-$L24&gt;0,$C$23*($M$80-$L24))+('Incremental Rev Req'!$F$87*$M$80)</f>
        <v>188.80381203572807</v>
      </c>
      <c r="O85" s="159">
        <f>$F$15+$C$25*MIN($M24,$M$80)+IF($M$80-$M24&gt;0,$C$26*($M$80-$M24))+('Incremental Rev Req'!$F$87*$M$80)</f>
        <v>188.80381203572807</v>
      </c>
      <c r="P85" s="159">
        <f>$F$15+$D$22*MIN($L24,$M$80)+IF($M$80-$L24&gt;0,$D$23*($M$80-$L24))+('Incremental Rev Req'!$F$87*$M$80)</f>
        <v>189.39791729409197</v>
      </c>
      <c r="Q85" s="159">
        <f>$F$15+$D$25*MIN($M24,$M$80)+IF($M$80-$M24&gt;0,$D$26*($M$80-$M24))+('Incremental Rev Req'!$F$87*$M$80)</f>
        <v>189.39791729409197</v>
      </c>
      <c r="R85" s="159">
        <f>$F$15+$E$22*MIN($L24,$M$80)+IF($M$80-$L24&gt;0,$E$23*($M$80-$L24))+('Incremental Rev Req'!$F$87*$M$80)</f>
        <v>187.1636930547173</v>
      </c>
      <c r="S85" s="159">
        <f>$F$15+$E$25*MIN($M24,$M$80)+IF($M$80-$M24&gt;0,$E$26*($M$80-$M24))+('Incremental Rev Req'!$F$87*$M$80)</f>
        <v>187.1636930547173</v>
      </c>
      <c r="T85" s="159">
        <f>$F$15+$F$22*MIN($L24,$M$80)+IF($M$80-$L24&gt;0,$F$23*($M$80-$L24))+('Incremental Rev Req'!$F$87*$M$80)</f>
        <v>210.93182976213785</v>
      </c>
      <c r="U85" s="159">
        <f>$F$15+$F$25*MIN($M24,$M$80)+IF($M$80-$M24&gt;0,$F$26*($M$80-$M24))+('Incremental Rev Req'!$F$87*$M$80)</f>
        <v>210.93182976213785</v>
      </c>
      <c r="X85" s="499"/>
      <c r="Y85" s="499"/>
      <c r="Z85" s="499"/>
      <c r="AA85" s="499"/>
      <c r="AB85" s="499"/>
      <c r="AC85" s="499"/>
      <c r="AD85" s="499"/>
      <c r="AE85" s="499"/>
      <c r="AF85" s="499"/>
      <c r="AG85" s="499"/>
      <c r="AH85" s="499"/>
      <c r="AI85" s="499"/>
    </row>
    <row r="86" spans="2:35">
      <c r="B86" s="144" t="s">
        <v>224</v>
      </c>
      <c r="C86" s="159">
        <f>$F$15+$C$22*MIN(I25,$B$80)+IF($B$80-I25&gt;0,$C$23*($B$80-I25))+('Incremental Rev Req'!$F$87*$B$80)</f>
        <v>188.80381203572807</v>
      </c>
      <c r="D86" s="159">
        <f>$F$15+$C$25*MIN(J25,$B$80)+IF($B$80-J25&gt;0,$C$26*($B$80-J25))+('Incremental Rev Req'!$F$87*$B$80)</f>
        <v>191.57619837413114</v>
      </c>
      <c r="E86" s="159">
        <f>$F$15+$D$22*MIN(I25,$B$80)+IF($B$80-I25&gt;0,$D$23*($B$80-I25))+('Incremental Rev Req'!$F$87*$B$80)</f>
        <v>189.39791729409197</v>
      </c>
      <c r="F86" s="159">
        <f>$F$15+$D$25*MIN(J25,$B$80)+IF($B$80-J25&gt;0,$D$26*($B$80-J25))+('Incremental Rev Req'!$F$87*$B$80)</f>
        <v>192.18031019492224</v>
      </c>
      <c r="G86" s="159">
        <f>$F$15+$E$22*MIN(I25,$B$80)+IF($B$80-I25&gt;0,$E$23*($B$80-I25))+('Incremental Rev Req'!$F$87*$B$80)</f>
        <v>187.1636930547173</v>
      </c>
      <c r="H86" s="159">
        <f>$F$15+$E$25*MIN(J25,$B$80)+IF($B$80-J25&gt;0,$E$26*($B$80-J25))+('Incremental Rev Req'!$F$87*$B$80)</f>
        <v>189.90845473782488</v>
      </c>
      <c r="I86" s="159">
        <f>$F$15+$F$22*MIN(I25,$B$80)+IF($B$80-I25&gt;0,$F$23*($B$80-I25))+('Incremental Rev Req'!$F$87*$B$80)</f>
        <v>210.93182976213785</v>
      </c>
      <c r="J86" s="159">
        <f>$F$15+$F$25*MIN(J25,$B$80)+IF($B$80-J25&gt;0,$F$26*($B$80-J25))+('Incremental Rev Req'!$F$87*$B$80)</f>
        <v>214.07692007454636</v>
      </c>
      <c r="M86" s="144" t="s">
        <v>224</v>
      </c>
      <c r="N86" s="159">
        <f>$F$15+$C$22*MIN($L25,$M$80)+IF($M$80-$L25&gt;0,$C$23*($M$80-$L25))+('Incremental Rev Req'!$F$87*$M$80)</f>
        <v>195.09499641902735</v>
      </c>
      <c r="O86" s="159">
        <f>$F$15+$C$25*MIN($M25,$M$80)+IF($M$80-$M25&gt;0,$C$26*($M$80-$M25))+('Incremental Rev Req'!$F$87*$M$80)</f>
        <v>188.80381203572807</v>
      </c>
      <c r="P86" s="159">
        <f>$F$15+$D$22*MIN($L25,$M$80)+IF($M$80-$L25&gt;0,$D$23*($M$80-$L25))+('Incremental Rev Req'!$F$87*$M$80)</f>
        <v>195.71180887674529</v>
      </c>
      <c r="Q86" s="159">
        <f>$F$15+$D$25*MIN($M25,$M$80)+IF($M$80-$M25&gt;0,$D$26*($M$80-$M25))+('Incremental Rev Req'!$F$87*$M$80)</f>
        <v>189.39791729409197</v>
      </c>
      <c r="R86" s="159">
        <f>$F$15+$E$22*MIN($L25,$M$80)+IF($M$80-$L25&gt;0,$E$23*($M$80-$L25))+('Incremental Rev Req'!$F$87*$M$80)</f>
        <v>193.39219072023067</v>
      </c>
      <c r="S86" s="159">
        <f>$F$15+$E$25*MIN($M25,$M$80)+IF($M$80-$M25&gt;0,$E$26*($M$80-$M25))+('Incremental Rev Req'!$F$87*$M$80)</f>
        <v>187.1636930547173</v>
      </c>
      <c r="T86" s="159">
        <f>$F$15+$F$22*MIN($L25,$M$80)+IF($M$80-$L25&gt;0,$F$23*($M$80-$L25))+('Incremental Rev Req'!$F$87*$M$80)</f>
        <v>218.06876547106492</v>
      </c>
      <c r="U86" s="159">
        <f>$F$15+$F$25*MIN($M25,$M$80)+IF($M$80-$M25&gt;0,$F$26*($M$80-$M25))+('Incremental Rev Req'!$F$87*$M$80)</f>
        <v>210.93182976213785</v>
      </c>
      <c r="X86" s="499"/>
      <c r="Y86" s="499"/>
      <c r="Z86" s="499"/>
      <c r="AA86" s="499"/>
      <c r="AB86" s="499"/>
      <c r="AC86" s="499"/>
      <c r="AD86" s="499"/>
      <c r="AE86" s="499"/>
      <c r="AF86" s="499"/>
      <c r="AG86" s="499"/>
      <c r="AH86" s="499"/>
      <c r="AI86" s="499"/>
    </row>
    <row r="87" spans="2:35">
      <c r="B87" s="6" t="s">
        <v>112</v>
      </c>
      <c r="C87" s="157">
        <f>SUMPRODUCT(C83:C86,$U$22:$U$25)</f>
        <v>191.90232252249126</v>
      </c>
      <c r="D87" s="157">
        <f t="shared" ref="D87:J87" si="16">SUMPRODUCT(D83:D86,$U$22:$U$25)</f>
        <v>192.49822691386933</v>
      </c>
      <c r="E87" s="157">
        <f>SUMPRODUCT(E83:E86,$U$22:$U$25)</f>
        <v>192.50761144533499</v>
      </c>
      <c r="F87" s="157">
        <f t="shared" si="16"/>
        <v>193.10566667493151</v>
      </c>
      <c r="G87" s="157">
        <f t="shared" si="16"/>
        <v>190.23132931484741</v>
      </c>
      <c r="H87" s="157">
        <f t="shared" si="16"/>
        <v>190.8212959863728</v>
      </c>
      <c r="I87" s="157">
        <f t="shared" si="16"/>
        <v>214.44688651300487</v>
      </c>
      <c r="J87" s="157">
        <f t="shared" si="16"/>
        <v>215.12290092790937</v>
      </c>
      <c r="M87" s="6" t="s">
        <v>112</v>
      </c>
      <c r="N87" s="157">
        <f>SUMPRODUCT(N83:N86,$U$31:$U$34)</f>
        <v>201.52921942827084</v>
      </c>
      <c r="O87" s="157">
        <f t="shared" ref="O87:U87" si="17">SUMPRODUCT(O83:O86,$U$31:$U$34)</f>
        <v>192.3523327615307</v>
      </c>
      <c r="P87" s="157">
        <f t="shared" si="17"/>
        <v>202.16925536437657</v>
      </c>
      <c r="Q87" s="157">
        <f t="shared" si="17"/>
        <v>192.95924593691365</v>
      </c>
      <c r="R87" s="157">
        <f t="shared" si="17"/>
        <v>199.76230174397537</v>
      </c>
      <c r="S87" s="157">
        <f t="shared" si="17"/>
        <v>190.67685555482774</v>
      </c>
      <c r="T87" s="157">
        <f t="shared" si="17"/>
        <v>225.36796911160224</v>
      </c>
      <c r="U87" s="157">
        <f t="shared" si="17"/>
        <v>214.9573935890507</v>
      </c>
      <c r="X87" s="499"/>
      <c r="Y87" s="499"/>
      <c r="Z87" s="499"/>
      <c r="AA87" s="499"/>
      <c r="AB87" s="499"/>
      <c r="AC87" s="499"/>
      <c r="AD87" s="499"/>
      <c r="AE87" s="499"/>
      <c r="AF87" s="499"/>
      <c r="AG87" s="499"/>
      <c r="AH87" s="499"/>
      <c r="AI87" s="499"/>
    </row>
    <row r="88" spans="2:35">
      <c r="B88" s="7"/>
      <c r="C88" s="143"/>
      <c r="D88" s="143"/>
      <c r="E88" s="158"/>
      <c r="F88" s="146"/>
      <c r="G88" s="147"/>
      <c r="H88" s="147"/>
      <c r="I88" s="147"/>
      <c r="J88" s="147"/>
      <c r="M88" s="7"/>
      <c r="N88" s="143"/>
      <c r="O88" s="143"/>
      <c r="P88" s="158"/>
      <c r="Q88" s="146"/>
      <c r="R88" s="147"/>
      <c r="S88" s="147"/>
      <c r="T88" s="147"/>
      <c r="U88" s="147"/>
    </row>
    <row r="89" spans="2:35" ht="15.75" thickBot="1">
      <c r="B89" s="7"/>
      <c r="C89" s="143"/>
      <c r="D89" s="143"/>
      <c r="E89" s="218"/>
      <c r="F89" s="143"/>
      <c r="G89" s="147"/>
      <c r="H89" s="147"/>
      <c r="I89" s="147"/>
      <c r="J89" s="147"/>
      <c r="M89" s="7"/>
      <c r="N89" s="143"/>
      <c r="O89" s="143"/>
      <c r="P89" s="218"/>
      <c r="Q89" s="143"/>
      <c r="R89" s="147"/>
      <c r="S89" s="147"/>
      <c r="T89" s="147"/>
      <c r="U89" s="147"/>
    </row>
    <row r="90" spans="2:35" ht="15.75" thickBot="1">
      <c r="B90" s="755">
        <f>IF(Summary!$I$9="",400,Summary!$I$9)</f>
        <v>400</v>
      </c>
      <c r="C90" s="865" t="str">
        <f>$B$90&amp;" kWh Monthly Basic Bundled CARE Customer"</f>
        <v>400 kWh Monthly Basic Bundled CARE Customer</v>
      </c>
      <c r="D90" s="865"/>
      <c r="E90" s="865"/>
      <c r="F90" s="865"/>
      <c r="G90" s="865"/>
      <c r="H90" s="865"/>
      <c r="I90" s="865"/>
      <c r="J90" s="865"/>
      <c r="M90" s="755">
        <f>IF(Summary!$I$9="",400,Summary!$I$9)</f>
        <v>400</v>
      </c>
      <c r="N90" s="865" t="str">
        <f>$M$90&amp;" kWh Monthly All-Electric Bundled CARE Customer"</f>
        <v>400 kWh Monthly All-Electric Bundled CARE Customer</v>
      </c>
      <c r="O90" s="865"/>
      <c r="P90" s="865"/>
      <c r="Q90" s="865"/>
      <c r="R90" s="865"/>
      <c r="S90" s="865"/>
      <c r="T90" s="865"/>
      <c r="U90" s="865"/>
    </row>
    <row r="91" spans="2:35">
      <c r="B91" s="7"/>
      <c r="C91" s="863" t="str">
        <f>C81</f>
        <v>6/1/2026</v>
      </c>
      <c r="D91" s="863"/>
      <c r="E91" s="864" t="str">
        <f>E81</f>
        <v>8/1/2026</v>
      </c>
      <c r="F91" s="863"/>
      <c r="G91" s="863" t="str">
        <f>G81</f>
        <v>Authorized</v>
      </c>
      <c r="H91" s="863"/>
      <c r="I91" s="864" t="str">
        <f>I81</f>
        <v>w/Pending</v>
      </c>
      <c r="J91" s="863"/>
      <c r="M91" s="7"/>
      <c r="N91" s="863" t="str">
        <f>N81</f>
        <v>6/1/2026</v>
      </c>
      <c r="O91" s="863"/>
      <c r="P91" s="864" t="str">
        <f>P81</f>
        <v>8/1/2026</v>
      </c>
      <c r="Q91" s="863"/>
      <c r="R91" s="863" t="str">
        <f>R81</f>
        <v>Authorized</v>
      </c>
      <c r="S91" s="863"/>
      <c r="T91" s="864" t="str">
        <f>T81</f>
        <v>w/Pending</v>
      </c>
      <c r="U91" s="863"/>
    </row>
    <row r="92" spans="2:35">
      <c r="B92" s="7"/>
      <c r="C92" s="143" t="s">
        <v>192</v>
      </c>
      <c r="D92" s="143" t="s">
        <v>193</v>
      </c>
      <c r="E92" s="143" t="s">
        <v>192</v>
      </c>
      <c r="F92" s="143" t="s">
        <v>193</v>
      </c>
      <c r="G92" s="143" t="s">
        <v>192</v>
      </c>
      <c r="H92" s="143" t="s">
        <v>193</v>
      </c>
      <c r="I92" s="143" t="s">
        <v>192</v>
      </c>
      <c r="J92" s="143" t="s">
        <v>193</v>
      </c>
      <c r="M92" s="7"/>
      <c r="N92" s="143" t="s">
        <v>192</v>
      </c>
      <c r="O92" s="143" t="s">
        <v>193</v>
      </c>
      <c r="P92" s="143" t="s">
        <v>192</v>
      </c>
      <c r="Q92" s="143" t="s">
        <v>193</v>
      </c>
      <c r="R92" s="143" t="s">
        <v>192</v>
      </c>
      <c r="S92" s="143" t="s">
        <v>193</v>
      </c>
      <c r="T92" s="143" t="s">
        <v>192</v>
      </c>
      <c r="U92" s="143" t="s">
        <v>193</v>
      </c>
    </row>
    <row r="93" spans="2:35">
      <c r="B93" s="138" t="s">
        <v>223</v>
      </c>
      <c r="C93" s="159">
        <f>$Q$15+$C$31*MIN(I22,$B$90)+IF($B$90-I22&gt;0,$C$32*($B$90-I22))+('Incremental Rev Req'!$F$87*$B$90)</f>
        <v>112.91809000000001</v>
      </c>
      <c r="D93" s="159">
        <f>$Q$15+$C$34*MIN(J22,$B$90)+IF($B$90-J22&gt;0,$C$35*($B$90-J22))+('Incremental Rev Req'!$F$87*$B$90)</f>
        <v>112.36361000000001</v>
      </c>
      <c r="E93" s="159">
        <f>$Q$15+$D$31*MIN(I22,$B$90)+IF($B$90-I22&gt;0,$D$32*($B$90-I22))+('Incremental Rev Req'!$F$87*$B$90)</f>
        <v>113.31785000000001</v>
      </c>
      <c r="F93" s="159">
        <f>$Q$15+$D$34*MIN(J22,$B$90)+IF($B$90-J22&gt;0,$D$35*($B$90-J22))+('Incremental Rev Req'!$F$87*$B$90)</f>
        <v>112.76145000000001</v>
      </c>
      <c r="G93" s="159">
        <f>$Q$15+$E$31*MIN(I22,$B$90)+IF($B$90-I22&gt;0,$E$32*($B$90-I22))+('Incremental Rev Req'!$F$87*$B$90)</f>
        <v>111.87064642985101</v>
      </c>
      <c r="H93" s="159">
        <f>$Q$15+$E$34*MIN(J22,$B$90)+IF($B$90-J22&gt;0,$E$35*($B$90-J22))+('Incremental Rev Req'!$F$87*$B$90)</f>
        <v>111.32177161061706</v>
      </c>
      <c r="I93" s="159">
        <f>$Q$15+$F$31*MIN(I22,$B$90)+IF($B$90-I22&gt;0,$F$32*($B$90-I22))+('Incremental Rev Req'!$F$87*$B$90)</f>
        <v>127.26629548448476</v>
      </c>
      <c r="J93" s="159">
        <f>$Q$15+$F$34*MIN(J22,$B$90)+IF($B$90-J22&gt;0,$F$35*($B$90-J22))+('Incremental Rev Req'!$F$87*$B$90)</f>
        <v>126.63736624544667</v>
      </c>
      <c r="M93" s="138" t="s">
        <v>223</v>
      </c>
      <c r="N93" s="159">
        <f>$Q$15+$C$31*MIN($L22,$M$90)+IF($M$90-$L22&gt;0,$C$32*($M$90-$L22))+('Incremental Rev Req'!$F$87*$M$90)</f>
        <v>120.95805000000001</v>
      </c>
      <c r="O93" s="159">
        <f>$Q$15+$C$34*MIN($M22,$M$90)+IF($M$90-$M22&gt;0,$C$35*($M$90-$M22))+('Incremental Rev Req'!$F$87*$M$90)</f>
        <v>113.47257</v>
      </c>
      <c r="P93" s="159">
        <f>$Q$15+$D$31*MIN($L22,$B$90)+IF($B$90-$L22&gt;0,$D$32*($B$90-$L22))+('Incremental Rev Req'!$F$87*$B$90)</f>
        <v>121.38565</v>
      </c>
      <c r="Q93" s="159">
        <f>$Q$15+$D$34*MIN($M22,$B$90)+IF($B$90-$M22&gt;0,$D$35*($B$90-$M22))+('Incremental Rev Req'!$F$87*$B$90)</f>
        <v>113.87425</v>
      </c>
      <c r="R93" s="159">
        <f>$Q$15+$E$31*MIN($L22,$B$90)+IF($B$90-$L22&gt;0,$E$32*($B$90-$L22))+('Incremental Rev Req'!$F$87*$B$90)</f>
        <v>119.82933130874335</v>
      </c>
      <c r="S93" s="159">
        <f>$Q$15+$E$34*MIN($M22,$B$90)+IF($B$90-$M22&gt;0,$E$35*($B$90-$M22))+('Incremental Rev Req'!$F$87*$B$90)</f>
        <v>112.41952124908497</v>
      </c>
      <c r="T93" s="159">
        <f>$Q$15+$F$31*MIN(L22,$B$90)+IF($B$90-L22&gt;0,$F$32*($B$90-L22))+('Incremental Rev Req'!$F$87*$B$90)</f>
        <v>136.38576945053671</v>
      </c>
      <c r="U93" s="159">
        <f>$Q$15+$F$34*MIN($M22,$B$90)+IF($B$90-$M22&gt;0,$F$35*($B$90-$M22))+('Incremental Rev Req'!$F$87*$B$90)</f>
        <v>127.89522472352283</v>
      </c>
      <c r="X93" s="499"/>
      <c r="Y93" s="499"/>
      <c r="Z93" s="499"/>
      <c r="AA93" s="499"/>
      <c r="AB93" s="499"/>
      <c r="AC93" s="499"/>
      <c r="AD93" s="499"/>
      <c r="AE93" s="499"/>
      <c r="AF93" s="499"/>
      <c r="AG93" s="499"/>
      <c r="AH93" s="499"/>
      <c r="AI93" s="499"/>
    </row>
    <row r="94" spans="2:35">
      <c r="B94" s="141" t="s">
        <v>225</v>
      </c>
      <c r="C94" s="159">
        <f>$Q$15+$C$31*MIN(I23,$B$90)+IF($B$90-I23&gt;0,$C$32*($B$90-I23))+('Incremental Rev Req'!$F$87*$B$90)</f>
        <v>109.52190000000002</v>
      </c>
      <c r="D94" s="159">
        <f>$Q$15+$C$34*MIN(J23,$B$90)+IF($B$90-J23&gt;0,$C$35*($B$90-J23))+('Incremental Rev Req'!$F$87*$B$90)</f>
        <v>109.52190000000002</v>
      </c>
      <c r="E94" s="159">
        <f>$Q$15+$D$31*MIN(I23,$B$90)+IF($B$90-I23&gt;0,$D$32*($B$90-I23))+('Incremental Rev Req'!$F$87*$B$90)</f>
        <v>109.90990000000001</v>
      </c>
      <c r="F94" s="159">
        <f>$Q$15+$D$34*MIN(J23,$B$90)+IF($B$90-J23&gt;0,$D$35*($B$90-J23))+('Incremental Rev Req'!$F$87*$B$90)</f>
        <v>109.90990000000001</v>
      </c>
      <c r="G94" s="159">
        <f>$Q$15+$E$31*MIN(I23,$B$90)+IF($B$90-I23&gt;0,$E$32*($B$90-I23))+('Incremental Rev Req'!$F$87*$B$90)</f>
        <v>108.50878816204303</v>
      </c>
      <c r="H94" s="159">
        <f>$Q$15+$E$34*MIN(J23,$B$90)+IF($B$90-J23&gt;0,$E$35*($B$90-J23))+('Incremental Rev Req'!$F$87*$B$90)</f>
        <v>108.50878816204303</v>
      </c>
      <c r="I94" s="159">
        <f>$Q$15+$F$31*MIN(I23,$B$90)+IF($B$90-I23&gt;0,$F$32*($B$90-I23))+('Incremental Rev Req'!$F$87*$B$90)</f>
        <v>123.41410389537658</v>
      </c>
      <c r="J94" s="159">
        <f>$Q$15+$F$34*MIN(J23,$B$90)+IF($B$90-J23&gt;0,$F$35*($B$90-J23))+('Incremental Rev Req'!$F$87*$B$90)</f>
        <v>123.41410389537658</v>
      </c>
      <c r="M94" s="141" t="s">
        <v>225</v>
      </c>
      <c r="N94" s="159">
        <f>$Q$15+$C$31*MIN($L23,$M$90)+IF($M$90-$L23&gt;0,$C$32*($M$90-$L23))+('Incremental Rev Req'!$F$87*$M$90)</f>
        <v>109.52190000000002</v>
      </c>
      <c r="O94" s="159">
        <f>$Q$15+$C$34*MIN($M23,$M$90)+IF($M$90-$M23&gt;0,$C$35*($M$90-$M23))+('Incremental Rev Req'!$F$87*$M$90)</f>
        <v>109.52190000000002</v>
      </c>
      <c r="P94" s="159">
        <f>$Q$15+$D$31*MIN($L23,$B$90)+IF($B$90-$L23&gt;0,$D$32*($B$90-$L23))+('Incremental Rev Req'!$F$87*$B$90)</f>
        <v>109.90990000000001</v>
      </c>
      <c r="Q94" s="159">
        <f>$Q$15+$D$34*MIN($M23,$B$90)+IF($B$90-$M23&gt;0,$D$35*($B$90-$M23))+('Incremental Rev Req'!$F$87*$B$90)</f>
        <v>109.90990000000001</v>
      </c>
      <c r="R94" s="159">
        <f>$Q$15+$E$31*MIN($L23,$B$90)+IF($B$90-$L23&gt;0,$E$32*($B$90-$L23))+('Incremental Rev Req'!$F$87*$B$90)</f>
        <v>108.50878816204303</v>
      </c>
      <c r="S94" s="159">
        <f>$Q$15+$E$34*MIN($M23,$B$90)+IF($B$90-$M23&gt;0,$E$35*($B$90-$M23))+('Incremental Rev Req'!$F$87*$B$90)</f>
        <v>108.50878816204303</v>
      </c>
      <c r="T94" s="159">
        <f>$Q$15+$F$31*MIN(L23,$B$90)+IF($B$90-L23&gt;0,$F$32*($B$90-L23))+('Incremental Rev Req'!$F$87*$B$90)</f>
        <v>123.41410389537658</v>
      </c>
      <c r="U94" s="159">
        <f>$Q$15+$F$34*MIN($M23,$B$90)+IF($B$90-$M23&gt;0,$F$35*($B$90-$M23))+('Incremental Rev Req'!$F$87*$B$90)</f>
        <v>123.41410389537658</v>
      </c>
      <c r="X94" s="499"/>
      <c r="Y94" s="499"/>
      <c r="Z94" s="499"/>
      <c r="AA94" s="499"/>
      <c r="AB94" s="499"/>
      <c r="AC94" s="499"/>
      <c r="AD94" s="499"/>
      <c r="AE94" s="499"/>
      <c r="AF94" s="499"/>
      <c r="AG94" s="499"/>
      <c r="AH94" s="499"/>
      <c r="AI94" s="499"/>
    </row>
    <row r="95" spans="2:35">
      <c r="B95" s="141" t="s">
        <v>222</v>
      </c>
      <c r="C95" s="159">
        <f>$Q$15+$C$31*MIN(I24,$B$90)+IF($B$90-I24&gt;0,$C$32*($B$90-I24))+('Incremental Rev Req'!$F$87*$B$90)</f>
        <v>109.52190000000002</v>
      </c>
      <c r="D95" s="159">
        <f>$Q$15+$C$34*MIN(J24,$B$90)+IF($B$90-J24&gt;0,$C$35*($B$90-J24))+('Incremental Rev Req'!$F$87*$B$90)</f>
        <v>109.52190000000002</v>
      </c>
      <c r="E95" s="159">
        <f>$Q$15+$D$31*MIN(I24,$B$90)+IF($B$90-I24&gt;0,$D$32*($B$90-I24))+('Incremental Rev Req'!$F$87*$B$90)</f>
        <v>109.90990000000001</v>
      </c>
      <c r="F95" s="159">
        <f>$Q$15+$D$34*MIN(J24,$B$90)+IF($B$90-J24&gt;0,$D$35*($B$90-J24))+('Incremental Rev Req'!$F$87*$B$90)</f>
        <v>109.90990000000001</v>
      </c>
      <c r="G95" s="159">
        <f>$Q$15+$E$31*MIN(I24,$B$90)+IF($B$90-I24&gt;0,$E$32*($B$90-I24))+('Incremental Rev Req'!$F$87*$B$90)</f>
        <v>108.50878816204303</v>
      </c>
      <c r="H95" s="159">
        <f>$Q$15+$E$34*MIN(J24,$B$90)+IF($B$90-J24&gt;0,$E$35*($B$90-J24))+('Incremental Rev Req'!$F$87*$B$90)</f>
        <v>108.50878816204303</v>
      </c>
      <c r="I95" s="159">
        <f>$Q$15+$F$31*MIN(I24,$B$90)+IF($B$90-I24&gt;0,$F$32*($B$90-I24))+('Incremental Rev Req'!$F$87*$B$90)</f>
        <v>123.41410389537658</v>
      </c>
      <c r="J95" s="159">
        <f>$Q$15+$F$34*MIN(J24,$B$90)+IF($B$90-J24&gt;0,$F$35*($B$90-J24))+('Incremental Rev Req'!$F$87*$B$90)</f>
        <v>123.41410389537658</v>
      </c>
      <c r="M95" s="141" t="s">
        <v>222</v>
      </c>
      <c r="N95" s="159">
        <f>$Q$15+$C$31*MIN($L24,$M$90)+IF($M$90-$L24&gt;0,$C$32*($M$90-$L24))+('Incremental Rev Req'!$F$87*$M$90)</f>
        <v>109.52190000000002</v>
      </c>
      <c r="O95" s="159">
        <f>$Q$15+$C$34*MIN($M24,$M$90)+IF($M$90-$M24&gt;0,$C$35*($M$90-$M24))+('Incremental Rev Req'!$F$87*$M$90)</f>
        <v>109.52190000000002</v>
      </c>
      <c r="P95" s="159">
        <f>$Q$15+$D$31*MIN($L24,$B$90)+IF($B$90-$L24&gt;0,$D$32*($B$90-$L24))+('Incremental Rev Req'!$F$87*$B$90)</f>
        <v>109.90990000000001</v>
      </c>
      <c r="Q95" s="159">
        <f>$Q$15+$D$34*MIN($M24,$B$90)+IF($B$90-$M24&gt;0,$D$35*($B$90-$M24))+('Incremental Rev Req'!$F$87*$B$90)</f>
        <v>109.90990000000001</v>
      </c>
      <c r="R95" s="159">
        <f>$Q$15+$E$31*MIN($L24,$B$90)+IF($B$90-$L24&gt;0,$E$32*($B$90-$L24))+('Incremental Rev Req'!$F$87*$B$90)</f>
        <v>108.50878816204303</v>
      </c>
      <c r="S95" s="159">
        <f>$Q$15+$E$34*MIN($M24,$B$90)+IF($B$90-$M24&gt;0,$E$35*($B$90-$M24))+('Incremental Rev Req'!$F$87*$B$90)</f>
        <v>108.50878816204303</v>
      </c>
      <c r="T95" s="159">
        <f>$Q$15+$F$31*MIN(L24,$B$90)+IF($B$90-L24&gt;0,$F$32*($B$90-L24))+('Incremental Rev Req'!$F$87*$B$90)</f>
        <v>123.41410389537658</v>
      </c>
      <c r="U95" s="159">
        <f>$Q$15+$F$34*MIN($M24,$B$90)+IF($B$90-$M24&gt;0,$F$35*($B$90-$M24))+('Incremental Rev Req'!$F$87*$B$90)</f>
        <v>123.41410389537658</v>
      </c>
      <c r="X95" s="499"/>
      <c r="Y95" s="499"/>
      <c r="Z95" s="499"/>
      <c r="AA95" s="499"/>
      <c r="AB95" s="499"/>
      <c r="AC95" s="499"/>
      <c r="AD95" s="499"/>
      <c r="AE95" s="499"/>
      <c r="AF95" s="499"/>
      <c r="AG95" s="499"/>
      <c r="AH95" s="499"/>
      <c r="AI95" s="499"/>
    </row>
    <row r="96" spans="2:35">
      <c r="B96" s="144" t="s">
        <v>224</v>
      </c>
      <c r="C96" s="159">
        <f>$Q$15+$C$31*MIN(I25,$B$90)+IF($B$90-I25&gt;0,$C$32*($B$90-I25))+('Incremental Rev Req'!$F$87*$B$90)</f>
        <v>109.52190000000002</v>
      </c>
      <c r="D96" s="159">
        <f>$Q$15+$C$34*MIN(J25,$B$90)+IF($B$90-J25&gt;0,$C$35*($B$90-J25))+('Incremental Rev Req'!$F$87*$B$90)</f>
        <v>111.32396000000001</v>
      </c>
      <c r="E96" s="159">
        <f>$Q$15+$D$31*MIN(I25,$B$90)+IF($B$90-I25&gt;0,$D$32*($B$90-I25))+('Incremental Rev Req'!$F$87*$B$90)</f>
        <v>109.90990000000001</v>
      </c>
      <c r="F96" s="159">
        <f>$Q$15+$D$34*MIN(J25,$B$90)+IF($B$90-J25&gt;0,$D$35*($B$90-J25))+('Incremental Rev Req'!$F$87*$B$90)</f>
        <v>111.71820000000001</v>
      </c>
      <c r="G96" s="159">
        <f>$Q$15+$E$31*MIN(I25,$B$90)+IF($B$90-I25&gt;0,$E$32*($B$90-I25))+('Incremental Rev Req'!$F$87*$B$90)</f>
        <v>108.50878816204303</v>
      </c>
      <c r="H96" s="159">
        <f>$Q$15+$E$34*MIN(J25,$B$90)+IF($B$90-J25&gt;0,$E$35*($B$90-J25))+('Incremental Rev Req'!$F$87*$B$90)</f>
        <v>110.29263132455338</v>
      </c>
      <c r="I96" s="159">
        <f>$Q$15+$F$31*MIN(I25,$B$90)+IF($B$90-I25&gt;0,$F$32*($B$90-I25))+('Incremental Rev Req'!$F$87*$B$90)</f>
        <v>123.41410389537658</v>
      </c>
      <c r="J96" s="159">
        <f>$Q$15+$F$34*MIN(J25,$B$90)+IF($B$90-J25&gt;0,$F$35*($B$90-J25))+('Incremental Rev Req'!$F$87*$B$90)</f>
        <v>125.45812392225031</v>
      </c>
      <c r="M96" s="144" t="s">
        <v>224</v>
      </c>
      <c r="N96" s="159">
        <f>$Q$15+$C$31*MIN($L25,$M$90)+IF($M$90-$L25&gt;0,$C$32*($M$90-$L25))+('Incremental Rev Req'!$F$87*$M$90)</f>
        <v>113.61119000000002</v>
      </c>
      <c r="O96" s="159">
        <f>$Q$15+$C$34*MIN($M25,$M$90)+IF($M$90-$M25&gt;0,$C$35*($M$90-$M25))+('Incremental Rev Req'!$F$87*$M$90)</f>
        <v>109.52190000000002</v>
      </c>
      <c r="P96" s="159">
        <f>$Q$15+$D$31*MIN($L25,$B$90)+IF($B$90-$L25&gt;0,$D$32*($B$90-$L25))+('Incremental Rev Req'!$F$87*$B$90)</f>
        <v>114.01335</v>
      </c>
      <c r="Q96" s="159">
        <f>$Q$15+$D$34*MIN($M25,$B$90)+IF($B$90-$M25&gt;0,$D$35*($B$90-$M25))+('Incremental Rev Req'!$F$87*$B$90)</f>
        <v>109.90990000000001</v>
      </c>
      <c r="R96" s="159">
        <f>$Q$15+$E$31*MIN($L25,$B$90)+IF($B$90-$L25&gt;0,$E$32*($B$90-$L25))+('Incremental Rev Req'!$F$87*$B$90)</f>
        <v>112.55673995389344</v>
      </c>
      <c r="S96" s="159">
        <f>$Q$15+$E$34*MIN($M25,$B$90)+IF($B$90-$M25&gt;0,$E$35*($B$90-$M25))+('Incremental Rev Req'!$F$87*$B$90)</f>
        <v>108.50878816204303</v>
      </c>
      <c r="T96" s="159">
        <f>$Q$15+$F$31*MIN(L25,$B$90)+IF($B$90-L25&gt;0,$F$32*($B$90-L25))+('Incremental Rev Req'!$F$87*$B$90)</f>
        <v>128.05245703328234</v>
      </c>
      <c r="U96" s="159">
        <f>$Q$15+$F$34*MIN($M25,$B$90)+IF($B$90-$M25&gt;0,$F$35*($B$90-$M25))+('Incremental Rev Req'!$F$87*$B$90)</f>
        <v>123.41410389537658</v>
      </c>
      <c r="X96" s="499"/>
      <c r="Y96" s="499"/>
      <c r="Z96" s="499"/>
      <c r="AA96" s="499"/>
      <c r="AB96" s="499"/>
      <c r="AC96" s="499"/>
      <c r="AD96" s="499"/>
      <c r="AE96" s="499"/>
      <c r="AF96" s="499"/>
      <c r="AG96" s="499"/>
      <c r="AH96" s="499"/>
      <c r="AI96" s="499"/>
    </row>
    <row r="97" spans="2:35">
      <c r="B97" s="6" t="s">
        <v>112</v>
      </c>
      <c r="C97" s="157">
        <f>SUMPRODUCT(C93:C96,$V$22:$V$25)</f>
        <v>111.22140699401714</v>
      </c>
      <c r="D97" s="157">
        <f t="shared" ref="D97:J97" si="18">SUMPRODUCT(D93:D96,$V$22:$V$25)</f>
        <v>111.82713134234145</v>
      </c>
      <c r="E97" s="157">
        <f t="shared" si="18"/>
        <v>111.61529188333418</v>
      </c>
      <c r="F97" s="157">
        <f t="shared" si="18"/>
        <v>112.22311367565788</v>
      </c>
      <c r="G97" s="157">
        <f t="shared" si="18"/>
        <v>110.19111501626321</v>
      </c>
      <c r="H97" s="157">
        <f t="shared" si="18"/>
        <v>110.79071616002331</v>
      </c>
      <c r="I97" s="157">
        <f>SUMPRODUCT(I93:I96,$V$22:$V$25)</f>
        <v>125.34180127037132</v>
      </c>
      <c r="J97" s="157">
        <f t="shared" si="18"/>
        <v>126.02885536332042</v>
      </c>
      <c r="M97" s="6" t="s">
        <v>112</v>
      </c>
      <c r="N97" s="157">
        <f>SUMPRODUCT(N93:N96,$V$31:$V$34)</f>
        <v>116.82911629804454</v>
      </c>
      <c r="O97" s="157">
        <f t="shared" ref="O97:U97" si="19">SUMPRODUCT(O93:O96,$V$31:$V$34)</f>
        <v>111.29197138907622</v>
      </c>
      <c r="P97" s="157">
        <f t="shared" si="19"/>
        <v>117.24241902364733</v>
      </c>
      <c r="Q97" s="157">
        <f t="shared" si="19"/>
        <v>111.68610062199178</v>
      </c>
      <c r="R97" s="157">
        <f t="shared" si="19"/>
        <v>115.74213656900557</v>
      </c>
      <c r="S97" s="157">
        <f t="shared" si="19"/>
        <v>110.26096608317707</v>
      </c>
      <c r="T97" s="157">
        <f t="shared" si="19"/>
        <v>131.7024497073368</v>
      </c>
      <c r="U97" s="157">
        <f t="shared" si="19"/>
        <v>125.42184024614625</v>
      </c>
      <c r="X97" s="499"/>
      <c r="Y97" s="499"/>
      <c r="Z97" s="499"/>
      <c r="AA97" s="499"/>
      <c r="AB97" s="499"/>
      <c r="AC97" s="499"/>
      <c r="AD97" s="499"/>
      <c r="AE97" s="499"/>
      <c r="AF97" s="499"/>
      <c r="AG97" s="499"/>
      <c r="AH97" s="499"/>
      <c r="AI97" s="499"/>
    </row>
  </sheetData>
  <mergeCells count="67">
    <mergeCell ref="N80:U80"/>
    <mergeCell ref="N81:O81"/>
    <mergeCell ref="P81:Q81"/>
    <mergeCell ref="R81:S81"/>
    <mergeCell ref="T81:U81"/>
    <mergeCell ref="N90:U90"/>
    <mergeCell ref="N91:O91"/>
    <mergeCell ref="P91:Q91"/>
    <mergeCell ref="R91:S91"/>
    <mergeCell ref="T91:U91"/>
    <mergeCell ref="R51:S51"/>
    <mergeCell ref="T51:U51"/>
    <mergeCell ref="R71:S71"/>
    <mergeCell ref="T71:U71"/>
    <mergeCell ref="N60:U60"/>
    <mergeCell ref="N61:O61"/>
    <mergeCell ref="P61:Q61"/>
    <mergeCell ref="R61:S61"/>
    <mergeCell ref="T61:U61"/>
    <mergeCell ref="N70:U70"/>
    <mergeCell ref="N71:O71"/>
    <mergeCell ref="P71:Q71"/>
    <mergeCell ref="N51:O51"/>
    <mergeCell ref="P51:Q51"/>
    <mergeCell ref="C90:J90"/>
    <mergeCell ref="C91:D91"/>
    <mergeCell ref="E91:F91"/>
    <mergeCell ref="G91:H91"/>
    <mergeCell ref="I91:J91"/>
    <mergeCell ref="C80:J80"/>
    <mergeCell ref="C81:D81"/>
    <mergeCell ref="E81:F81"/>
    <mergeCell ref="G81:H81"/>
    <mergeCell ref="I81:J81"/>
    <mergeCell ref="C70:J70"/>
    <mergeCell ref="C71:D71"/>
    <mergeCell ref="E71:F71"/>
    <mergeCell ref="G71:H71"/>
    <mergeCell ref="I71:J71"/>
    <mergeCell ref="I61:J61"/>
    <mergeCell ref="C51:D51"/>
    <mergeCell ref="E51:F51"/>
    <mergeCell ref="G51:H51"/>
    <mergeCell ref="I51:J51"/>
    <mergeCell ref="C60:J60"/>
    <mergeCell ref="C41:D41"/>
    <mergeCell ref="E41:F41"/>
    <mergeCell ref="G41:H41"/>
    <mergeCell ref="C61:D61"/>
    <mergeCell ref="E61:F61"/>
    <mergeCell ref="G61:H61"/>
    <mergeCell ref="I41:J41"/>
    <mergeCell ref="B2:D2"/>
    <mergeCell ref="E3:K3"/>
    <mergeCell ref="P3:V3"/>
    <mergeCell ref="C39:J39"/>
    <mergeCell ref="R41:S41"/>
    <mergeCell ref="T41:U41"/>
    <mergeCell ref="U20:V20"/>
    <mergeCell ref="Q21:R21"/>
    <mergeCell ref="S21:T21"/>
    <mergeCell ref="S30:T30"/>
    <mergeCell ref="U29:V29"/>
    <mergeCell ref="Q30:R30"/>
    <mergeCell ref="N39:U39"/>
    <mergeCell ref="N41:O41"/>
    <mergeCell ref="P41:Q4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19720-4F19-4227-95C9-1B60B672F29A}">
  <dimension ref="A1:AF84"/>
  <sheetViews>
    <sheetView zoomScale="70" zoomScaleNormal="70" workbookViewId="0"/>
  </sheetViews>
  <sheetFormatPr defaultColWidth="8.85546875" defaultRowHeight="15"/>
  <cols>
    <col min="1" max="1" width="3.5703125" style="6" customWidth="1"/>
    <col min="2" max="2" width="23.85546875" style="6" customWidth="1"/>
    <col min="3" max="3" width="19.42578125" style="6" customWidth="1"/>
    <col min="4" max="4" width="17.5703125" style="6" customWidth="1"/>
    <col min="5" max="6" width="16.42578125" style="6" customWidth="1"/>
    <col min="7" max="7" width="20.85546875" style="6" customWidth="1"/>
    <col min="8" max="8" width="16.5703125" style="6" customWidth="1"/>
    <col min="9" max="9" width="14.140625" style="6" customWidth="1"/>
    <col min="10" max="10" width="13.5703125" style="6" customWidth="1"/>
    <col min="11" max="11" width="15.140625" style="6" customWidth="1"/>
    <col min="12" max="12" width="14.85546875" style="6" customWidth="1"/>
    <col min="13" max="15" width="15.42578125" style="6" customWidth="1"/>
    <col min="16" max="16" width="13" style="6" customWidth="1"/>
    <col min="17" max="17" width="15.5703125" style="6" customWidth="1"/>
    <col min="18" max="18" width="17.5703125" style="6" customWidth="1"/>
    <col min="19" max="19" width="14.140625" style="6" customWidth="1"/>
    <col min="20" max="21" width="14" style="6" customWidth="1"/>
    <col min="22" max="22" width="15" style="6" customWidth="1"/>
    <col min="23" max="23" width="14.140625" style="6" customWidth="1"/>
    <col min="24" max="24" width="14.85546875" style="6" bestFit="1" customWidth="1"/>
    <col min="25" max="26" width="14.85546875" style="6" customWidth="1"/>
    <col min="27" max="27" width="19.42578125" style="6" customWidth="1"/>
    <col min="28" max="28" width="15.140625" style="6" bestFit="1" customWidth="1"/>
    <col min="29" max="32" width="11.85546875" style="6" customWidth="1"/>
    <col min="33" max="16384" width="8.85546875" style="6"/>
  </cols>
  <sheetData>
    <row r="1" spans="1:32" s="170" customFormat="1" ht="25.5" customHeight="1">
      <c r="A1" s="384"/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5"/>
      <c r="AA1" s="385"/>
      <c r="AB1" s="385"/>
      <c r="AC1" s="385"/>
      <c r="AD1" s="385"/>
    </row>
    <row r="2" spans="1:32" ht="15.75">
      <c r="B2" s="78"/>
      <c r="C2" s="839" t="s">
        <v>157</v>
      </c>
      <c r="D2" s="839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3" spans="1:32">
      <c r="B3" s="79"/>
      <c r="C3" s="80" t="s">
        <v>154</v>
      </c>
      <c r="D3" s="80" t="s">
        <v>158</v>
      </c>
      <c r="S3" s="81"/>
      <c r="T3" s="81"/>
      <c r="U3" s="81"/>
      <c r="V3" s="81"/>
      <c r="W3" s="81"/>
      <c r="X3" s="81"/>
      <c r="Y3" s="81"/>
      <c r="Z3" s="81"/>
      <c r="AA3" s="81"/>
    </row>
    <row r="4" spans="1:32" ht="15.75">
      <c r="B4" s="228" t="s">
        <v>3</v>
      </c>
      <c r="C4" s="154">
        <f>INDEX('Incremental Rev Req'!$N$8:$S$23,MATCH(B4,'Incremental Rev Req'!$N$8:$N$23,0),MATCH(Summary!$D$2,'Incremental Rev Req'!$N$8:$S$8,0))</f>
        <v>593857.01988567889</v>
      </c>
      <c r="D4" s="154">
        <f>INDEX('Incremental Rev Req'!$N$110:$S$125,MATCH(B4,'Incremental Rev Req'!$N$110:$N$125,0),MATCH(Summary!$D$2,'Incremental Rev Req'!$N$110:$S$110,0))</f>
        <v>521030.39687597519</v>
      </c>
      <c r="H4" s="848" t="s">
        <v>159</v>
      </c>
      <c r="I4" s="849"/>
      <c r="J4" s="849"/>
      <c r="K4" s="849"/>
      <c r="L4" s="849"/>
      <c r="M4" s="849"/>
      <c r="N4" s="849"/>
      <c r="O4" s="849"/>
      <c r="P4" s="849"/>
      <c r="Q4" s="849"/>
      <c r="R4" s="849"/>
      <c r="S4" s="849"/>
      <c r="T4" s="849"/>
      <c r="U4" s="850"/>
      <c r="V4" s="41"/>
      <c r="W4" s="41"/>
      <c r="X4" s="41"/>
      <c r="Y4" s="41"/>
      <c r="Z4" s="41"/>
      <c r="AA4" s="41"/>
      <c r="AB4" s="41"/>
      <c r="AC4" s="41"/>
      <c r="AD4" s="41"/>
    </row>
    <row r="5" spans="1:32" ht="25.35" customHeight="1">
      <c r="B5" s="228" t="s">
        <v>372</v>
      </c>
      <c r="C5" s="154">
        <f>INDEX('Incremental Rev Req'!$N$8:$S$23,MATCH(B5,'Incremental Rev Req'!$N$8:$N$23,0),MATCH(Summary!$D$2,'Incremental Rev Req'!$N$8:$S$8,0))</f>
        <v>313.03090980522069</v>
      </c>
      <c r="D5" s="154">
        <f>INDEX('Incremental Rev Req'!$N$110:$S$125,MATCH(B5,'Incremental Rev Req'!$N$110:$N$125,0),MATCH(Summary!$D$2,'Incremental Rev Req'!$N$110:$S$110,0))</f>
        <v>369.95201587564628</v>
      </c>
      <c r="G5" s="1"/>
      <c r="H5" s="300" t="s">
        <v>3</v>
      </c>
      <c r="I5" s="84" t="s">
        <v>372</v>
      </c>
      <c r="J5" s="84" t="s">
        <v>59</v>
      </c>
      <c r="K5" s="84" t="s">
        <v>5</v>
      </c>
      <c r="L5" s="84" t="s">
        <v>98</v>
      </c>
      <c r="M5" s="84" t="s">
        <v>14</v>
      </c>
      <c r="N5" s="84" t="s">
        <v>80</v>
      </c>
      <c r="O5" s="84" t="s">
        <v>99</v>
      </c>
      <c r="P5" s="84" t="s">
        <v>97</v>
      </c>
      <c r="Q5" s="84" t="s">
        <v>78</v>
      </c>
      <c r="R5" s="84" t="s">
        <v>10</v>
      </c>
      <c r="S5" s="84" t="s">
        <v>221</v>
      </c>
      <c r="T5" s="84" t="s">
        <v>87</v>
      </c>
      <c r="U5" s="301" t="s">
        <v>251</v>
      </c>
      <c r="V5" s="6" t="s">
        <v>245</v>
      </c>
      <c r="AC5" s="245"/>
      <c r="AD5" s="47"/>
    </row>
    <row r="6" spans="1:32" ht="15.75">
      <c r="B6" s="229" t="s">
        <v>59</v>
      </c>
      <c r="C6" s="154">
        <f>INDEX('Incremental Rev Req'!$N$8:$S$23,MATCH(B6,'Incremental Rev Req'!$N$8:$N$23,0),MATCH(Summary!$D$2,'Incremental Rev Req'!$N$8:$S$8,0))</f>
        <v>171405.04534484091</v>
      </c>
      <c r="D6" s="154">
        <f>INDEX('Incremental Rev Req'!$N$110:$S$125,MATCH(B6,'Incremental Rev Req'!$N$110:$N$125,0),MATCH(Summary!$D$2,'Incremental Rev Req'!$N$110:$S$110,0))</f>
        <v>255410.28234802242</v>
      </c>
      <c r="G6" s="1" t="s">
        <v>378</v>
      </c>
      <c r="H6" s="378">
        <f>IF(Summary!$D$2=2026,'SDG&amp;E INPUTS'!D15,'SDG&amp;E INPUTS'!D20)</f>
        <v>9.8976081918249942E-2</v>
      </c>
      <c r="I6" s="379">
        <f>IF(Summary!$D$2=2026,'SDG&amp;E INPUTS'!E15,'SDG&amp;E INPUTS'!E20)</f>
        <v>0.13851677628572273</v>
      </c>
      <c r="J6" s="379">
        <f>IF(Summary!$D$2=2026,'SDG&amp;E INPUTS'!F15,'SDG&amp;E INPUTS'!F20)</f>
        <v>8.557224030651249E-2</v>
      </c>
      <c r="K6" s="379">
        <f>IF(Summary!$D$2=2026,'SDG&amp;E INPUTS'!G15,'SDG&amp;E INPUTS'!G20)</f>
        <v>0.11910210032559836</v>
      </c>
      <c r="L6" s="379">
        <f>IF(Summary!$D$2=2026,'SDG&amp;E INPUTS'!H15,'SDG&amp;E INPUTS'!H20)</f>
        <v>6.2796313220630465E-2</v>
      </c>
      <c r="M6" s="379">
        <f>IF(Summary!$D$2=2026,'SDG&amp;E INPUTS'!I15,'SDG&amp;E INPUTS'!I20)</f>
        <v>9.3187706695315564E-2</v>
      </c>
      <c r="N6" s="379">
        <f>IF(Summary!$D$2=2026,'SDG&amp;E INPUTS'!J15,'SDG&amp;E INPUTS'!J20)</f>
        <v>8.8706999606321335E-2</v>
      </c>
      <c r="O6" s="379">
        <f>IF(Summary!$D$2=2026,'SDG&amp;E INPUTS'!K15,'SDG&amp;E INPUTS'!K20)</f>
        <v>0.10106825143001875</v>
      </c>
      <c r="P6" s="379">
        <f>IF(Summary!$D$2=2026,'SDG&amp;E INPUTS'!L15,'SDG&amp;E INPUTS'!L20)</f>
        <v>0</v>
      </c>
      <c r="Q6" s="379">
        <f>IF(Summary!$D$2=2026,'SDG&amp;E INPUTS'!M15,'SDG&amp;E INPUTS'!M20)</f>
        <v>0</v>
      </c>
      <c r="R6" s="379">
        <f>IF(Summary!$D$2=2026,'SDG&amp;E INPUTS'!N15,'SDG&amp;E INPUTS'!N20)</f>
        <v>7.3002115917940216E-2</v>
      </c>
      <c r="S6" s="379">
        <f>IF(Summary!$D$2=2026,'SDG&amp;E INPUTS'!O15,'SDG&amp;E INPUTS'!O20)</f>
        <v>0.11293670736083332</v>
      </c>
      <c r="T6" s="379">
        <f>IF(Summary!$D$2=2026,'SDG&amp;E INPUTS'!P15,'SDG&amp;E INPUTS'!P20)</f>
        <v>9.7949746237437268E-2</v>
      </c>
      <c r="U6" s="380">
        <f>IF(Summary!$D$2=2026,'SDG&amp;E INPUTS'!Q15,'SDG&amp;E INPUTS'!Q20)</f>
        <v>9.7887065616048916E-2</v>
      </c>
      <c r="V6" s="225">
        <f>'SDG&amp;E INPUTS'!$S$14</f>
        <v>1E-3</v>
      </c>
      <c r="AD6" s="246"/>
    </row>
    <row r="7" spans="1:32" ht="15.75">
      <c r="B7" s="229" t="s">
        <v>5</v>
      </c>
      <c r="C7" s="154">
        <f>INDEX('Incremental Rev Req'!$N$8:$S$23,MATCH(B7,'Incremental Rev Req'!$N$8:$N$23,0),MATCH(Summary!$D$2,'Incremental Rev Req'!$N$8:$S$8,0))</f>
        <v>2334325.4627643544</v>
      </c>
      <c r="D7" s="154">
        <f>INDEX('Incremental Rev Req'!$N$110:$S$125,MATCH(B7,'Incremental Rev Req'!$N$110:$N$125,0),MATCH(Summary!$D$2,'Incremental Rev Req'!$N$110:$S$110,0))</f>
        <v>3247885.1595391147</v>
      </c>
      <c r="G7" s="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91"/>
      <c r="U7" s="291"/>
      <c r="AD7" s="219"/>
    </row>
    <row r="8" spans="1:32" ht="15.6" customHeight="1">
      <c r="B8" s="229" t="s">
        <v>98</v>
      </c>
      <c r="C8" s="154">
        <f>INDEX('Incremental Rev Req'!$N$8:$S$23,MATCH(B8,'Incremental Rev Req'!$N$8:$N$23,0),MATCH(Summary!$D$2,'Incremental Rev Req'!$N$8:$S$8,0))</f>
        <v>-149108.549279297</v>
      </c>
      <c r="D8" s="154">
        <f>INDEX('Incremental Rev Req'!$N$110:$S$125,MATCH(B8,'Incremental Rev Req'!$N$110:$N$125,0),MATCH(Summary!$D$2,'Incremental Rev Req'!$N$110:$S$110,0))</f>
        <v>-137797.42794241811</v>
      </c>
      <c r="G8" s="87"/>
      <c r="H8" s="848" t="s">
        <v>160</v>
      </c>
      <c r="I8" s="849"/>
      <c r="J8" s="849"/>
      <c r="K8" s="849"/>
      <c r="L8" s="849"/>
      <c r="M8" s="849"/>
      <c r="N8" s="849"/>
      <c r="O8" s="849"/>
      <c r="P8" s="849"/>
      <c r="Q8" s="849"/>
      <c r="R8" s="849"/>
      <c r="S8" s="849"/>
      <c r="T8" s="849"/>
      <c r="U8" s="850"/>
      <c r="AD8" s="219"/>
    </row>
    <row r="9" spans="1:32" ht="15.75" customHeight="1">
      <c r="B9" s="229" t="s">
        <v>14</v>
      </c>
      <c r="C9" s="154">
        <f>INDEX('Incremental Rev Req'!$N$8:$S$23,MATCH(B9,'Incremental Rev Req'!$N$8:$N$23,0),MATCH(Summary!$D$2,'Incremental Rev Req'!$N$8:$S$8,0))</f>
        <v>-1314.4084937329058</v>
      </c>
      <c r="D9" s="154">
        <f>INDEX('Incremental Rev Req'!$N$110:$S$125,MATCH(B9,'Incremental Rev Req'!$N$110:$N$125,0),MATCH(Summary!$D$2,'Incremental Rev Req'!$N$110:$S$110,0))</f>
        <v>-1732.1215296796659</v>
      </c>
      <c r="G9" s="271" t="s">
        <v>154</v>
      </c>
      <c r="H9" s="300" t="s">
        <v>3</v>
      </c>
      <c r="I9" s="84" t="s">
        <v>372</v>
      </c>
      <c r="J9" s="84" t="s">
        <v>59</v>
      </c>
      <c r="K9" s="84" t="s">
        <v>5</v>
      </c>
      <c r="L9" s="84" t="s">
        <v>98</v>
      </c>
      <c r="M9" s="84" t="s">
        <v>14</v>
      </c>
      <c r="N9" s="84" t="s">
        <v>80</v>
      </c>
      <c r="O9" s="84" t="s">
        <v>99</v>
      </c>
      <c r="P9" s="84" t="s">
        <v>97</v>
      </c>
      <c r="Q9" s="84" t="s">
        <v>78</v>
      </c>
      <c r="R9" s="84" t="s">
        <v>10</v>
      </c>
      <c r="S9" s="84" t="s">
        <v>221</v>
      </c>
      <c r="T9" s="84" t="s">
        <v>87</v>
      </c>
      <c r="U9" s="301" t="s">
        <v>251</v>
      </c>
      <c r="V9" s="44"/>
      <c r="W9" s="44"/>
      <c r="X9" s="44"/>
      <c r="Y9" s="44"/>
      <c r="Z9" s="44"/>
      <c r="AA9" s="44"/>
      <c r="AB9" s="44"/>
      <c r="AC9" s="44"/>
      <c r="AD9" s="758"/>
      <c r="AE9" s="44"/>
    </row>
    <row r="10" spans="1:32" ht="15.75">
      <c r="B10" s="229" t="s">
        <v>80</v>
      </c>
      <c r="C10" s="154">
        <f>INDEX('Incremental Rev Req'!$N$8:$S$23,MATCH(B10,'Incremental Rev Req'!$N$8:$N$23,0),MATCH(Summary!$D$2,'Incremental Rev Req'!$N$8:$S$8,0))</f>
        <v>-64.002330000000001</v>
      </c>
      <c r="D10" s="154">
        <f>INDEX('Incremental Rev Req'!$N$110:$S$125,MATCH(B10,'Incremental Rev Req'!$N$110:$N$125,0),MATCH(Summary!$D$2,'Incremental Rev Req'!$N$110:$S$110,0))</f>
        <v>-64.002330000000001</v>
      </c>
      <c r="G10" s="1" t="s">
        <v>378</v>
      </c>
      <c r="H10" s="521">
        <f>H6*H11</f>
        <v>58777.641047932739</v>
      </c>
      <c r="I10" s="89">
        <f>I6*I11</f>
        <v>43.360032504006007</v>
      </c>
      <c r="J10" s="89">
        <f>J6*J11</f>
        <v>14667.513729997396</v>
      </c>
      <c r="K10" s="89">
        <f>K6*K11</f>
        <v>278023.06545875897</v>
      </c>
      <c r="L10" s="89">
        <f t="shared" ref="L10:T10" si="0">L6*L11</f>
        <v>-9363.4671644165483</v>
      </c>
      <c r="M10" s="89">
        <f t="shared" si="0"/>
        <v>-122.48671319181355</v>
      </c>
      <c r="N10" s="89">
        <f t="shared" si="0"/>
        <v>-5.6774546621136484</v>
      </c>
      <c r="O10" s="89">
        <f t="shared" si="0"/>
        <v>31678.791374271397</v>
      </c>
      <c r="P10" s="89">
        <f t="shared" si="0"/>
        <v>0</v>
      </c>
      <c r="Q10" s="89">
        <f t="shared" si="0"/>
        <v>0</v>
      </c>
      <c r="R10" s="89">
        <f t="shared" si="0"/>
        <v>71877.15745530116</v>
      </c>
      <c r="S10" s="89">
        <f>S6*S11</f>
        <v>9999.5919793137637</v>
      </c>
      <c r="T10" s="89">
        <f t="shared" si="0"/>
        <v>83.059365274489181</v>
      </c>
      <c r="U10" s="522">
        <f>U6*U11</f>
        <v>32422.445036529865</v>
      </c>
      <c r="V10" s="89">
        <f>SUM(H10:U10)</f>
        <v>488080.9941476133</v>
      </c>
      <c r="W10" s="759"/>
      <c r="X10" s="760"/>
      <c r="Y10" s="44"/>
      <c r="Z10" s="44"/>
      <c r="AA10" s="44"/>
      <c r="AB10" s="761"/>
      <c r="AC10" s="44"/>
      <c r="AD10" s="758"/>
      <c r="AE10" s="44"/>
    </row>
    <row r="11" spans="1:32" ht="15.75">
      <c r="B11" s="230" t="s">
        <v>99</v>
      </c>
      <c r="C11" s="154">
        <f>INDEX('Incremental Rev Req'!$N$8:$S$23,MATCH(B11,'Incremental Rev Req'!$N$8:$N$23,0),MATCH(Summary!$D$2,'Incremental Rev Req'!$N$8:$S$8,0))</f>
        <v>313439.59083141247</v>
      </c>
      <c r="D11" s="154">
        <f>INDEX('Incremental Rev Req'!$N$110:$S$125,MATCH(B11,'Incremental Rev Req'!$N$110:$N$125,0),MATCH(Summary!$D$2,'Incremental Rev Req'!$N$110:$S$110,0))</f>
        <v>311165.08401730977</v>
      </c>
      <c r="G11" s="1" t="s">
        <v>161</v>
      </c>
      <c r="H11" s="523">
        <f>C4</f>
        <v>593857.01988567889</v>
      </c>
      <c r="I11" s="99">
        <f>C5</f>
        <v>313.03090980522069</v>
      </c>
      <c r="J11" s="99">
        <f>C6</f>
        <v>171405.04534484091</v>
      </c>
      <c r="K11" s="99">
        <f>C7</f>
        <v>2334325.4627643544</v>
      </c>
      <c r="L11" s="99">
        <f>C8</f>
        <v>-149108.549279297</v>
      </c>
      <c r="M11" s="99">
        <f>C9</f>
        <v>-1314.4084937329058</v>
      </c>
      <c r="N11" s="99">
        <f>C10</f>
        <v>-64.002330000000001</v>
      </c>
      <c r="O11" s="99">
        <f>C11</f>
        <v>313439.59083141247</v>
      </c>
      <c r="P11" s="99">
        <f>C12</f>
        <v>0</v>
      </c>
      <c r="Q11" s="99">
        <f>C16</f>
        <v>0</v>
      </c>
      <c r="R11" s="99">
        <f>C14</f>
        <v>984590.0567607712</v>
      </c>
      <c r="S11" s="99">
        <f>C17</f>
        <v>88541.557594423401</v>
      </c>
      <c r="T11" s="99">
        <f>C15</f>
        <v>847.9793819286399</v>
      </c>
      <c r="U11" s="524">
        <f>C13</f>
        <v>331222.97448064573</v>
      </c>
      <c r="V11" s="89">
        <f>SUM(H11:U11)</f>
        <v>4668055.7578508304</v>
      </c>
      <c r="W11" s="760"/>
      <c r="X11" s="760"/>
      <c r="Y11" s="44"/>
      <c r="Z11" s="44"/>
      <c r="AA11" s="44"/>
      <c r="AB11" s="761"/>
      <c r="AC11" s="761"/>
      <c r="AD11" s="44"/>
      <c r="AE11" s="44"/>
    </row>
    <row r="12" spans="1:32" ht="15.75">
      <c r="B12" s="229" t="s">
        <v>97</v>
      </c>
      <c r="C12" s="154">
        <f>INDEX('Incremental Rev Req'!$N$8:$S$23,MATCH(B12,'Incremental Rev Req'!$N$8:$N$23,0),MATCH(Summary!$D$2,'Incremental Rev Req'!$N$8:$S$8,0))</f>
        <v>0</v>
      </c>
      <c r="D12" s="154">
        <f>INDEX('Incremental Rev Req'!$N$110:$S$125,MATCH(B12,'Incremental Rev Req'!$N$110:$N$125,0),MATCH(Summary!$D$2,'Incremental Rev Req'!$N$110:$S$110,0))</f>
        <v>0</v>
      </c>
      <c r="G12" s="271" t="s">
        <v>162</v>
      </c>
      <c r="H12" s="762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763"/>
      <c r="V12" s="89"/>
      <c r="W12" s="44"/>
      <c r="X12" s="760"/>
      <c r="Y12" s="44"/>
      <c r="Z12" s="44"/>
      <c r="AA12" s="44"/>
      <c r="AB12" s="44"/>
      <c r="AC12" s="760"/>
      <c r="AD12" s="764"/>
      <c r="AE12" s="44"/>
    </row>
    <row r="13" spans="1:32" ht="15.75" customHeight="1">
      <c r="B13" s="229" t="s">
        <v>251</v>
      </c>
      <c r="C13" s="154">
        <f>INDEX('Incremental Rev Req'!$N$8:$S$23,MATCH(B13,'Incremental Rev Req'!$N$8:$N$23,0),MATCH(Summary!$D$2,'Incremental Rev Req'!$N$8:$S$8,0))</f>
        <v>331222.97448064573</v>
      </c>
      <c r="D13" s="154">
        <f>INDEX('Incremental Rev Req'!$N$110:$S$125,MATCH(B13,'Incremental Rev Req'!$N$110:$N$125,0),MATCH(Summary!$D$2,'Incremental Rev Req'!$N$110:$S$110,0))</f>
        <v>309151.96842992719</v>
      </c>
      <c r="G13" s="1" t="s">
        <v>378</v>
      </c>
      <c r="H13" s="521">
        <f>H6*H14</f>
        <v>51569.547243094799</v>
      </c>
      <c r="I13" s="89">
        <f>I6*I14</f>
        <v>51.24456061949904</v>
      </c>
      <c r="J13" s="89">
        <f t="shared" ref="J13:T13" si="1">J6*J14</f>
        <v>21856.03005783918</v>
      </c>
      <c r="K13" s="89">
        <f t="shared" si="1"/>
        <v>386829.94411744963</v>
      </c>
      <c r="L13" s="89">
        <f t="shared" si="1"/>
        <v>-8653.1704460693436</v>
      </c>
      <c r="M13" s="89">
        <f t="shared" si="1"/>
        <v>-161.41243306843003</v>
      </c>
      <c r="N13" s="89">
        <f t="shared" si="1"/>
        <v>-5.6774546621136484</v>
      </c>
      <c r="O13" s="89">
        <f t="shared" si="1"/>
        <v>31448.910947704375</v>
      </c>
      <c r="P13" s="89">
        <f t="shared" si="1"/>
        <v>0</v>
      </c>
      <c r="Q13" s="89">
        <f t="shared" si="1"/>
        <v>0</v>
      </c>
      <c r="R13" s="89">
        <f t="shared" si="1"/>
        <v>83061.341991670168</v>
      </c>
      <c r="S13" s="89">
        <f>S6*S14</f>
        <v>10168.445542997473</v>
      </c>
      <c r="T13" s="89">
        <f t="shared" si="1"/>
        <v>83.059365274489181</v>
      </c>
      <c r="U13" s="522">
        <f>U6*U14</f>
        <v>30261.979019030965</v>
      </c>
      <c r="V13" s="89">
        <f>SUM(H13:U13)</f>
        <v>606510.2425118807</v>
      </c>
      <c r="W13" s="759"/>
      <c r="X13" s="760"/>
      <c r="Y13" s="44"/>
      <c r="Z13" s="44"/>
      <c r="AA13" s="44"/>
      <c r="AB13" s="44"/>
      <c r="AC13" s="761"/>
      <c r="AD13" s="761"/>
      <c r="AE13" s="44"/>
    </row>
    <row r="14" spans="1:32" ht="15.75" customHeight="1">
      <c r="B14" s="229" t="s">
        <v>10</v>
      </c>
      <c r="C14" s="154">
        <f>INDEX('Incremental Rev Req'!$N$8:$S$23,MATCH(B14,'Incremental Rev Req'!$N$8:$N$23,0),MATCH(Summary!$D$2,'Incremental Rev Req'!$N$8:$S$8,0))</f>
        <v>984590.0567607712</v>
      </c>
      <c r="D14" s="154">
        <f>INDEX('Incremental Rev Req'!$N$110:$S$125,MATCH(B14,'Incremental Rev Req'!$N$110:$N$125,0),MATCH(Summary!$D$2,'Incremental Rev Req'!$N$110:$S$110,0))</f>
        <v>1137793.6234757532</v>
      </c>
      <c r="G14" s="1" t="s">
        <v>161</v>
      </c>
      <c r="H14" s="525">
        <f>D4</f>
        <v>521030.39687597519</v>
      </c>
      <c r="I14" s="518">
        <f>D5</f>
        <v>369.95201587564628</v>
      </c>
      <c r="J14" s="518">
        <f>D6</f>
        <v>255410.28234802242</v>
      </c>
      <c r="K14" s="518">
        <f>D7</f>
        <v>3247885.1595391147</v>
      </c>
      <c r="L14" s="518">
        <f>D8</f>
        <v>-137797.42794241811</v>
      </c>
      <c r="M14" s="518">
        <f>D9</f>
        <v>-1732.1215296796659</v>
      </c>
      <c r="N14" s="518">
        <f>D10</f>
        <v>-64.002330000000001</v>
      </c>
      <c r="O14" s="518">
        <f>D11</f>
        <v>311165.08401730977</v>
      </c>
      <c r="P14" s="518">
        <f>D12</f>
        <v>0</v>
      </c>
      <c r="Q14" s="518">
        <f>D16</f>
        <v>0</v>
      </c>
      <c r="R14" s="518">
        <f>D14</f>
        <v>1137793.6234757532</v>
      </c>
      <c r="S14" s="518">
        <f>D17</f>
        <v>90036.674351672409</v>
      </c>
      <c r="T14" s="518">
        <f>D15</f>
        <v>847.9793819286399</v>
      </c>
      <c r="U14" s="526">
        <f>D13</f>
        <v>309151.96842992719</v>
      </c>
      <c r="V14" s="89">
        <f>SUM(H14:U14)</f>
        <v>5734097.5686334809</v>
      </c>
      <c r="W14" s="760"/>
      <c r="X14" s="760"/>
      <c r="Y14" s="44"/>
      <c r="Z14" s="44"/>
      <c r="AA14" s="44"/>
      <c r="AB14" s="44"/>
      <c r="AC14" s="761"/>
      <c r="AD14" s="765"/>
      <c r="AE14" s="44"/>
    </row>
    <row r="15" spans="1:32" ht="15.75">
      <c r="B15" s="229" t="s">
        <v>87</v>
      </c>
      <c r="C15" s="154">
        <f>INDEX('Incremental Rev Req'!$N$8:$S$23,MATCH(B15,'Incremental Rev Req'!$N$8:$N$23,0),MATCH(Summary!$D$2,'Incremental Rev Req'!$N$8:$S$8,0))</f>
        <v>847.9793819286399</v>
      </c>
      <c r="D15" s="154">
        <f>INDEX('Incremental Rev Req'!$N$110:$S$125,MATCH(B15,'Incremental Rev Req'!$N$110:$N$125,0),MATCH(Summary!$D$2,'Incremental Rev Req'!$N$110:$S$110,0))</f>
        <v>847.9793819286399</v>
      </c>
      <c r="G15" s="91"/>
      <c r="H15" s="39"/>
      <c r="I15" s="39"/>
      <c r="J15" s="39"/>
      <c r="K15" s="39"/>
      <c r="L15" s="87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1"/>
      <c r="AD15" s="44"/>
      <c r="AE15" s="44"/>
    </row>
    <row r="16" spans="1:32" ht="15.75">
      <c r="B16" s="229" t="s">
        <v>78</v>
      </c>
      <c r="C16" s="154">
        <f>INDEX('Incremental Rev Req'!$N$8:$S$23,MATCH(B16,'Incremental Rev Req'!$N$8:$N$23,0),MATCH(Summary!$D$2,'Incremental Rev Req'!$N$8:$S$8,0))</f>
        <v>0</v>
      </c>
      <c r="D16" s="154">
        <f>INDEX('Incremental Rev Req'!$N$110:$S$125,MATCH(B16,'Incremental Rev Req'!$N$110:$N$125,0),MATCH(Summary!$D$2,'Incremental Rev Req'!$N$110:$S$110,0))</f>
        <v>0</v>
      </c>
      <c r="G16" s="44"/>
      <c r="H16" s="766"/>
      <c r="I16" s="701"/>
      <c r="J16" s="701"/>
      <c r="K16" s="701"/>
      <c r="L16" s="701"/>
      <c r="M16" s="701"/>
      <c r="N16" s="701"/>
      <c r="O16" s="701"/>
      <c r="P16" s="701"/>
      <c r="Q16" s="701"/>
      <c r="R16" s="701"/>
      <c r="S16" s="701"/>
      <c r="T16" s="701"/>
      <c r="U16" s="701"/>
      <c r="V16" s="870" t="s">
        <v>257</v>
      </c>
      <c r="W16" s="871"/>
      <c r="X16" s="870" t="s">
        <v>253</v>
      </c>
      <c r="Y16" s="871"/>
      <c r="Z16" s="874" t="s">
        <v>254</v>
      </c>
      <c r="AA16" s="872" t="s">
        <v>255</v>
      </c>
      <c r="AB16" s="44"/>
      <c r="AC16" s="754"/>
      <c r="AD16" s="317"/>
      <c r="AE16" s="291"/>
      <c r="AF16" s="167"/>
    </row>
    <row r="17" spans="2:32" ht="15.75">
      <c r="B17" s="1" t="s">
        <v>221</v>
      </c>
      <c r="C17" s="154">
        <f>INDEX('Incremental Rev Req'!$N$8:$S$23,MATCH(B17,'Incremental Rev Req'!$N$8:$N$23,0),MATCH(Summary!$D$2,'Incremental Rev Req'!$N$8:$S$8,0))</f>
        <v>88541.557594423401</v>
      </c>
      <c r="D17" s="154">
        <f>INDEX('Incremental Rev Req'!$N$110:$S$125,MATCH(B17,'Incremental Rev Req'!$N$110:$N$125,0),MATCH(Summary!$D$2,'Incremental Rev Req'!$N$110:$S$110,0))</f>
        <v>90036.674351672409</v>
      </c>
      <c r="G17" s="87"/>
      <c r="H17" s="853" t="s">
        <v>249</v>
      </c>
      <c r="I17" s="855"/>
      <c r="J17" s="855"/>
      <c r="K17" s="855"/>
      <c r="L17" s="855"/>
      <c r="M17" s="855"/>
      <c r="N17" s="855"/>
      <c r="O17" s="855"/>
      <c r="P17" s="855"/>
      <c r="Q17" s="855"/>
      <c r="R17" s="855"/>
      <c r="S17" s="855"/>
      <c r="T17" s="855"/>
      <c r="U17" s="854"/>
      <c r="V17" s="853" t="s">
        <v>165</v>
      </c>
      <c r="W17" s="854"/>
      <c r="X17" s="853" t="s">
        <v>165</v>
      </c>
      <c r="Y17" s="854"/>
      <c r="Z17" s="875"/>
      <c r="AA17" s="873"/>
      <c r="AB17" s="44"/>
      <c r="AC17" s="754"/>
      <c r="AD17" s="712" t="s">
        <v>154</v>
      </c>
      <c r="AE17" s="712" t="s">
        <v>162</v>
      </c>
    </row>
    <row r="18" spans="2:32" ht="31.5">
      <c r="B18" s="2" t="s">
        <v>256</v>
      </c>
      <c r="C18" s="82">
        <f>SUM(C4:C17)</f>
        <v>4668055.7578508304</v>
      </c>
      <c r="D18" s="82">
        <f>SUM(D4:D17)</f>
        <v>5734097.5686334809</v>
      </c>
      <c r="F18" s="265"/>
      <c r="H18" s="300" t="s">
        <v>3</v>
      </c>
      <c r="I18" s="84" t="s">
        <v>372</v>
      </c>
      <c r="J18" s="84" t="s">
        <v>59</v>
      </c>
      <c r="K18" s="84" t="s">
        <v>5</v>
      </c>
      <c r="L18" s="84" t="s">
        <v>98</v>
      </c>
      <c r="M18" s="84" t="s">
        <v>14</v>
      </c>
      <c r="N18" s="84" t="s">
        <v>80</v>
      </c>
      <c r="O18" s="84" t="s">
        <v>99</v>
      </c>
      <c r="P18" s="84" t="s">
        <v>97</v>
      </c>
      <c r="Q18" s="84" t="s">
        <v>78</v>
      </c>
      <c r="R18" s="84" t="s">
        <v>10</v>
      </c>
      <c r="S18" s="84" t="s">
        <v>221</v>
      </c>
      <c r="T18" s="84" t="s">
        <v>87</v>
      </c>
      <c r="U18" s="84" t="s">
        <v>251</v>
      </c>
      <c r="V18" s="94" t="s">
        <v>112</v>
      </c>
      <c r="W18" s="752" t="s">
        <v>444</v>
      </c>
      <c r="X18" s="753" t="s">
        <v>112</v>
      </c>
      <c r="Y18" s="752" t="s">
        <v>444</v>
      </c>
      <c r="Z18" s="94" t="s">
        <v>3</v>
      </c>
      <c r="AA18" s="749" t="s">
        <v>3</v>
      </c>
      <c r="AC18" s="202" t="s">
        <v>445</v>
      </c>
      <c r="AD18" s="90">
        <f>IF(Summary!$D$2=2026,C31,C32)</f>
        <v>248403.2754305687</v>
      </c>
      <c r="AE18" s="90">
        <f>AD18</f>
        <v>248403.2754305687</v>
      </c>
      <c r="AF18" s="98"/>
    </row>
    <row r="19" spans="2:32" ht="15.75">
      <c r="C19" s="178"/>
      <c r="D19" s="178"/>
      <c r="E19" s="265"/>
      <c r="G19" s="1" t="s">
        <v>378</v>
      </c>
      <c r="H19" s="512">
        <v>1</v>
      </c>
      <c r="I19" s="513">
        <v>0</v>
      </c>
      <c r="J19" s="513">
        <v>1</v>
      </c>
      <c r="K19" s="513">
        <v>1</v>
      </c>
      <c r="L19" s="513">
        <v>1</v>
      </c>
      <c r="M19" s="513">
        <v>1</v>
      </c>
      <c r="N19" s="513">
        <v>1</v>
      </c>
      <c r="O19" s="513">
        <v>1</v>
      </c>
      <c r="P19" s="513">
        <v>1</v>
      </c>
      <c r="Q19" s="513">
        <v>1</v>
      </c>
      <c r="R19" s="513">
        <v>1</v>
      </c>
      <c r="S19" s="513">
        <v>1</v>
      </c>
      <c r="T19" s="513">
        <v>1</v>
      </c>
      <c r="U19" s="513">
        <v>0</v>
      </c>
      <c r="V19" s="95">
        <f>SUMPRODUCT(J10:T10,J19:T19)</f>
        <v>396837.54803064669</v>
      </c>
      <c r="W19" s="99">
        <f>V19-((AD18)*IF(Summary!$D$2=2026,D31,D32))</f>
        <v>389627.09360590705</v>
      </c>
      <c r="X19" s="95">
        <f>SUMPRODUCT(J13:T13,J19:T19)</f>
        <v>524627.47168913542</v>
      </c>
      <c r="Y19" s="96">
        <f>X19-((AE18)*IF(Summary!$D$2=2026,D31,D32))</f>
        <v>517417.01726439578</v>
      </c>
      <c r="Z19" s="95">
        <f>SUMPRODUCT(H10,H19)</f>
        <v>58777.641047932739</v>
      </c>
      <c r="AA19" s="227">
        <f>SUMPRODUCT(H13,H19)</f>
        <v>51569.547243094799</v>
      </c>
      <c r="AC19" s="202"/>
      <c r="AD19" s="89"/>
      <c r="AE19" s="89"/>
    </row>
    <row r="20" spans="2:32" ht="15.75">
      <c r="B20" s="2" t="s">
        <v>245</v>
      </c>
      <c r="C20" s="224">
        <f>'SDG&amp;E INPUTS'!S14</f>
        <v>1E-3</v>
      </c>
      <c r="D20" s="224">
        <f>C20</f>
        <v>1E-3</v>
      </c>
      <c r="G20" s="1" t="s">
        <v>161</v>
      </c>
      <c r="H20" s="378">
        <v>1</v>
      </c>
      <c r="I20" s="379">
        <v>0</v>
      </c>
      <c r="J20" s="379">
        <v>1</v>
      </c>
      <c r="K20" s="379">
        <v>1</v>
      </c>
      <c r="L20" s="379">
        <v>1</v>
      </c>
      <c r="M20" s="379">
        <v>1</v>
      </c>
      <c r="N20" s="379">
        <v>1</v>
      </c>
      <c r="O20" s="379">
        <v>1</v>
      </c>
      <c r="P20" s="379">
        <v>1</v>
      </c>
      <c r="Q20" s="379">
        <v>1</v>
      </c>
      <c r="R20" s="379">
        <v>1</v>
      </c>
      <c r="S20" s="379">
        <v>1</v>
      </c>
      <c r="T20" s="379">
        <v>1</v>
      </c>
      <c r="U20" s="379">
        <v>0</v>
      </c>
      <c r="V20" s="517">
        <f>SUMPRODUCT(J11:T11,J20:T20)</f>
        <v>3742662.7325747008</v>
      </c>
      <c r="W20" s="518">
        <f>V20-AD18</f>
        <v>3494259.4571441323</v>
      </c>
      <c r="X20" s="517">
        <f>SUMPRODUCT(J14:T14,J20:T20)</f>
        <v>4903545.2513117036</v>
      </c>
      <c r="Y20" s="519">
        <f>X20-AE18</f>
        <v>4655141.9758811351</v>
      </c>
      <c r="Z20" s="517">
        <f>SUMPRODUCT(H11,H20)</f>
        <v>593857.01988567889</v>
      </c>
      <c r="AA20" s="520">
        <f>SUMPRODUCT(H14,H20)</f>
        <v>521030.39687597519</v>
      </c>
      <c r="AC20" s="202"/>
      <c r="AD20" s="292"/>
      <c r="AE20" s="292"/>
      <c r="AF20" s="1"/>
    </row>
    <row r="21" spans="2:32" ht="15.75">
      <c r="B21" s="2"/>
      <c r="C21" s="224"/>
      <c r="D21" s="224"/>
      <c r="G21" s="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S21" s="291"/>
      <c r="T21" s="291"/>
      <c r="U21" s="99"/>
      <c r="V21" s="99"/>
      <c r="W21" s="99"/>
      <c r="X21" s="99"/>
      <c r="Y21" s="99"/>
      <c r="Z21" s="99"/>
      <c r="AB21" s="202"/>
      <c r="AC21" s="292"/>
      <c r="AD21" s="292"/>
      <c r="AE21" s="1"/>
    </row>
    <row r="22" spans="2:32" ht="15.75">
      <c r="B22" s="2"/>
      <c r="C22" s="224"/>
      <c r="D22" s="224"/>
      <c r="G22" s="840" t="s">
        <v>168</v>
      </c>
      <c r="H22" s="841"/>
      <c r="I22" s="841"/>
      <c r="J22" s="841"/>
      <c r="K22" s="841"/>
      <c r="L22" s="842"/>
      <c r="P22" s="1"/>
      <c r="Q22" s="840" t="s">
        <v>169</v>
      </c>
      <c r="R22" s="841"/>
      <c r="S22" s="841"/>
      <c r="T22" s="841"/>
      <c r="U22" s="841"/>
      <c r="V22" s="841"/>
      <c r="W22" s="842"/>
      <c r="X22" s="105"/>
      <c r="AB22" s="93"/>
      <c r="AC22" s="90"/>
      <c r="AD22" s="90"/>
      <c r="AE22" s="168"/>
    </row>
    <row r="23" spans="2:32" ht="63">
      <c r="C23" s="792" t="str">
        <f>'SAR and RAR'!C23</f>
        <v>2026 SALES DETERMINANTS</v>
      </c>
      <c r="D23" s="869"/>
      <c r="E23" s="793"/>
      <c r="F23" s="83"/>
      <c r="G23" s="83" t="str">
        <f>Summary!D2&amp;" SALES DETERMINANTS BUNDLED"</f>
        <v>2030 SALES DETERMINANTS BUNDLED</v>
      </c>
      <c r="H23" s="83" t="str">
        <f>Summary!I2&amp;" Avg Rates"&amp;"(sales adj.)"</f>
        <v>8/1/2026 Avg Rates(sales adj.)</v>
      </c>
      <c r="I23" s="83" t="s">
        <v>170</v>
      </c>
      <c r="J23" s="83" t="s">
        <v>171</v>
      </c>
      <c r="K23" s="83" t="s">
        <v>172</v>
      </c>
      <c r="L23" s="83" t="s">
        <v>173</v>
      </c>
      <c r="Q23" s="1"/>
      <c r="R23" s="83" t="str">
        <f>C24</f>
        <v>SYSTEM NET</v>
      </c>
      <c r="S23" s="83" t="str">
        <f>H23</f>
        <v>8/1/2026 Avg Rates(sales adj.)</v>
      </c>
      <c r="T23" s="83" t="s">
        <v>170</v>
      </c>
      <c r="U23" s="83" t="s">
        <v>171</v>
      </c>
      <c r="V23" s="83" t="s">
        <v>172</v>
      </c>
      <c r="W23" s="83" t="s">
        <v>173</v>
      </c>
      <c r="X23" s="105"/>
      <c r="AB23" s="52"/>
      <c r="AC23" s="432" t="str">
        <f>'SDG&amp;E INPUTS'!E115</f>
        <v>6/1/2026</v>
      </c>
      <c r="AD23" s="432" t="str">
        <f>'SDG&amp;E INPUTS'!F115</f>
        <v>8/1/2026</v>
      </c>
      <c r="AE23" s="432" t="str">
        <f>'SDG&amp;E INPUTS'!G115</f>
        <v>6/1/2026</v>
      </c>
      <c r="AF23" s="432" t="str">
        <f>'SDG&amp;E INPUTS'!H115</f>
        <v>8/1/2026</v>
      </c>
    </row>
    <row r="24" spans="2:32" ht="31.5">
      <c r="B24" s="1"/>
      <c r="C24" s="83" t="s">
        <v>333</v>
      </c>
      <c r="D24" s="83" t="s">
        <v>334</v>
      </c>
      <c r="E24" s="83" t="s">
        <v>335</v>
      </c>
      <c r="F24" s="106" t="s">
        <v>378</v>
      </c>
      <c r="G24" s="226">
        <f>IF(Summary!$D$2=2026,E25,E38)</f>
        <v>335262.7827021245</v>
      </c>
      <c r="H24" s="747">
        <f>IF(Summary!$I$8="N",AF26,AD26)</f>
        <v>39.977999999999994</v>
      </c>
      <c r="I24" s="435">
        <f>IF(Summary!$I$8="N",SUM($H30,$J30:$K30,$M30:$T30),SUM($H30,$J30:$T30))</f>
        <v>40.19953172929818</v>
      </c>
      <c r="J24" s="435">
        <f>IF(Summary!$I$8="N",SUM($H36,$J36:$K36,$M36:$T36),SUM($H36,$J36:$T36))</f>
        <v>45.496478122695414</v>
      </c>
      <c r="K24" s="107">
        <f>I24/H24-1</f>
        <v>5.54134096998804E-3</v>
      </c>
      <c r="L24" s="107">
        <f>J24/H24-1</f>
        <v>0.13803787389802946</v>
      </c>
      <c r="M24" s="431"/>
      <c r="O24" s="270"/>
      <c r="Q24" s="106" t="s">
        <v>378</v>
      </c>
      <c r="R24" s="97">
        <f>IF(Summary!$D$2=2026,C25,C38)</f>
        <v>1716028.948759289</v>
      </c>
      <c r="S24" s="436">
        <f>((('SDG&amp;E INPUTS'!L43)*$U$6)/($C25-$E25)*100)+(('SDG&amp;E INPUTS'!L42*$I$6)/($C25-$E25)*100)+H24</f>
        <v>42.231384788503121</v>
      </c>
      <c r="T24" s="435">
        <f>I24+($U10/(IF(Summary!$D$2=2026,$C25,$C38)-IF(Summary!$D$2=2026,$E25,$E38))*100)+($I10/(IF(Summary!$D$2=2026,$C25,$C38)-IF(Summary!$D$2=2026,$E25,$E38))*100)</f>
        <v>42.550820880722085</v>
      </c>
      <c r="U24" s="435">
        <f>J24+($U13/(IF(Summary!$D$2=2026,$C25,$C38)-IF(Summary!$D$2=2026,$E25,$E38))*100)+($I13/(IF(Summary!$D$2=2026,$C25,$C38)-IF(Summary!$D$2=2026,$E25,$E38))*100)</f>
        <v>47.691869661453289</v>
      </c>
      <c r="V24" s="107">
        <f>T24/S24-1</f>
        <v>7.5639502189832619E-3</v>
      </c>
      <c r="W24" s="107">
        <f>U24/S24-1</f>
        <v>0.12929921432357827</v>
      </c>
      <c r="X24" s="105"/>
      <c r="Y24" s="1"/>
      <c r="Z24" s="1"/>
      <c r="AB24" s="52"/>
      <c r="AC24" s="791" t="s">
        <v>421</v>
      </c>
      <c r="AD24" s="791"/>
      <c r="AE24" s="791" t="s">
        <v>420</v>
      </c>
      <c r="AF24" s="791"/>
    </row>
    <row r="25" spans="2:32" ht="15.75">
      <c r="B25" s="106" t="s">
        <v>378</v>
      </c>
      <c r="C25" s="226">
        <f>'SDG&amp;E INPUTS'!E34</f>
        <v>1785282.6652098768</v>
      </c>
      <c r="D25" s="226">
        <f>'SDG&amp;E INPUTS'!F34</f>
        <v>1813227.9387441275</v>
      </c>
      <c r="E25" s="226">
        <f>'SDG&amp;E INPUTS'!G34</f>
        <v>344525.3993103329</v>
      </c>
      <c r="F25" s="106" t="s">
        <v>161</v>
      </c>
      <c r="G25" s="226">
        <f>IF(Summary!$D$2=2026,E26,E39)</f>
        <v>3056061.0825226498</v>
      </c>
      <c r="H25" s="747">
        <f>IF(Summary!$I$8="N",AF27,AD27)</f>
        <v>39.259</v>
      </c>
      <c r="I25" s="435">
        <f>IF(Summary!$I$8="N",SUM($H31,$J31:$K31,$M31:$T31),SUM($H31,$J31:$T31))</f>
        <v>39.129307483831283</v>
      </c>
      <c r="J25" s="435">
        <f>IF(Summary!$I$8="N",SUM($H37,$J37:$K37,$M37:$T37),SUM($H37,$J37:$T37))</f>
        <v>43.37326262322987</v>
      </c>
      <c r="K25" s="107">
        <f>I25/H25-1</f>
        <v>-3.3035104350267464E-3</v>
      </c>
      <c r="L25" s="107">
        <f>J25/H25-1</f>
        <v>0.1047979475592824</v>
      </c>
      <c r="M25" s="431"/>
      <c r="Q25" s="106" t="s">
        <v>161</v>
      </c>
      <c r="R25" s="97">
        <f>IF(Summary!$D$2=2026,C26,C39)</f>
        <v>17519483.354244851</v>
      </c>
      <c r="S25" s="436">
        <f>('SDG&amp;E INPUTS'!L41/($C26-$E26)*100)+H25</f>
        <v>41.591672408872029</v>
      </c>
      <c r="T25" s="435">
        <f>I25+($U11/(IF(Summary!$D$2=2026,$C26,$C39)-IF(Summary!$D$2=2026,$E26,$E39))*100)+($I11/(IF(Summary!$D$2=2026,$C26,$C39)-IF(Summary!$D$2=2026,$E26,$E39))*100)</f>
        <v>41.421545096492608</v>
      </c>
      <c r="U25" s="435">
        <f>J25+($U14/(IF(Summary!$D$2=2026,$C26,$C39)-IF(Summary!$D$2=2026,$E26,$E39))*100)+($I14/(IF(Summary!$D$2=2026,$C26,$C39)-IF(Summary!$D$2=2026,$E26,$E39))*100)</f>
        <v>45.513295007204142</v>
      </c>
      <c r="V25" s="107">
        <f>T25/S25-1</f>
        <v>-4.0904176852271101E-3</v>
      </c>
      <c r="W25" s="107">
        <f>U25/S25-1</f>
        <v>9.42886489338568E-2</v>
      </c>
      <c r="X25" s="109"/>
      <c r="Y25" s="102"/>
      <c r="Z25" s="102"/>
      <c r="AB25" s="52" t="s">
        <v>335</v>
      </c>
      <c r="AC25" s="52"/>
      <c r="AD25" s="52"/>
      <c r="AE25" s="52"/>
      <c r="AF25" s="52"/>
    </row>
    <row r="26" spans="2:32" ht="15.75">
      <c r="B26" s="106" t="s">
        <v>161</v>
      </c>
      <c r="C26" s="226">
        <f>'SDG&amp;E INPUTS'!E35</f>
        <v>17431428.836032141</v>
      </c>
      <c r="D26" s="226">
        <f>'SDG&amp;E INPUTS'!F35</f>
        <v>19476455.216977414</v>
      </c>
      <c r="E26" s="226">
        <f>'SDG&amp;E INPUTS'!G35</f>
        <v>3218717.0926473755</v>
      </c>
      <c r="F26" s="20"/>
      <c r="S26" s="1"/>
      <c r="T26" s="1"/>
      <c r="U26" s="103"/>
      <c r="V26" s="104"/>
      <c r="W26" s="103"/>
      <c r="X26" s="105"/>
      <c r="Y26" s="104"/>
      <c r="Z26" s="104"/>
      <c r="AB26" s="52" t="s">
        <v>378</v>
      </c>
      <c r="AC26" s="434">
        <f>'SDG&amp;E INPUTS'!E118</f>
        <v>39.82</v>
      </c>
      <c r="AD26" s="434">
        <f>'SDG&amp;E INPUTS'!F118</f>
        <v>39.977999999999994</v>
      </c>
      <c r="AE26" s="434">
        <f>'SDG&amp;E INPUTS'!G118</f>
        <v>40.344999999999999</v>
      </c>
      <c r="AF26" s="434">
        <f>'SDG&amp;E INPUTS'!H118</f>
        <v>40.503</v>
      </c>
    </row>
    <row r="27" spans="2:32" ht="15.75">
      <c r="B27" s="268"/>
      <c r="C27" s="2"/>
      <c r="E27" s="20"/>
      <c r="F27" s="1"/>
      <c r="H27" s="4"/>
      <c r="I27" s="4"/>
      <c r="J27" s="4"/>
      <c r="Q27" s="1"/>
      <c r="R27" s="1"/>
      <c r="S27" s="1"/>
      <c r="T27" s="1"/>
      <c r="U27" s="1"/>
      <c r="V27" s="1"/>
      <c r="W27" s="1"/>
      <c r="X27" s="109"/>
      <c r="Y27" s="105"/>
      <c r="Z27" s="105"/>
      <c r="AB27" s="52" t="s">
        <v>161</v>
      </c>
      <c r="AC27" s="434">
        <f>'SDG&amp;E INPUTS'!E119</f>
        <v>38.957000000000001</v>
      </c>
      <c r="AD27" s="434">
        <f>'SDG&amp;E INPUTS'!F119</f>
        <v>39.259</v>
      </c>
      <c r="AE27" s="434">
        <f>'SDG&amp;E INPUTS'!G119</f>
        <v>39.811999999999998</v>
      </c>
      <c r="AF27" s="434">
        <f>'SDG&amp;E INPUTS'!H119</f>
        <v>40.114000000000004</v>
      </c>
    </row>
    <row r="28" spans="2:32" ht="15.75">
      <c r="D28" s="1"/>
      <c r="E28" s="1"/>
      <c r="F28" s="1"/>
      <c r="G28" s="470"/>
      <c r="H28" s="856" t="s">
        <v>480</v>
      </c>
      <c r="I28" s="856"/>
      <c r="J28" s="856"/>
      <c r="K28" s="856"/>
      <c r="L28" s="856"/>
      <c r="M28" s="856"/>
      <c r="N28" s="856"/>
      <c r="O28" s="856"/>
      <c r="P28" s="856"/>
      <c r="Q28" s="856"/>
      <c r="R28" s="856"/>
      <c r="S28" s="856"/>
      <c r="T28" s="856"/>
      <c r="U28" s="857"/>
      <c r="V28" s="1"/>
      <c r="W28" s="1"/>
      <c r="X28" s="109"/>
      <c r="Y28" s="105"/>
      <c r="Z28" s="105"/>
      <c r="AD28" s="1"/>
      <c r="AE28" s="1"/>
    </row>
    <row r="29" spans="2:32" ht="30">
      <c r="B29" s="579" t="s">
        <v>443</v>
      </c>
      <c r="C29" s="3"/>
      <c r="D29" s="1"/>
      <c r="E29" s="1"/>
      <c r="G29" s="471"/>
      <c r="H29" s="472" t="s">
        <v>3</v>
      </c>
      <c r="I29" s="473" t="s">
        <v>372</v>
      </c>
      <c r="J29" s="473" t="s">
        <v>59</v>
      </c>
      <c r="K29" s="473" t="s">
        <v>5</v>
      </c>
      <c r="L29" s="473" t="s">
        <v>98</v>
      </c>
      <c r="M29" s="473" t="s">
        <v>14</v>
      </c>
      <c r="N29" s="473" t="s">
        <v>80</v>
      </c>
      <c r="O29" s="473" t="s">
        <v>99</v>
      </c>
      <c r="P29" s="473" t="s">
        <v>97</v>
      </c>
      <c r="Q29" s="473" t="s">
        <v>78</v>
      </c>
      <c r="R29" s="473" t="s">
        <v>10</v>
      </c>
      <c r="S29" s="473" t="s">
        <v>221</v>
      </c>
      <c r="T29" s="473" t="s">
        <v>87</v>
      </c>
      <c r="U29" s="474" t="s">
        <v>251</v>
      </c>
      <c r="V29" s="1"/>
      <c r="W29" s="1"/>
      <c r="X29" s="105"/>
      <c r="Y29" s="105"/>
      <c r="Z29" s="105"/>
      <c r="AB29" s="108"/>
    </row>
    <row r="30" spans="2:32" ht="15.75">
      <c r="B30" s="20"/>
      <c r="C30" s="421" t="s">
        <v>147</v>
      </c>
      <c r="D30" s="422" t="s">
        <v>447</v>
      </c>
      <c r="G30" s="475" t="s">
        <v>482</v>
      </c>
      <c r="H30" s="477">
        <f>H10/IF(Summary!$D$2=2026,$E25,$E38)*100</f>
        <v>17.531812083107269</v>
      </c>
      <c r="I30" s="477">
        <f>I10/IF(Summary!$D$2=2026,$C25-$E25,$C38-$E38)*100</f>
        <v>3.1402878756670574E-3</v>
      </c>
      <c r="J30" s="477">
        <f>J10/IF(Summary!$D$2=2026,$C25,$C38)*100</f>
        <v>0.85473579805295219</v>
      </c>
      <c r="K30" s="477">
        <f>(K10-($AD$18*IF(Summary!$D$2=2026,D31,D32)))/IF(Summary!$D$2=2026,$C25,$C38)*100</f>
        <v>15.781354459656423</v>
      </c>
      <c r="L30" s="477">
        <f>L10/IF(Summary!$D$2=2026,$C25,$C38)*100</f>
        <v>-0.54564738964260806</v>
      </c>
      <c r="M30" s="477">
        <f>M10/IF(Summary!$D$2=2026,$D25,$D38)*100</f>
        <v>-7.0274330454016109E-3</v>
      </c>
      <c r="N30" s="477">
        <f>N10/IF(Summary!$D$2=2026,$D25,$D38)*100</f>
        <v>-3.2573273840589499E-4</v>
      </c>
      <c r="O30" s="477">
        <f>O10/IF(Summary!$D$2=2026,$D25,$D38)*100</f>
        <v>1.8175080344699563</v>
      </c>
      <c r="P30" s="477">
        <f>P10/IF(Summary!$D$2=2026,$D25,$D38)*100</f>
        <v>0</v>
      </c>
      <c r="Q30" s="477">
        <f>Q10/IF(Summary!$D$2=2026,$C25,$C38)*100</f>
        <v>0</v>
      </c>
      <c r="R30" s="477">
        <f>R10/IF(Summary!$D$2=2026,$C25,$C38)*100</f>
        <v>4.1885748784872927</v>
      </c>
      <c r="S30" s="477">
        <f>S10/IF(Summary!$D$2=2026,$D25,$D38)*100</f>
        <v>0.5737068232528838</v>
      </c>
      <c r="T30" s="477">
        <f>T10/IF(Summary!$D$2=2026,$C25,$C38)*100</f>
        <v>4.840207697809653E-3</v>
      </c>
      <c r="U30" s="479">
        <f>U10/IF(Summary!$D$2=2026,$C25-$E25,$C38-$E38)*100</f>
        <v>2.3481488635482366</v>
      </c>
      <c r="V30" s="1"/>
      <c r="W30" s="1"/>
      <c r="X30" s="102"/>
      <c r="Y30" s="109"/>
      <c r="Z30" s="109"/>
    </row>
    <row r="31" spans="2:32" ht="15.75">
      <c r="B31" s="20" t="s">
        <v>442</v>
      </c>
      <c r="C31" s="419">
        <f>'SDG&amp;E INPUTS'!E93</f>
        <v>247741.44483236791</v>
      </c>
      <c r="D31" s="420">
        <f>'SDG&amp;E INPUTS'!G93</f>
        <v>2.9372641704313498E-2</v>
      </c>
      <c r="G31" s="476" t="s">
        <v>161</v>
      </c>
      <c r="H31" s="478">
        <f>H11/IF(Summary!$D$2=2026,$E26,$E39)*100</f>
        <v>19.43210570239895</v>
      </c>
      <c r="I31" s="478">
        <f>I11/IF(Summary!$D$2=2026,$C26-$E26,$C39-$E39)*100</f>
        <v>2.1642935117592139E-3</v>
      </c>
      <c r="J31" s="478">
        <f>J11/IF(Summary!$D$2=2026,$C26,$C39)*100</f>
        <v>0.97836815092672613</v>
      </c>
      <c r="K31" s="478">
        <f>(K11-$AD$18)/IF(Summary!$D$2=2026,$C26,$C39)*100</f>
        <v>11.906299661675703</v>
      </c>
      <c r="L31" s="478">
        <f>L11/IF(Summary!$D$2=2026,$C26,$C39)*100</f>
        <v>-0.85110129256847655</v>
      </c>
      <c r="M31" s="478">
        <f>M11/IF(Summary!$D$2=2026,$D26,$D39)*100</f>
        <v>-6.6895358035806976E-3</v>
      </c>
      <c r="N31" s="478">
        <f>N11/IF(Summary!$D$2=2026,$D26,$D39)*100</f>
        <v>-3.2573273840589499E-4</v>
      </c>
      <c r="O31" s="478">
        <f>O11/IF(Summary!$D$2=2026,$D26,$D39)*100</f>
        <v>1.5952159280191711</v>
      </c>
      <c r="P31" s="478">
        <f>P11/IF(Summary!$D$2=2026,$D26,$D39)*100</f>
        <v>0</v>
      </c>
      <c r="Q31" s="478">
        <f>Q11/IF(Summary!$D$2=2026,$C26,$C39)*100</f>
        <v>0</v>
      </c>
      <c r="R31" s="478">
        <f>R11/IF(Summary!$D$2=2026,$C26,$C39)*100</f>
        <v>5.6199719869148526</v>
      </c>
      <c r="S31" s="478">
        <f>S11/IF(Summary!$D$2=2026,$D26,$D39)*100</f>
        <v>0.45062240730852771</v>
      </c>
      <c r="T31" s="478">
        <f>T11/IF(Summary!$D$2=2026,$C26,$C39)*100</f>
        <v>4.8402076978096521E-3</v>
      </c>
      <c r="U31" s="480">
        <f>U11/IF(Summary!$D$2=2026,$C26-$E26,$C39-$E39)*100</f>
        <v>2.2900733191495628</v>
      </c>
      <c r="V31" s="1"/>
      <c r="W31" s="1"/>
      <c r="X31" s="105"/>
      <c r="Y31" s="105"/>
      <c r="Z31" s="105"/>
    </row>
    <row r="32" spans="2:32" ht="15.75">
      <c r="B32" s="469" t="s">
        <v>174</v>
      </c>
      <c r="C32" s="419">
        <f>'SDG&amp;E INPUTS'!E94</f>
        <v>248403.2754305687</v>
      </c>
      <c r="D32" s="420">
        <f>'SDG&amp;E INPUTS'!G94</f>
        <v>2.902721154639145E-2</v>
      </c>
      <c r="I32" s="5"/>
      <c r="J32" s="20"/>
      <c r="K32" s="4"/>
      <c r="L32" s="20"/>
      <c r="M32" s="1"/>
      <c r="N32" s="1"/>
      <c r="O32" s="481"/>
      <c r="P32" s="1"/>
      <c r="Q32" s="1"/>
      <c r="R32" s="481"/>
      <c r="S32" s="2"/>
      <c r="T32" s="2"/>
      <c r="U32" s="2"/>
      <c r="V32" s="2"/>
      <c r="W32" s="2"/>
      <c r="X32" s="2"/>
      <c r="Y32" s="109"/>
      <c r="Z32" s="109"/>
      <c r="AA32" s="109"/>
    </row>
    <row r="33" spans="2:28" ht="15.75">
      <c r="B33" s="1"/>
      <c r="C33" s="90"/>
      <c r="D33" s="47"/>
      <c r="F33" s="1"/>
      <c r="I33" s="5"/>
      <c r="J33" s="20"/>
      <c r="K33" s="20"/>
      <c r="L33" s="20"/>
      <c r="M33" s="1"/>
      <c r="N33" s="1"/>
      <c r="O33" s="481"/>
      <c r="P33" s="1"/>
      <c r="Q33" s="1"/>
      <c r="R33" s="481"/>
      <c r="S33" s="2"/>
      <c r="T33" s="2"/>
      <c r="U33" s="2"/>
      <c r="V33" s="2"/>
      <c r="W33" s="2"/>
      <c r="X33" s="2"/>
      <c r="Y33" s="109"/>
      <c r="Z33" s="109"/>
      <c r="AA33" s="109"/>
      <c r="AB33" s="105"/>
    </row>
    <row r="34" spans="2:28" ht="15.75">
      <c r="D34" s="1"/>
      <c r="E34" s="1"/>
      <c r="F34" s="20"/>
      <c r="G34" s="470"/>
      <c r="H34" s="856" t="s">
        <v>481</v>
      </c>
      <c r="I34" s="856"/>
      <c r="J34" s="856"/>
      <c r="K34" s="856"/>
      <c r="L34" s="856"/>
      <c r="M34" s="856"/>
      <c r="N34" s="856"/>
      <c r="O34" s="856"/>
      <c r="P34" s="856"/>
      <c r="Q34" s="856"/>
      <c r="R34" s="856"/>
      <c r="S34" s="856"/>
      <c r="T34" s="856"/>
      <c r="U34" s="857"/>
      <c r="V34" s="2"/>
      <c r="W34" s="2"/>
      <c r="X34" s="2"/>
      <c r="Y34" s="105"/>
      <c r="Z34" s="105"/>
      <c r="AA34" s="109"/>
      <c r="AB34" s="105"/>
    </row>
    <row r="35" spans="2:28" ht="30">
      <c r="D35" s="1"/>
      <c r="E35" s="20"/>
      <c r="F35" s="1"/>
      <c r="G35" s="471"/>
      <c r="H35" s="472" t="s">
        <v>3</v>
      </c>
      <c r="I35" s="473" t="s">
        <v>372</v>
      </c>
      <c r="J35" s="473" t="s">
        <v>59</v>
      </c>
      <c r="K35" s="473" t="s">
        <v>5</v>
      </c>
      <c r="L35" s="473" t="s">
        <v>98</v>
      </c>
      <c r="M35" s="473" t="s">
        <v>14</v>
      </c>
      <c r="N35" s="473" t="s">
        <v>80</v>
      </c>
      <c r="O35" s="473" t="s">
        <v>99</v>
      </c>
      <c r="P35" s="473" t="s">
        <v>97</v>
      </c>
      <c r="Q35" s="473" t="s">
        <v>78</v>
      </c>
      <c r="R35" s="473" t="s">
        <v>10</v>
      </c>
      <c r="S35" s="473" t="s">
        <v>221</v>
      </c>
      <c r="T35" s="473" t="s">
        <v>87</v>
      </c>
      <c r="U35" s="474" t="s">
        <v>251</v>
      </c>
      <c r="V35" s="2"/>
      <c r="W35" s="2"/>
      <c r="X35" s="2"/>
      <c r="Y35" s="102"/>
      <c r="Z35" s="102"/>
      <c r="AA35" s="109"/>
      <c r="AB35" s="105"/>
    </row>
    <row r="36" spans="2:28" ht="15.75">
      <c r="C36" s="792" t="str">
        <f>'SAR and RAR'!C36</f>
        <v>2027 ERRA FORECAST</v>
      </c>
      <c r="D36" s="869"/>
      <c r="E36" s="793"/>
      <c r="F36" s="106"/>
      <c r="G36" s="475" t="s">
        <v>482</v>
      </c>
      <c r="H36" s="477">
        <f>H13/IF(Summary!$D$2=2026,$E25,$E38)*100</f>
        <v>15.381828793359833</v>
      </c>
      <c r="I36" s="477">
        <f>I13/IF(Summary!$D$2=2026,$C25-$E25,$C38-$E38)*100</f>
        <v>3.7113134634396516E-3</v>
      </c>
      <c r="J36" s="477">
        <f>J13/IF(Summary!$D$2=2026,$C25,$C38)*100</f>
        <v>1.2736399390955131</v>
      </c>
      <c r="K36" s="477">
        <f>(K13-($AD$18*IF(Summary!$D$2=2026,D31,D32)))/IF(Summary!$D$2=2026,$C25,$C38)*100</f>
        <v>22.121974688549383</v>
      </c>
      <c r="L36" s="477">
        <f>L13/IF(Summary!$D$2=2026,$C25,$C38)*100</f>
        <v>-0.50425550526555485</v>
      </c>
      <c r="M36" s="477">
        <f>M13/IF(Summary!$D$2=2026,$D25,$D38)*100</f>
        <v>-9.2607192774242335E-3</v>
      </c>
      <c r="N36" s="477">
        <f>N13/IF(Summary!$D$2=2026,$D25,$D38)*100</f>
        <v>-3.2573273840589499E-4</v>
      </c>
      <c r="O36" s="477">
        <f>O13/IF(Summary!$D$2=2026,$D25,$D38)*100</f>
        <v>1.8043190994087446</v>
      </c>
      <c r="P36" s="477">
        <f>P13/IF(Summary!$D$2=2026,$D25,$D38)*100</f>
        <v>0</v>
      </c>
      <c r="Q36" s="477">
        <f>Q13/IF(Summary!$D$2=2026,$C25,$C38)*100</f>
        <v>0</v>
      </c>
      <c r="R36" s="477">
        <f>R13/IF(Summary!$D$2=2026,$C25,$C38)*100</f>
        <v>4.840322889175301</v>
      </c>
      <c r="S36" s="477">
        <f>S13/IF(Summary!$D$2=2026,$D25,$D38)*100</f>
        <v>0.5833944626902039</v>
      </c>
      <c r="T36" s="477">
        <f>T13/IF(Summary!$D$2=2026,$C25,$C38)*100</f>
        <v>4.840207697809653E-3</v>
      </c>
      <c r="U36" s="479">
        <f>U13/IF(Summary!$D$2=2026,$C25-$E25,$C38-$E38)*100</f>
        <v>2.1916802252944327</v>
      </c>
      <c r="V36" s="2"/>
      <c r="W36" s="2"/>
      <c r="X36" s="2"/>
      <c r="Y36" s="105"/>
      <c r="Z36" s="105"/>
      <c r="AA36" s="109"/>
      <c r="AB36" s="109"/>
    </row>
    <row r="37" spans="2:28" ht="31.5">
      <c r="B37" s="1"/>
      <c r="C37" s="83" t="s">
        <v>333</v>
      </c>
      <c r="D37" s="83" t="s">
        <v>334</v>
      </c>
      <c r="E37" s="83" t="s">
        <v>335</v>
      </c>
      <c r="F37" s="106"/>
      <c r="G37" s="476" t="s">
        <v>161</v>
      </c>
      <c r="H37" s="478">
        <f>H14/IF(Summary!$D$2=2026,$E26,$E39)*100</f>
        <v>17.04908320896147</v>
      </c>
      <c r="I37" s="478">
        <f>I14/IF(Summary!$D$2=2026,$C26-$E26,$C39-$E39)*100</f>
        <v>2.5578456393335674E-3</v>
      </c>
      <c r="J37" s="478">
        <f>J14/IF(Summary!$D$2=2026,$C26,$C39)*100</f>
        <v>1.4578642371102699</v>
      </c>
      <c r="K37" s="478">
        <f>(K14-$AD$18)/IF(Summary!$D$2=2026,$C26,$C39)*100</f>
        <v>17.120835263568388</v>
      </c>
      <c r="L37" s="478">
        <f>L14/IF(Summary!$D$2=2026,$C26,$C39)*100</f>
        <v>-0.78653819382767787</v>
      </c>
      <c r="M37" s="478">
        <f>M14/IF(Summary!$D$2=2026,$D26,$D39)*100</f>
        <v>-8.8154398303056346E-3</v>
      </c>
      <c r="N37" s="478">
        <f>N14/IF(Summary!$D$2=2026,$D26,$D39)*100</f>
        <v>-3.2573273840589499E-4</v>
      </c>
      <c r="O37" s="478">
        <f>O14/IF(Summary!$D$2=2026,$D26,$D39)*100</f>
        <v>1.5836400786230547</v>
      </c>
      <c r="P37" s="478">
        <f>P14/IF(Summary!$D$2=2026,$D26,$D39)*100</f>
        <v>0</v>
      </c>
      <c r="Q37" s="478">
        <f>Q14/IF(Summary!$D$2=2026,$C26,$C39)*100</f>
        <v>0</v>
      </c>
      <c r="R37" s="478">
        <f>R14/IF(Summary!$D$2=2026,$C26,$C39)*100</f>
        <v>6.4944473559494194</v>
      </c>
      <c r="S37" s="478">
        <f>S14/IF(Summary!$D$2=2026,$D26,$D39)*100</f>
        <v>0.45823163771584663</v>
      </c>
      <c r="T37" s="478">
        <f>T14/IF(Summary!$D$2=2026,$C26,$C39)*100</f>
        <v>4.8402076978096521E-3</v>
      </c>
      <c r="U37" s="480">
        <f>U14/IF(Summary!$D$2=2026,$C26-$E26,$C39-$E39)*100</f>
        <v>2.1374745383349412</v>
      </c>
      <c r="V37" s="2"/>
      <c r="W37" s="2"/>
      <c r="X37" s="2"/>
      <c r="Y37" s="2"/>
      <c r="Z37" s="104"/>
      <c r="AA37" s="104"/>
      <c r="AB37" s="105"/>
    </row>
    <row r="38" spans="2:28" ht="15.75">
      <c r="B38" s="106" t="s">
        <v>378</v>
      </c>
      <c r="C38" s="226">
        <f>'SDG&amp;E INPUTS'!L34</f>
        <v>1716028.948759289</v>
      </c>
      <c r="D38" s="226">
        <f>'SDG&amp;E INPUTS'!M34</f>
        <v>1742979.4407214243</v>
      </c>
      <c r="E38" s="226">
        <f>'SDG&amp;E INPUTS'!N34</f>
        <v>335262.7827021245</v>
      </c>
      <c r="F38" s="1"/>
      <c r="G38" s="20"/>
      <c r="H38" s="20"/>
      <c r="I38" s="20"/>
      <c r="J38" s="20"/>
      <c r="K38" s="20"/>
      <c r="L38" s="20"/>
      <c r="M38" s="1"/>
      <c r="N38" s="1"/>
      <c r="O38" s="1"/>
      <c r="P38" s="1"/>
      <c r="Q38" s="1"/>
      <c r="R38" s="2"/>
      <c r="S38" s="2"/>
      <c r="T38" s="2"/>
      <c r="U38" s="2"/>
      <c r="V38" s="2"/>
      <c r="W38" s="2"/>
      <c r="X38" s="2"/>
      <c r="Y38" s="2"/>
      <c r="Z38" s="104"/>
      <c r="AA38" s="109"/>
      <c r="AB38" s="104"/>
    </row>
    <row r="39" spans="2:28" ht="15.75">
      <c r="B39" s="106" t="s">
        <v>161</v>
      </c>
      <c r="C39" s="226">
        <f>'SDG&amp;E INPUTS'!L35</f>
        <v>17519483.354244851</v>
      </c>
      <c r="D39" s="226">
        <f>'SDG&amp;E INPUTS'!M35</f>
        <v>19648724.998666488</v>
      </c>
      <c r="E39" s="226">
        <f>'SDG&amp;E INPUTS'!N35</f>
        <v>3056061.0825226498</v>
      </c>
      <c r="F39" s="1"/>
      <c r="G39" s="20"/>
      <c r="H39" s="20"/>
      <c r="I39" s="20"/>
      <c r="J39" s="20"/>
      <c r="K39" s="20"/>
      <c r="L39" s="20"/>
      <c r="M39" s="1"/>
      <c r="N39" s="1"/>
      <c r="O39" s="1"/>
      <c r="P39" s="1"/>
      <c r="Q39" s="1"/>
      <c r="R39" s="2"/>
      <c r="S39" s="2"/>
      <c r="T39" s="2"/>
      <c r="U39" s="2"/>
      <c r="V39" s="2"/>
      <c r="W39" s="2"/>
      <c r="X39" s="2"/>
      <c r="Y39" s="2"/>
      <c r="Z39" s="109"/>
      <c r="AA39" s="105"/>
      <c r="AB39" s="105"/>
    </row>
    <row r="40" spans="2:28" ht="15.75">
      <c r="B40" s="2"/>
      <c r="C40" s="2"/>
      <c r="E40" s="1"/>
      <c r="F40" s="1"/>
      <c r="G40" s="20"/>
      <c r="H40" s="20"/>
      <c r="I40" s="20"/>
      <c r="J40" s="20"/>
      <c r="K40" s="20"/>
      <c r="L40" s="20"/>
      <c r="M40" s="1"/>
      <c r="N40" s="1"/>
      <c r="O40" s="1"/>
      <c r="P40" s="1"/>
      <c r="Q40" s="1"/>
      <c r="R40" s="2"/>
      <c r="S40" s="2"/>
      <c r="T40" s="2"/>
      <c r="U40" s="2"/>
      <c r="V40" s="2"/>
      <c r="W40" s="2"/>
      <c r="X40" s="2"/>
      <c r="Y40" s="2"/>
      <c r="Z40" s="109"/>
      <c r="AA40" s="109"/>
      <c r="AB40" s="105"/>
    </row>
    <row r="41" spans="2:28" ht="15.75">
      <c r="B41" s="2"/>
      <c r="C41" s="2"/>
      <c r="E41" s="1"/>
      <c r="F41" s="1"/>
      <c r="G41" s="20"/>
      <c r="H41" s="20"/>
      <c r="I41" s="20"/>
      <c r="J41" s="20"/>
      <c r="K41" s="20"/>
      <c r="L41" s="20"/>
      <c r="M41" s="1"/>
      <c r="N41" s="1"/>
      <c r="O41" s="1"/>
      <c r="P41" s="1"/>
      <c r="Q41" s="1"/>
      <c r="R41" s="2"/>
      <c r="S41" s="2"/>
      <c r="T41" s="2"/>
      <c r="U41" s="2"/>
      <c r="V41" s="2"/>
      <c r="W41" s="2"/>
      <c r="X41" s="2"/>
      <c r="Y41" s="2"/>
      <c r="Z41" s="109"/>
      <c r="AA41" s="109"/>
      <c r="AB41" s="109"/>
    </row>
    <row r="42" spans="2:28" ht="15.75">
      <c r="B42" s="2"/>
      <c r="C42" s="2"/>
      <c r="E42" s="1"/>
      <c r="F42" s="1"/>
      <c r="G42" s="20"/>
      <c r="H42" s="20"/>
      <c r="I42" s="20"/>
      <c r="J42" s="20"/>
      <c r="K42" s="20"/>
      <c r="L42" s="20"/>
      <c r="M42" s="1"/>
      <c r="N42" s="1"/>
      <c r="O42" s="1"/>
      <c r="P42" s="1"/>
      <c r="Q42" s="1"/>
      <c r="R42" s="1"/>
      <c r="S42" s="1"/>
      <c r="T42" s="1"/>
      <c r="U42" s="103"/>
      <c r="V42" s="104"/>
      <c r="W42" s="104"/>
      <c r="X42" s="104"/>
      <c r="Y42" s="2"/>
      <c r="Z42" s="109"/>
      <c r="AA42" s="105"/>
      <c r="AB42" s="105"/>
    </row>
    <row r="43" spans="2:28" ht="15.75">
      <c r="B43" s="2"/>
      <c r="C43" s="2"/>
      <c r="D43" s="1"/>
      <c r="E43" s="1"/>
      <c r="F43" s="1"/>
      <c r="G43" s="20"/>
      <c r="H43" s="20"/>
      <c r="I43" s="20"/>
      <c r="J43" s="20"/>
      <c r="K43" s="20"/>
      <c r="L43" s="20"/>
      <c r="M43" s="1"/>
      <c r="N43" s="1"/>
      <c r="O43" s="1"/>
      <c r="P43" s="1"/>
      <c r="Q43" s="1"/>
      <c r="R43" s="1"/>
      <c r="S43" s="1"/>
      <c r="T43" s="1"/>
      <c r="U43" s="103"/>
      <c r="V43" s="843"/>
      <c r="W43" s="843"/>
      <c r="X43" s="104"/>
      <c r="Y43" s="2"/>
      <c r="Z43" s="109"/>
      <c r="AA43" s="102"/>
      <c r="AB43" s="105"/>
    </row>
    <row r="44" spans="2:28" ht="15.75">
      <c r="B44" s="2"/>
      <c r="C44" s="2"/>
      <c r="D44" s="1"/>
      <c r="E44" s="1"/>
      <c r="F44" s="1"/>
      <c r="G44" s="20"/>
      <c r="H44" s="20"/>
      <c r="I44" s="20"/>
      <c r="J44" s="20"/>
      <c r="K44" s="20"/>
      <c r="L44" s="20"/>
      <c r="M44" s="1"/>
      <c r="N44" s="1"/>
      <c r="O44" s="1"/>
      <c r="P44" s="1"/>
      <c r="Q44" s="1"/>
      <c r="R44" s="1"/>
      <c r="S44" s="1"/>
      <c r="T44" s="1"/>
      <c r="U44" s="103"/>
      <c r="V44" s="104"/>
      <c r="W44" s="103"/>
      <c r="X44" s="109"/>
      <c r="Y44" s="2"/>
      <c r="Z44" s="109"/>
      <c r="AA44" s="105"/>
      <c r="AB44" s="102"/>
    </row>
    <row r="45" spans="2:28" ht="15.75">
      <c r="B45" s="2"/>
      <c r="C45" s="2"/>
      <c r="D45" s="1"/>
      <c r="E45" s="1"/>
      <c r="F45" s="1"/>
      <c r="G45" s="20"/>
      <c r="H45" s="20"/>
      <c r="I45" s="20"/>
      <c r="J45" s="20"/>
      <c r="K45" s="20"/>
      <c r="L45" s="20"/>
      <c r="M45" s="1"/>
      <c r="N45" s="1"/>
      <c r="O45" s="1"/>
      <c r="P45" s="1"/>
      <c r="Q45" s="1"/>
      <c r="R45" s="1"/>
      <c r="S45" s="1"/>
      <c r="T45" s="1"/>
      <c r="U45" s="103"/>
      <c r="V45" s="104"/>
      <c r="W45" s="103"/>
      <c r="X45" s="109"/>
      <c r="Y45" s="2"/>
      <c r="Z45" s="102"/>
      <c r="AA45" s="104"/>
      <c r="AB45" s="105"/>
    </row>
    <row r="46" spans="2:28" ht="15.75">
      <c r="B46" s="2"/>
      <c r="C46" s="2"/>
      <c r="D46" s="1"/>
      <c r="E46" s="1"/>
      <c r="F46" s="1"/>
      <c r="G46" s="20"/>
      <c r="H46" s="20"/>
      <c r="I46" s="20"/>
      <c r="J46" s="20"/>
      <c r="K46" s="20"/>
      <c r="L46" s="20"/>
      <c r="M46" s="1"/>
      <c r="N46" s="1"/>
      <c r="O46" s="1"/>
      <c r="P46" s="1"/>
      <c r="Q46" s="1"/>
      <c r="R46" s="1"/>
      <c r="S46" s="1"/>
      <c r="T46" s="1"/>
      <c r="U46" s="103"/>
      <c r="V46" s="104"/>
      <c r="W46" s="104"/>
      <c r="X46" s="102"/>
      <c r="Y46" s="2"/>
      <c r="Z46" s="109"/>
      <c r="AA46" s="104"/>
      <c r="AB46" s="104"/>
    </row>
    <row r="47" spans="2:28" ht="15.75">
      <c r="B47" s="2"/>
      <c r="C47" s="2"/>
      <c r="D47" s="1"/>
      <c r="E47" s="1"/>
      <c r="F47" s="1"/>
      <c r="G47" s="20"/>
      <c r="H47" s="20"/>
      <c r="I47" s="20"/>
      <c r="J47" s="20"/>
      <c r="K47" s="20"/>
      <c r="L47" s="20"/>
      <c r="M47" s="1"/>
      <c r="N47" s="1"/>
      <c r="O47" s="1"/>
      <c r="P47" s="1"/>
      <c r="Q47" s="1"/>
      <c r="R47" s="1"/>
      <c r="S47" s="1"/>
      <c r="T47" s="1"/>
      <c r="U47" s="103"/>
      <c r="V47" s="104"/>
      <c r="W47" s="103"/>
      <c r="X47" s="109"/>
      <c r="Y47" s="104"/>
      <c r="Z47" s="104"/>
      <c r="AA47" s="105"/>
      <c r="AB47" s="104"/>
    </row>
    <row r="48" spans="2:28" ht="15.75">
      <c r="B48" s="2"/>
      <c r="C48" s="2"/>
      <c r="D48" s="1"/>
      <c r="E48" s="1"/>
      <c r="F48" s="1"/>
      <c r="G48" s="20"/>
      <c r="H48" s="20"/>
      <c r="I48" s="20"/>
      <c r="J48" s="20"/>
      <c r="K48" s="20"/>
      <c r="L48" s="20"/>
      <c r="M48" s="1"/>
      <c r="N48" s="1"/>
      <c r="O48" s="1"/>
      <c r="P48" s="1"/>
      <c r="Q48" s="1"/>
      <c r="R48" s="1"/>
      <c r="S48" s="1"/>
      <c r="T48" s="1"/>
      <c r="U48" s="103"/>
      <c r="V48" s="104"/>
      <c r="W48" s="104"/>
      <c r="X48" s="104"/>
      <c r="Y48" s="104"/>
      <c r="Z48" s="104"/>
      <c r="AA48" s="105"/>
      <c r="AB48" s="105"/>
    </row>
    <row r="49" spans="2:28" ht="15.75">
      <c r="B49" s="2"/>
      <c r="C49" s="2"/>
      <c r="D49" s="1"/>
      <c r="E49" s="1"/>
      <c r="F49" s="1"/>
      <c r="G49" s="20"/>
      <c r="H49" s="20"/>
      <c r="I49" s="20"/>
      <c r="J49" s="20"/>
      <c r="K49" s="20"/>
      <c r="L49" s="20"/>
      <c r="M49" s="1"/>
      <c r="N49" s="1"/>
      <c r="O49" s="1"/>
      <c r="P49" s="1"/>
      <c r="Q49" s="1"/>
      <c r="R49" s="1"/>
      <c r="S49" s="1"/>
      <c r="T49" s="1"/>
      <c r="U49" s="103"/>
      <c r="V49" s="843"/>
      <c r="W49" s="843"/>
      <c r="X49" s="104"/>
      <c r="Y49" s="109"/>
      <c r="Z49" s="109"/>
      <c r="AA49" s="105"/>
      <c r="AB49" s="105"/>
    </row>
    <row r="50" spans="2:28" ht="15.75">
      <c r="B50" s="2"/>
      <c r="C50" s="2"/>
      <c r="D50" s="1"/>
      <c r="E50" s="1"/>
      <c r="F50" s="1"/>
      <c r="G50" s="20"/>
      <c r="H50" s="20"/>
      <c r="I50" s="20"/>
      <c r="J50" s="20"/>
      <c r="K50" s="20"/>
      <c r="L50" s="20"/>
      <c r="M50" s="1"/>
      <c r="N50" s="1"/>
      <c r="O50" s="1"/>
      <c r="P50" s="1"/>
      <c r="Q50" s="1"/>
      <c r="R50" s="1"/>
      <c r="S50" s="1"/>
      <c r="T50" s="1"/>
      <c r="U50" s="103"/>
      <c r="V50" s="104"/>
      <c r="W50" s="103"/>
      <c r="X50" s="109"/>
      <c r="Y50" s="109"/>
      <c r="Z50" s="109"/>
      <c r="AA50" s="109"/>
      <c r="AB50" s="105"/>
    </row>
    <row r="51" spans="2:28" ht="15.75">
      <c r="B51" s="2"/>
      <c r="C51" s="2"/>
      <c r="D51" s="1"/>
      <c r="E51" s="1"/>
      <c r="F51" s="1"/>
      <c r="G51" s="20"/>
      <c r="H51" s="20"/>
      <c r="I51" s="20"/>
      <c r="J51" s="20"/>
      <c r="K51" s="20"/>
      <c r="L51" s="20"/>
      <c r="M51" s="1"/>
      <c r="N51" s="1"/>
      <c r="O51" s="1"/>
      <c r="P51" s="1"/>
      <c r="Q51" s="1"/>
      <c r="R51" s="1"/>
      <c r="S51" s="1"/>
      <c r="T51" s="1"/>
      <c r="U51" s="103"/>
      <c r="V51" s="104"/>
      <c r="W51" s="103"/>
      <c r="X51" s="109"/>
      <c r="Y51" s="102"/>
      <c r="Z51" s="102"/>
      <c r="AA51" s="109"/>
      <c r="AB51" s="105"/>
    </row>
    <row r="52" spans="2:28" ht="15.75">
      <c r="B52" s="2"/>
      <c r="C52" s="2"/>
      <c r="D52" s="1"/>
      <c r="E52" s="1"/>
      <c r="F52" s="1"/>
      <c r="G52" s="20"/>
      <c r="H52" s="20"/>
      <c r="I52" s="20"/>
      <c r="J52" s="20"/>
      <c r="K52" s="20"/>
      <c r="L52" s="20"/>
      <c r="M52" s="1"/>
      <c r="N52" s="1"/>
      <c r="O52" s="1"/>
      <c r="P52" s="1"/>
      <c r="Q52" s="1"/>
      <c r="R52" s="1"/>
      <c r="S52" s="1"/>
      <c r="T52" s="1"/>
      <c r="U52" s="103"/>
      <c r="V52" s="104"/>
      <c r="W52" s="103"/>
      <c r="X52" s="105"/>
      <c r="Y52" s="109"/>
      <c r="Z52" s="109"/>
      <c r="AA52" s="105"/>
      <c r="AB52" s="105"/>
    </row>
    <row r="53" spans="2:28" ht="15.75">
      <c r="B53" s="2"/>
      <c r="C53" s="2"/>
      <c r="D53" s="1"/>
      <c r="E53" s="1"/>
      <c r="F53" s="1"/>
      <c r="G53" s="20"/>
      <c r="H53" s="20"/>
      <c r="I53" s="20"/>
      <c r="J53" s="20"/>
      <c r="K53" s="20"/>
      <c r="L53" s="20"/>
      <c r="M53" s="1"/>
      <c r="N53" s="1"/>
      <c r="O53" s="1"/>
      <c r="P53" s="1"/>
      <c r="Q53" s="1"/>
      <c r="R53" s="1"/>
      <c r="S53" s="1"/>
      <c r="T53" s="1"/>
      <c r="U53" s="103"/>
      <c r="V53" s="104"/>
      <c r="W53" s="103"/>
      <c r="X53" s="109"/>
      <c r="Y53" s="104"/>
      <c r="Z53" s="104"/>
      <c r="AA53" s="102"/>
      <c r="AB53" s="105"/>
    </row>
    <row r="54" spans="2:28" ht="15.75">
      <c r="B54" s="2"/>
      <c r="C54" s="2"/>
      <c r="D54" s="1"/>
      <c r="E54" s="1"/>
      <c r="F54" s="1"/>
      <c r="G54" s="20"/>
      <c r="H54" s="20"/>
      <c r="I54" s="20"/>
      <c r="J54" s="20"/>
      <c r="K54" s="20"/>
      <c r="L54" s="20"/>
      <c r="M54" s="1"/>
      <c r="N54" s="1"/>
      <c r="O54" s="1"/>
      <c r="P54" s="1"/>
      <c r="Q54" s="1"/>
      <c r="R54" s="1"/>
      <c r="S54" s="1"/>
      <c r="T54" s="1"/>
      <c r="U54" s="103"/>
      <c r="V54" s="104"/>
      <c r="W54" s="103"/>
      <c r="X54" s="109"/>
      <c r="Y54" s="104"/>
      <c r="Z54" s="104"/>
      <c r="AA54" s="105"/>
      <c r="AB54" s="102"/>
    </row>
    <row r="55" spans="2:28" ht="15.75">
      <c r="B55" s="2"/>
      <c r="C55" s="2"/>
      <c r="D55" s="1"/>
      <c r="E55" s="1"/>
      <c r="F55" s="1"/>
      <c r="G55" s="20"/>
      <c r="H55" s="20"/>
      <c r="I55" s="20"/>
      <c r="J55" s="20"/>
      <c r="K55" s="20"/>
      <c r="L55" s="20"/>
      <c r="M55" s="1"/>
      <c r="N55" s="1"/>
      <c r="O55" s="1"/>
      <c r="P55" s="1"/>
      <c r="Q55" s="1"/>
      <c r="R55" s="1"/>
      <c r="S55" s="1"/>
      <c r="T55" s="1"/>
      <c r="U55" s="103"/>
      <c r="V55" s="104"/>
      <c r="W55" s="104"/>
      <c r="X55" s="102"/>
      <c r="Y55" s="109"/>
      <c r="Z55" s="109"/>
      <c r="AA55" s="104"/>
      <c r="AB55" s="105"/>
    </row>
    <row r="56" spans="2:28" ht="15.75">
      <c r="B56" s="1"/>
      <c r="C56" s="1"/>
      <c r="D56" s="1"/>
      <c r="E56" s="1"/>
      <c r="F56" s="1"/>
      <c r="G56" s="20"/>
      <c r="H56" s="20"/>
      <c r="I56" s="20"/>
      <c r="J56" s="20"/>
      <c r="K56" s="20"/>
      <c r="L56" s="20"/>
      <c r="M56" s="1"/>
      <c r="N56" s="1"/>
      <c r="O56" s="1"/>
      <c r="P56" s="1"/>
      <c r="Q56" s="1"/>
      <c r="R56" s="1"/>
      <c r="S56" s="1"/>
      <c r="T56" s="1"/>
      <c r="U56" s="103"/>
      <c r="V56" s="104"/>
      <c r="W56" s="103"/>
      <c r="X56" s="105"/>
      <c r="Y56" s="109"/>
      <c r="Z56" s="109"/>
      <c r="AA56" s="104"/>
      <c r="AB56" s="104"/>
    </row>
    <row r="57" spans="2:28" ht="15.75">
      <c r="B57" s="1"/>
      <c r="C57" s="1"/>
      <c r="D57" s="1"/>
      <c r="E57" s="1"/>
      <c r="F57" s="1"/>
      <c r="G57" s="20"/>
      <c r="H57" s="20"/>
      <c r="I57" s="20"/>
      <c r="J57" s="20"/>
      <c r="K57" s="20"/>
      <c r="L57" s="20"/>
      <c r="M57" s="1"/>
      <c r="N57" s="1"/>
      <c r="O57" s="1"/>
      <c r="P57" s="1"/>
      <c r="Q57" s="1"/>
      <c r="R57" s="1"/>
      <c r="S57" s="1"/>
      <c r="T57" s="1"/>
      <c r="U57" s="103"/>
      <c r="V57" s="104"/>
      <c r="W57" s="104"/>
      <c r="X57" s="104"/>
      <c r="Y57" s="105"/>
      <c r="Z57" s="105"/>
      <c r="AA57" s="109"/>
      <c r="AB57" s="104"/>
    </row>
    <row r="58" spans="2:28" ht="15.75">
      <c r="B58" s="1"/>
      <c r="C58" s="1"/>
      <c r="D58" s="1"/>
      <c r="E58" s="1"/>
      <c r="F58" s="1"/>
      <c r="G58" s="20"/>
      <c r="H58" s="20"/>
      <c r="I58" s="20"/>
      <c r="J58" s="20"/>
      <c r="K58" s="20"/>
      <c r="L58" s="20"/>
      <c r="M58" s="1"/>
      <c r="N58" s="1"/>
      <c r="O58" s="1"/>
      <c r="P58" s="1"/>
      <c r="Q58" s="1"/>
      <c r="R58" s="1"/>
      <c r="S58" s="1"/>
      <c r="T58" s="1"/>
      <c r="U58" s="103"/>
      <c r="V58" s="104"/>
      <c r="W58" s="104"/>
      <c r="X58" s="104"/>
      <c r="Y58" s="109"/>
      <c r="Z58" s="109"/>
      <c r="AA58" s="109"/>
      <c r="AB58" s="105"/>
    </row>
    <row r="59" spans="2:28" ht="15.75">
      <c r="B59" s="1"/>
      <c r="C59" s="1"/>
      <c r="D59" s="1"/>
      <c r="E59" s="1"/>
      <c r="F59" s="1"/>
      <c r="G59" s="20"/>
      <c r="H59" s="20"/>
      <c r="I59" s="20"/>
      <c r="J59" s="20"/>
      <c r="K59" s="20"/>
      <c r="L59" s="20"/>
      <c r="M59" s="1"/>
      <c r="N59" s="1"/>
      <c r="O59" s="1"/>
      <c r="P59" s="1"/>
      <c r="Q59" s="1"/>
      <c r="R59" s="1"/>
      <c r="S59" s="1"/>
      <c r="T59" s="1"/>
      <c r="U59" s="103"/>
      <c r="V59" s="104"/>
      <c r="W59" s="103"/>
      <c r="X59" s="105"/>
      <c r="Y59" s="109"/>
      <c r="Z59" s="109"/>
      <c r="AA59" s="102"/>
      <c r="AB59" s="105"/>
    </row>
    <row r="60" spans="2:28" ht="15.75">
      <c r="B60" s="1"/>
      <c r="C60" s="1"/>
      <c r="D60" s="1"/>
      <c r="E60" s="1"/>
      <c r="F60" s="1"/>
      <c r="G60" s="20"/>
      <c r="H60" s="20"/>
      <c r="I60" s="20"/>
      <c r="J60" s="20"/>
      <c r="K60" s="20"/>
      <c r="L60" s="20"/>
      <c r="M60" s="1"/>
      <c r="N60" s="1"/>
      <c r="O60" s="1"/>
      <c r="P60" s="1"/>
      <c r="Q60" s="1"/>
      <c r="R60" s="1"/>
      <c r="S60" s="1"/>
      <c r="T60" s="1"/>
      <c r="U60" s="103"/>
      <c r="V60" s="104"/>
      <c r="W60" s="104"/>
      <c r="X60" s="102"/>
      <c r="Y60" s="102"/>
      <c r="Z60" s="102"/>
      <c r="AA60" s="109"/>
      <c r="AB60" s="102"/>
    </row>
    <row r="61" spans="2:28" ht="15.75">
      <c r="B61" s="1"/>
      <c r="C61" s="1"/>
      <c r="D61" s="1"/>
      <c r="E61" s="1"/>
      <c r="F61" s="1"/>
      <c r="G61" s="20"/>
      <c r="H61" s="20"/>
      <c r="I61" s="20"/>
      <c r="J61" s="20"/>
      <c r="K61" s="20"/>
      <c r="L61" s="20"/>
      <c r="M61" s="1"/>
      <c r="N61" s="1"/>
      <c r="O61" s="1"/>
      <c r="P61" s="1"/>
      <c r="Q61" s="1"/>
      <c r="R61" s="1"/>
      <c r="S61" s="1"/>
      <c r="T61" s="1"/>
      <c r="U61" s="103"/>
      <c r="V61" s="843"/>
      <c r="W61" s="843"/>
      <c r="X61" s="104"/>
      <c r="Y61" s="105"/>
      <c r="Z61" s="105"/>
      <c r="AA61" s="104"/>
      <c r="AB61" s="105"/>
    </row>
    <row r="62" spans="2:28" ht="15.75">
      <c r="B62" s="1"/>
      <c r="C62" s="1"/>
      <c r="D62" s="1"/>
      <c r="E62" s="1"/>
      <c r="F62" s="1"/>
      <c r="G62" s="20"/>
      <c r="H62" s="20"/>
      <c r="I62" s="20"/>
      <c r="J62" s="20"/>
      <c r="K62" s="20"/>
      <c r="L62" s="20"/>
      <c r="M62" s="1"/>
      <c r="N62" s="1"/>
      <c r="O62" s="1"/>
      <c r="P62" s="1"/>
      <c r="Q62" s="1"/>
      <c r="R62" s="1"/>
      <c r="S62" s="1"/>
      <c r="T62" s="1"/>
      <c r="U62" s="103"/>
      <c r="V62" s="104"/>
      <c r="W62" s="104"/>
      <c r="X62" s="104"/>
      <c r="Y62" s="104"/>
      <c r="Z62" s="104"/>
      <c r="AA62" s="104"/>
      <c r="AB62" s="104"/>
    </row>
    <row r="63" spans="2:28" ht="15.75">
      <c r="B63" s="1"/>
      <c r="C63" s="1"/>
      <c r="D63" s="1"/>
      <c r="E63" s="1"/>
      <c r="F63" s="1"/>
      <c r="G63" s="20"/>
      <c r="H63" s="20"/>
      <c r="I63" s="20"/>
      <c r="J63" s="20"/>
      <c r="K63" s="20"/>
      <c r="L63" s="20"/>
      <c r="M63" s="1"/>
      <c r="N63" s="1"/>
      <c r="O63" s="1"/>
      <c r="P63" s="1"/>
      <c r="Q63" s="1"/>
      <c r="R63" s="1"/>
      <c r="S63" s="1"/>
      <c r="T63" s="1"/>
      <c r="U63" s="103"/>
      <c r="V63" s="104"/>
      <c r="W63" s="103"/>
      <c r="X63" s="104"/>
      <c r="Y63" s="104"/>
      <c r="Z63" s="104"/>
      <c r="AA63" s="109"/>
      <c r="AB63" s="104"/>
    </row>
    <row r="64" spans="2:28" ht="15.75">
      <c r="B64" s="1"/>
      <c r="C64" s="1"/>
      <c r="D64" s="1"/>
      <c r="E64" s="1"/>
      <c r="F64" s="1"/>
      <c r="G64" s="20"/>
      <c r="H64" s="20"/>
      <c r="I64" s="20"/>
      <c r="J64" s="20"/>
      <c r="K64" s="20"/>
      <c r="L64" s="20"/>
      <c r="M64" s="1"/>
      <c r="N64" s="1"/>
      <c r="O64" s="1"/>
      <c r="P64" s="1"/>
      <c r="Q64" s="1"/>
      <c r="R64" s="1"/>
      <c r="S64" s="1"/>
      <c r="T64" s="1"/>
      <c r="U64" s="103"/>
      <c r="V64" s="104"/>
      <c r="W64" s="104"/>
      <c r="X64" s="102"/>
      <c r="Y64" s="105"/>
      <c r="Z64" s="105"/>
      <c r="AA64" s="109"/>
      <c r="AB64" s="105"/>
    </row>
    <row r="65" spans="2:28" ht="15.75">
      <c r="B65" s="1"/>
      <c r="C65" s="1"/>
      <c r="D65" s="1"/>
      <c r="E65" s="1"/>
      <c r="F65" s="1"/>
      <c r="G65" s="20"/>
      <c r="H65" s="20"/>
      <c r="I65" s="20"/>
      <c r="J65" s="20"/>
      <c r="K65" s="20"/>
      <c r="L65" s="20"/>
      <c r="M65" s="1"/>
      <c r="N65" s="1"/>
      <c r="O65" s="1"/>
      <c r="P65" s="1"/>
      <c r="Q65" s="1"/>
      <c r="R65" s="1"/>
      <c r="S65" s="1"/>
      <c r="T65" s="1"/>
      <c r="U65" s="103"/>
      <c r="V65" s="104"/>
      <c r="W65" s="103"/>
      <c r="X65" s="104"/>
      <c r="Y65" s="102"/>
      <c r="Z65" s="102"/>
      <c r="AA65" s="109"/>
      <c r="AB65" s="105"/>
    </row>
    <row r="66" spans="2:28" ht="15.75">
      <c r="B66" s="1"/>
      <c r="C66" s="1"/>
      <c r="D66" s="1"/>
      <c r="E66" s="1"/>
      <c r="F66" s="1"/>
      <c r="G66" s="20"/>
      <c r="H66" s="20"/>
      <c r="I66" s="20"/>
      <c r="J66" s="20"/>
      <c r="K66" s="20"/>
      <c r="L66" s="20"/>
      <c r="M66" s="1"/>
      <c r="N66" s="1"/>
      <c r="O66" s="1"/>
      <c r="P66" s="1"/>
      <c r="Q66" s="1"/>
      <c r="R66" s="1"/>
      <c r="S66" s="1"/>
      <c r="T66" s="1"/>
      <c r="U66" s="103"/>
      <c r="V66" s="104"/>
      <c r="W66" s="104"/>
      <c r="X66" s="104"/>
      <c r="Y66" s="104"/>
      <c r="Z66" s="104"/>
      <c r="AA66" s="109"/>
      <c r="AB66" s="105"/>
    </row>
    <row r="67" spans="2:28" ht="15.75">
      <c r="B67" s="1"/>
      <c r="C67" s="1"/>
      <c r="D67" s="1"/>
      <c r="E67" s="1"/>
      <c r="F67" s="1"/>
      <c r="G67" s="20"/>
      <c r="H67" s="20"/>
      <c r="I67" s="20"/>
      <c r="J67" s="20"/>
      <c r="K67" s="20"/>
      <c r="L67" s="20"/>
      <c r="M67" s="1"/>
      <c r="N67" s="1"/>
      <c r="O67" s="1"/>
      <c r="P67" s="1"/>
      <c r="Q67" s="1"/>
      <c r="R67" s="1"/>
      <c r="S67" s="1"/>
      <c r="T67" s="1"/>
      <c r="U67" s="103"/>
      <c r="V67" s="104"/>
      <c r="W67" s="104"/>
      <c r="X67" s="102"/>
      <c r="Y67" s="104"/>
      <c r="Z67" s="104"/>
      <c r="AA67" s="109"/>
      <c r="AB67" s="109"/>
    </row>
    <row r="68" spans="2:28" ht="15.75">
      <c r="B68" s="1"/>
      <c r="C68" s="1"/>
      <c r="D68" s="1"/>
      <c r="E68" s="1"/>
      <c r="F68" s="1"/>
      <c r="G68" s="20"/>
      <c r="H68" s="20"/>
      <c r="I68" s="20"/>
      <c r="J68" s="20"/>
      <c r="K68" s="20"/>
      <c r="L68" s="20"/>
      <c r="M68" s="1"/>
      <c r="N68" s="1"/>
      <c r="O68" s="1"/>
      <c r="P68" s="1"/>
      <c r="Q68" s="1"/>
      <c r="R68" s="1"/>
      <c r="S68" s="1"/>
      <c r="T68" s="1"/>
      <c r="U68" s="103"/>
      <c r="V68" s="843"/>
      <c r="W68" s="843"/>
      <c r="X68" s="105"/>
      <c r="Y68" s="104"/>
      <c r="Z68" s="104"/>
      <c r="AA68" s="102"/>
      <c r="AB68" s="109"/>
    </row>
    <row r="69" spans="2:28" ht="15.75">
      <c r="B69" s="1"/>
      <c r="C69" s="1"/>
      <c r="D69" s="1"/>
      <c r="E69" s="1"/>
      <c r="F69" s="1"/>
      <c r="G69" s="20"/>
      <c r="H69" s="20"/>
      <c r="I69" s="20"/>
      <c r="J69" s="20"/>
      <c r="K69" s="20"/>
      <c r="L69" s="20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02"/>
      <c r="Z69" s="102"/>
      <c r="AA69" s="109"/>
      <c r="AB69" s="102"/>
    </row>
    <row r="70" spans="2:28" ht="15.75">
      <c r="B70" s="1"/>
      <c r="C70" s="1"/>
      <c r="D70" s="1"/>
      <c r="E70" s="1"/>
      <c r="F70" s="1"/>
      <c r="Y70" s="104"/>
      <c r="Z70" s="104"/>
      <c r="AA70" s="104"/>
      <c r="AB70" s="105"/>
    </row>
    <row r="71" spans="2:28" ht="15.75">
      <c r="B71" s="1"/>
      <c r="C71" s="1"/>
      <c r="D71" s="1"/>
      <c r="E71" s="1"/>
      <c r="F71" s="1"/>
      <c r="Y71" s="104"/>
      <c r="Z71" s="104"/>
      <c r="AA71" s="104"/>
      <c r="AB71" s="104"/>
    </row>
    <row r="72" spans="2:28" ht="15.75">
      <c r="B72" s="1"/>
      <c r="C72" s="1"/>
      <c r="D72" s="1"/>
      <c r="E72" s="1"/>
      <c r="F72" s="1"/>
      <c r="Y72" s="102"/>
      <c r="Z72" s="102"/>
      <c r="AA72" s="105"/>
      <c r="AB72" s="104"/>
    </row>
    <row r="73" spans="2:28" ht="15.75">
      <c r="B73" s="1"/>
      <c r="C73" s="1"/>
      <c r="D73" s="1"/>
      <c r="E73" s="1"/>
      <c r="F73" s="1"/>
      <c r="Y73" s="105"/>
      <c r="Z73" s="105"/>
      <c r="AA73" s="102"/>
      <c r="AB73" s="105"/>
    </row>
    <row r="74" spans="2:28" ht="15.75">
      <c r="B74" s="1"/>
      <c r="C74" s="1"/>
      <c r="D74" s="1"/>
      <c r="E74" s="1"/>
      <c r="F74" s="1"/>
      <c r="Y74" s="1"/>
      <c r="Z74" s="1"/>
      <c r="AA74" s="104"/>
      <c r="AB74" s="102"/>
    </row>
    <row r="75" spans="2:28" ht="15.75">
      <c r="B75" s="1"/>
      <c r="C75" s="1"/>
      <c r="D75" s="1"/>
      <c r="E75" s="1"/>
      <c r="AA75" s="104"/>
      <c r="AB75" s="104"/>
    </row>
    <row r="76" spans="2:28" ht="15.75">
      <c r="B76" s="1"/>
      <c r="C76" s="1"/>
      <c r="D76" s="1"/>
      <c r="AA76" s="104"/>
      <c r="AB76" s="104"/>
    </row>
    <row r="77" spans="2:28" ht="15.75">
      <c r="B77" s="1"/>
      <c r="C77" s="1"/>
      <c r="D77" s="1"/>
      <c r="AA77" s="102"/>
      <c r="AB77" s="104"/>
    </row>
    <row r="78" spans="2:28" ht="15.75">
      <c r="B78" s="1"/>
      <c r="C78" s="1"/>
      <c r="D78" s="1"/>
      <c r="AA78" s="104"/>
      <c r="AB78" s="102"/>
    </row>
    <row r="79" spans="2:28" ht="15.75">
      <c r="B79" s="1"/>
      <c r="C79" s="1"/>
      <c r="D79" s="1"/>
      <c r="AA79" s="104"/>
      <c r="AB79" s="104"/>
    </row>
    <row r="80" spans="2:28" ht="15.75">
      <c r="B80" s="1"/>
      <c r="C80" s="1"/>
      <c r="D80" s="1"/>
      <c r="AA80" s="102"/>
      <c r="AB80" s="104"/>
    </row>
    <row r="81" spans="2:28" ht="15.75">
      <c r="B81" s="1"/>
      <c r="C81" s="1"/>
      <c r="D81" s="1"/>
      <c r="AA81" s="105"/>
      <c r="AB81" s="102"/>
    </row>
    <row r="82" spans="2:28" ht="15.75">
      <c r="B82" s="1"/>
      <c r="C82" s="1"/>
      <c r="D82" s="1"/>
      <c r="AA82" s="1"/>
      <c r="AB82" s="105"/>
    </row>
    <row r="83" spans="2:28" ht="15.75">
      <c r="B83" s="1"/>
      <c r="C83" s="1"/>
      <c r="D83" s="1"/>
      <c r="AB83" s="1"/>
    </row>
    <row r="84" spans="2:28" ht="15.75">
      <c r="B84" s="1"/>
      <c r="C84" s="1"/>
      <c r="D84" s="1"/>
    </row>
  </sheetData>
  <autoFilter ref="A1:AE83" xr:uid="{D2A1145E-5B3D-42A6-AF79-8205DD936E88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hiddenButton="1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</autoFilter>
  <mergeCells count="22">
    <mergeCell ref="V61:W61"/>
    <mergeCell ref="V68:W68"/>
    <mergeCell ref="X17:Y17"/>
    <mergeCell ref="AA16:AA17"/>
    <mergeCell ref="X16:Y16"/>
    <mergeCell ref="Z16:Z17"/>
    <mergeCell ref="V17:W17"/>
    <mergeCell ref="AC24:AD24"/>
    <mergeCell ref="AE24:AF24"/>
    <mergeCell ref="V43:W43"/>
    <mergeCell ref="V49:W49"/>
    <mergeCell ref="G22:L22"/>
    <mergeCell ref="Q22:W22"/>
    <mergeCell ref="H28:U28"/>
    <mergeCell ref="H34:U34"/>
    <mergeCell ref="C36:E36"/>
    <mergeCell ref="H17:U17"/>
    <mergeCell ref="C2:D2"/>
    <mergeCell ref="V16:W16"/>
    <mergeCell ref="H4:U4"/>
    <mergeCell ref="H8:U8"/>
    <mergeCell ref="C23:E23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0D443-B89B-4C0D-A76B-F85E3BB6BDB0}">
  <dimension ref="A1:AE40"/>
  <sheetViews>
    <sheetView zoomScale="70" zoomScaleNormal="70" workbookViewId="0"/>
  </sheetViews>
  <sheetFormatPr defaultColWidth="8.85546875" defaultRowHeight="15"/>
  <cols>
    <col min="1" max="1" width="7.42578125" style="6" customWidth="1"/>
    <col min="2" max="2" width="18.5703125" style="6" customWidth="1"/>
    <col min="3" max="3" width="15.42578125" style="6" customWidth="1"/>
    <col min="4" max="4" width="16" style="6" customWidth="1"/>
    <col min="5" max="5" width="18" style="6" bestFit="1" customWidth="1"/>
    <col min="6" max="6" width="15.42578125" style="6" customWidth="1"/>
    <col min="7" max="7" width="16.5703125" style="6" customWidth="1"/>
    <col min="8" max="8" width="16.140625" style="6" customWidth="1"/>
    <col min="9" max="9" width="15" style="6" customWidth="1"/>
    <col min="10" max="10" width="16" style="6" customWidth="1"/>
    <col min="11" max="11" width="15" style="6" bestFit="1" customWidth="1"/>
    <col min="12" max="12" width="13" style="6" customWidth="1"/>
    <col min="13" max="13" width="14.140625" style="6" customWidth="1"/>
    <col min="14" max="14" width="17.5703125" style="6" customWidth="1"/>
    <col min="15" max="15" width="19.42578125" style="6" customWidth="1"/>
    <col min="16" max="16" width="13.42578125" style="6" bestFit="1" customWidth="1"/>
    <col min="17" max="17" width="13" style="6" customWidth="1"/>
    <col min="18" max="18" width="13.5703125" style="6" customWidth="1"/>
    <col min="19" max="19" width="14" style="6" customWidth="1"/>
    <col min="20" max="20" width="15.5703125" style="6" customWidth="1"/>
    <col min="21" max="21" width="16.5703125" style="6" customWidth="1"/>
    <col min="22" max="23" width="14" style="6" customWidth="1"/>
    <col min="24" max="24" width="31.85546875" style="6" customWidth="1"/>
    <col min="25" max="25" width="14.85546875" style="6" bestFit="1" customWidth="1"/>
    <col min="26" max="26" width="13.5703125" style="6" bestFit="1" customWidth="1"/>
    <col min="27" max="27" width="13.5703125" style="6" customWidth="1"/>
    <col min="28" max="28" width="8.85546875" style="6"/>
    <col min="29" max="31" width="20.5703125" style="6" customWidth="1"/>
    <col min="32" max="16384" width="8.85546875" style="6"/>
  </cols>
  <sheetData>
    <row r="1" spans="1:31" s="170" customFormat="1" ht="25.5" customHeight="1">
      <c r="A1" s="385"/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5"/>
      <c r="AA1" s="385"/>
      <c r="AB1" s="385"/>
      <c r="AC1" s="385"/>
    </row>
    <row r="2" spans="1:31">
      <c r="A2" s="87"/>
      <c r="B2" s="858"/>
      <c r="C2" s="858"/>
      <c r="D2" s="858"/>
      <c r="F2" s="87"/>
    </row>
    <row r="3" spans="1:31">
      <c r="E3" s="876" t="s">
        <v>379</v>
      </c>
      <c r="F3" s="876"/>
      <c r="G3" s="876"/>
      <c r="H3" s="876"/>
      <c r="I3" s="876"/>
      <c r="J3" s="876"/>
      <c r="K3" s="876"/>
      <c r="M3" s="110"/>
      <c r="N3" s="110"/>
      <c r="O3" s="110"/>
      <c r="P3" s="241"/>
      <c r="Q3" s="241"/>
      <c r="R3" s="241"/>
      <c r="S3" s="241"/>
      <c r="T3" s="241"/>
      <c r="U3" s="241"/>
      <c r="V3" s="241"/>
    </row>
    <row r="4" spans="1:31" ht="15.75" customHeight="1">
      <c r="D4" s="148"/>
      <c r="E4" s="148">
        <f>YEAR(F4)</f>
        <v>2026</v>
      </c>
      <c r="F4" s="388" t="str">
        <f>Summary!I2</f>
        <v>8/1/2026</v>
      </c>
      <c r="G4" s="175" t="str">
        <f>F4</f>
        <v>8/1/2026</v>
      </c>
      <c r="H4" s="111" t="s">
        <v>174</v>
      </c>
      <c r="I4" s="111" t="s">
        <v>174</v>
      </c>
      <c r="J4" s="111" t="s">
        <v>174</v>
      </c>
      <c r="K4" s="111" t="s">
        <v>174</v>
      </c>
      <c r="L4" s="20"/>
      <c r="O4" s="1"/>
      <c r="P4" s="148"/>
      <c r="Q4" s="175"/>
      <c r="R4" s="175"/>
      <c r="S4" s="111"/>
      <c r="T4" s="111"/>
      <c r="U4" s="111"/>
      <c r="V4" s="111"/>
    </row>
    <row r="5" spans="1:31" ht="30.75" customHeight="1">
      <c r="E5" s="111" t="s">
        <v>261</v>
      </c>
      <c r="F5" s="111" t="s">
        <v>175</v>
      </c>
      <c r="G5" s="111" t="s">
        <v>176</v>
      </c>
      <c r="H5" s="111" t="s">
        <v>177</v>
      </c>
      <c r="I5" s="111" t="s">
        <v>178</v>
      </c>
      <c r="J5" s="111" t="s">
        <v>179</v>
      </c>
      <c r="K5" s="111" t="s">
        <v>180</v>
      </c>
      <c r="L5" s="83"/>
      <c r="M5" s="112"/>
      <c r="N5" s="112"/>
      <c r="O5" s="83"/>
      <c r="P5" s="111"/>
      <c r="Q5" s="111"/>
      <c r="R5" s="111"/>
      <c r="S5" s="111"/>
      <c r="T5" s="111"/>
      <c r="U5" s="111"/>
      <c r="V5" s="111"/>
    </row>
    <row r="6" spans="1:31" ht="42" customHeight="1">
      <c r="B6" s="113"/>
      <c r="D6" s="113"/>
      <c r="E6" s="1"/>
      <c r="F6" s="1"/>
      <c r="G6" s="1"/>
      <c r="J6" s="20"/>
      <c r="K6" s="20"/>
      <c r="L6" s="20"/>
      <c r="O6" s="113"/>
      <c r="P6" s="1"/>
      <c r="Q6" s="1"/>
      <c r="R6" s="1"/>
      <c r="U6" s="20"/>
      <c r="V6" s="20"/>
      <c r="AD6" s="47"/>
      <c r="AE6" s="47"/>
    </row>
    <row r="7" spans="1:31" ht="15.6" customHeight="1">
      <c r="D7" s="114" t="s">
        <v>380</v>
      </c>
      <c r="E7" s="238">
        <f>'SDG&amp;E INPUTS'!F181</f>
        <v>144918773.06242311</v>
      </c>
      <c r="F7" s="115">
        <f>'SDG&amp;E INPUTS'!G181</f>
        <v>0.58221999999999996</v>
      </c>
      <c r="G7" s="116">
        <f>F7*E7</f>
        <v>84374608.052403972</v>
      </c>
      <c r="H7" s="172">
        <f>F7+(F7*$AD$16)</f>
        <v>0.58570126130483424</v>
      </c>
      <c r="I7" s="116">
        <f>E7*H7</f>
        <v>84879108.169410259</v>
      </c>
      <c r="J7" s="172">
        <f>F7+(F7*$AE$16)</f>
        <v>0.66124847870210668</v>
      </c>
      <c r="K7" s="116">
        <f>E7*J7</f>
        <v>95827318.222903118</v>
      </c>
      <c r="L7" s="117"/>
      <c r="O7" s="114"/>
      <c r="P7" s="319"/>
      <c r="Q7" s="121"/>
      <c r="R7" s="320"/>
      <c r="S7" s="172"/>
      <c r="T7" s="320"/>
      <c r="U7" s="172"/>
      <c r="V7" s="320"/>
      <c r="W7" s="117"/>
      <c r="X7" s="6" t="s">
        <v>381</v>
      </c>
      <c r="Y7" s="259" t="s">
        <v>112</v>
      </c>
      <c r="Z7" s="259" t="s">
        <v>324</v>
      </c>
      <c r="AA7" s="259" t="s">
        <v>3</v>
      </c>
      <c r="AC7" s="47"/>
      <c r="AD7" s="47"/>
      <c r="AE7" s="47"/>
    </row>
    <row r="8" spans="1:31" ht="15.75">
      <c r="D8" s="321"/>
      <c r="E8" s="238"/>
      <c r="F8" s="115"/>
      <c r="G8" s="116"/>
      <c r="H8" s="172"/>
      <c r="I8" s="116"/>
      <c r="J8" s="172"/>
      <c r="K8" s="116"/>
      <c r="L8" s="117"/>
      <c r="O8" s="118"/>
      <c r="P8" s="319"/>
      <c r="Q8" s="121"/>
      <c r="R8" s="320"/>
      <c r="S8" s="172"/>
      <c r="T8" s="320"/>
      <c r="U8" s="172"/>
      <c r="V8" s="320"/>
      <c r="W8" s="117"/>
      <c r="X8" s="6" t="s">
        <v>184</v>
      </c>
      <c r="Y8" s="119">
        <f>'SDG&amp;E INPUTS'!Q180</f>
        <v>491332957</v>
      </c>
      <c r="Z8" s="119">
        <f>'SDG&amp;E INPUTS'!R180</f>
        <v>435740640</v>
      </c>
      <c r="AA8" s="119">
        <f>'SDG&amp;E INPUTS'!S180</f>
        <v>55592317</v>
      </c>
      <c r="AC8" s="98"/>
      <c r="AD8" s="98"/>
      <c r="AE8" s="98"/>
    </row>
    <row r="9" spans="1:31" ht="15.75">
      <c r="D9" s="114" t="s">
        <v>382</v>
      </c>
      <c r="E9" s="238">
        <f>'SDG&amp;E INPUTS'!F182</f>
        <v>480370175.56755698</v>
      </c>
      <c r="F9" s="115">
        <f>'SDG&amp;E INPUTS'!G182</f>
        <v>0.42529</v>
      </c>
      <c r="G9" s="116">
        <f>F9*E9</f>
        <v>204296631.96712631</v>
      </c>
      <c r="H9" s="172">
        <f>F9+(F9*$AD$16)</f>
        <v>0.42783293157282981</v>
      </c>
      <c r="I9" s="116">
        <f>E9*H9</f>
        <v>205518180.45322284</v>
      </c>
      <c r="J9" s="172">
        <f>F9+(F9*$AE$16)</f>
        <v>0.48301735685345565</v>
      </c>
      <c r="K9" s="116">
        <f>E9*J9</f>
        <v>232027132.51387182</v>
      </c>
      <c r="L9" s="117"/>
      <c r="O9" s="114"/>
      <c r="P9" s="319"/>
      <c r="Q9" s="121"/>
      <c r="R9" s="320"/>
      <c r="S9" s="172"/>
      <c r="T9" s="320"/>
      <c r="U9" s="172"/>
      <c r="V9" s="320"/>
      <c r="W9" s="117"/>
      <c r="X9" s="6" t="s">
        <v>186</v>
      </c>
      <c r="Y9" s="171">
        <f>SUM('SAR and RAR (TOU-A)'!W19+'SAR and RAR (TOU-A)'!Z19-'SAR and RAR (TOU-A)'!L10)*1000-Y8</f>
        <v>-33564755.181743681</v>
      </c>
      <c r="Z9" s="171">
        <f>(('SAR and RAR (TOU-A)'!W19-'SAR and RAR (TOU-A)'!L10)*1000)-Z8</f>
        <v>-36750079.229676366</v>
      </c>
      <c r="AA9" s="171">
        <f>('SAR and RAR (TOU-A)'!Z19*1000)-AA8</f>
        <v>3185324.0479327366</v>
      </c>
      <c r="AD9" s="47"/>
      <c r="AE9" s="47"/>
    </row>
    <row r="10" spans="1:31" ht="15.75">
      <c r="D10" s="321"/>
      <c r="E10" s="238"/>
      <c r="F10" s="115"/>
      <c r="G10" s="116"/>
      <c r="H10" s="172"/>
      <c r="I10" s="116"/>
      <c r="J10" s="172"/>
      <c r="K10" s="116"/>
      <c r="L10" s="117"/>
      <c r="O10" s="118"/>
      <c r="P10" s="319"/>
      <c r="Q10" s="121"/>
      <c r="R10" s="320"/>
      <c r="S10" s="172"/>
      <c r="T10" s="320"/>
      <c r="U10" s="172"/>
      <c r="V10" s="320"/>
      <c r="W10" s="117"/>
      <c r="X10" s="6" t="s">
        <v>187</v>
      </c>
      <c r="Y10" s="119">
        <f>Y8+Y9</f>
        <v>457768201.81825632</v>
      </c>
      <c r="Z10" s="119">
        <f>Z8+Z9</f>
        <v>398990560.77032363</v>
      </c>
      <c r="AA10" s="119">
        <f>AA8+AA9</f>
        <v>58777641.047932737</v>
      </c>
      <c r="AC10" s="47"/>
      <c r="AD10" s="47"/>
      <c r="AE10" s="47"/>
    </row>
    <row r="11" spans="1:31" ht="15.75">
      <c r="D11" s="114" t="s">
        <v>383</v>
      </c>
      <c r="E11" s="238">
        <f>'SDG&amp;E INPUTS'!F183</f>
        <v>174817040.8013483</v>
      </c>
      <c r="F11" s="115">
        <f>'SDG&amp;E INPUTS'!G183</f>
        <v>0.43767999999999996</v>
      </c>
      <c r="G11" s="116">
        <f>F11*E11</f>
        <v>76513922.41793412</v>
      </c>
      <c r="H11" s="172">
        <f>F11+(F11*$AD$16)</f>
        <v>0.44029701495637358</v>
      </c>
      <c r="I11" s="116">
        <f>E11*H11</f>
        <v>76971421.228340223</v>
      </c>
      <c r="J11" s="172">
        <f>F11+(F11*$AE$16)</f>
        <v>0.49708913152818185</v>
      </c>
      <c r="K11" s="116">
        <f>E11*J11</f>
        <v>86899650.988268957</v>
      </c>
      <c r="L11" s="117"/>
      <c r="O11" s="114"/>
      <c r="P11" s="319"/>
      <c r="Q11" s="121"/>
      <c r="R11" s="320"/>
      <c r="S11" s="172"/>
      <c r="T11" s="320"/>
      <c r="U11" s="172"/>
      <c r="V11" s="320"/>
      <c r="W11" s="117"/>
      <c r="X11" s="6" t="s">
        <v>189</v>
      </c>
      <c r="Y11" s="209">
        <f>SUM('SAR and RAR (TOU-A)'!Y19+'SAR and RAR (TOU-A)'!AA19-'SAR and RAR (TOU-A)'!L13)*1000-Y8</f>
        <v>86306777.953559875</v>
      </c>
      <c r="Z11" s="209">
        <f>(('SAR and RAR (TOU-A)'!Y19-'SAR and RAR (TOU-A)'!L13)*1000)-Z8</f>
        <v>90329547.710465193</v>
      </c>
      <c r="AA11" s="209">
        <f>('SAR and RAR (TOU-A)'!AA19*1000)-AA8</f>
        <v>-4022769.7569051981</v>
      </c>
      <c r="AC11" s="98"/>
      <c r="AD11" s="261"/>
      <c r="AE11" s="262"/>
    </row>
    <row r="12" spans="1:31" ht="15.75">
      <c r="D12" s="321"/>
      <c r="E12" s="238"/>
      <c r="F12" s="115"/>
      <c r="G12" s="116"/>
      <c r="H12" s="172"/>
      <c r="I12" s="116"/>
      <c r="J12" s="172"/>
      <c r="K12" s="116"/>
      <c r="L12" s="117"/>
      <c r="O12" s="118"/>
      <c r="P12" s="319"/>
      <c r="Q12" s="121"/>
      <c r="R12" s="320"/>
      <c r="S12" s="172"/>
      <c r="T12" s="320"/>
      <c r="U12" s="172"/>
      <c r="V12" s="320"/>
      <c r="W12" s="117"/>
      <c r="X12" s="6" t="s">
        <v>190</v>
      </c>
      <c r="Y12" s="119">
        <f>Y8+Y11</f>
        <v>577639734.95355988</v>
      </c>
      <c r="Z12" s="119">
        <f>Z8+Z11</f>
        <v>526070187.71046519</v>
      </c>
      <c r="AA12" s="119">
        <f>AA8+AA11</f>
        <v>51569547.243094802</v>
      </c>
    </row>
    <row r="13" spans="1:31" ht="15.75">
      <c r="D13" s="114" t="s">
        <v>384</v>
      </c>
      <c r="E13" s="238">
        <f>'SDG&amp;E INPUTS'!F184</f>
        <v>605751798.04639816</v>
      </c>
      <c r="F13" s="115">
        <f>'SDG&amp;E INPUTS'!G184</f>
        <v>0.33551999999999998</v>
      </c>
      <c r="G13" s="116">
        <f>F13*E13</f>
        <v>203241843.2805275</v>
      </c>
      <c r="H13" s="172">
        <f>F13+(F13*$AD$16)</f>
        <v>0.33752617085122116</v>
      </c>
      <c r="I13" s="116">
        <f>E13*H13</f>
        <v>204457084.88084301</v>
      </c>
      <c r="J13" s="172">
        <f>F13+(F13*$AE$16)</f>
        <v>0.38106229530784036</v>
      </c>
      <c r="K13" s="116">
        <f>E13*J13</f>
        <v>230829170.55041185</v>
      </c>
      <c r="L13" s="117"/>
      <c r="O13" s="118"/>
      <c r="P13" s="122"/>
      <c r="Q13" s="121"/>
      <c r="R13" s="122"/>
      <c r="S13" s="1"/>
      <c r="T13" s="123"/>
      <c r="U13" s="1"/>
      <c r="V13" s="123"/>
      <c r="Z13" s="296"/>
    </row>
    <row r="14" spans="1:31" ht="15.75">
      <c r="D14" s="321"/>
      <c r="E14" s="238"/>
      <c r="F14" s="115"/>
      <c r="G14" s="116"/>
      <c r="H14" s="172"/>
      <c r="I14" s="116"/>
      <c r="J14" s="172"/>
      <c r="K14" s="116"/>
      <c r="L14" s="117"/>
      <c r="O14" s="118"/>
      <c r="P14" s="122"/>
      <c r="Q14" s="121"/>
      <c r="R14" s="122"/>
      <c r="S14" s="263"/>
      <c r="T14" s="122"/>
      <c r="U14" s="122"/>
      <c r="V14" s="122"/>
      <c r="X14" s="6" t="s">
        <v>385</v>
      </c>
      <c r="Y14" s="259" t="s">
        <v>112</v>
      </c>
      <c r="Z14" s="259" t="s">
        <v>324</v>
      </c>
      <c r="AA14" s="259" t="s">
        <v>3</v>
      </c>
      <c r="AD14" s="47" t="s">
        <v>326</v>
      </c>
      <c r="AE14" s="47" t="s">
        <v>328</v>
      </c>
    </row>
    <row r="15" spans="1:31" ht="15.75">
      <c r="D15" s="118"/>
      <c r="E15" s="120"/>
      <c r="F15" s="121"/>
      <c r="G15" s="122"/>
      <c r="H15" s="237"/>
      <c r="I15" s="122"/>
      <c r="J15" s="236"/>
      <c r="K15" s="122"/>
      <c r="L15" s="117"/>
      <c r="O15" s="124"/>
      <c r="P15" s="122"/>
      <c r="Q15" s="121"/>
      <c r="R15" s="122"/>
      <c r="S15" s="122"/>
      <c r="T15" s="122"/>
      <c r="U15" s="122"/>
      <c r="V15" s="122"/>
      <c r="X15" s="6" t="s">
        <v>363</v>
      </c>
      <c r="Y15" s="296">
        <f>+Z15+AA15</f>
        <v>40.503</v>
      </c>
      <c r="Z15" s="886">
        <f>'SDG&amp;E INPUTS'!R181</f>
        <v>24.366999999999997</v>
      </c>
      <c r="AA15" s="886">
        <f>'SDG&amp;E INPUTS'!S181</f>
        <v>16.135999999999999</v>
      </c>
      <c r="AB15" s="887"/>
      <c r="AC15" s="888" t="s">
        <v>325</v>
      </c>
      <c r="AD15" s="259" t="s">
        <v>327</v>
      </c>
      <c r="AE15" s="259" t="s">
        <v>327</v>
      </c>
    </row>
    <row r="16" spans="1:31" ht="15.75">
      <c r="E16" s="239"/>
      <c r="P16" s="122"/>
      <c r="Q16" s="121"/>
      <c r="X16" s="6" t="s">
        <v>187</v>
      </c>
      <c r="Y16" s="296">
        <f>+Z16+AA16</f>
        <v>40.745179118940783</v>
      </c>
      <c r="Z16" s="886">
        <f>SUM('SAR and RAR (TOU-A)'!J30:K30,'SAR and RAR (TOU-A)'!M30:T30)</f>
        <v>23.213367035833514</v>
      </c>
      <c r="AA16" s="886">
        <f>'SAR and RAR (TOU-A)'!H30</f>
        <v>17.531812083107269</v>
      </c>
      <c r="AB16" s="887"/>
      <c r="AC16" s="887">
        <f>'SAR and RAR (TOU-A)'!AF26/100</f>
        <v>0.40503</v>
      </c>
      <c r="AD16" s="298">
        <f>$Y17/100/$AC$16</f>
        <v>5.9792884216177244E-3</v>
      </c>
      <c r="AE16" s="298">
        <f>$Y19/100/$AC$16</f>
        <v>0.1357364547801633</v>
      </c>
    </row>
    <row r="17" spans="1:31" ht="15.75">
      <c r="O17" s="125"/>
      <c r="X17" s="6" t="s">
        <v>186</v>
      </c>
      <c r="Y17" s="424">
        <f>+Y16-Y15</f>
        <v>0.2421791189407827</v>
      </c>
      <c r="Z17" s="296">
        <f>+Z16-Z15</f>
        <v>-1.1536329641664835</v>
      </c>
      <c r="AA17" s="296">
        <f>+AA16-AA15</f>
        <v>1.3958120831072698</v>
      </c>
      <c r="AC17" s="322"/>
      <c r="AD17" s="423"/>
      <c r="AE17" s="423"/>
    </row>
    <row r="18" spans="1:31">
      <c r="X18" s="6" t="s">
        <v>190</v>
      </c>
      <c r="Y18" s="296">
        <f>+Z18+AA18</f>
        <v>46.000733627960955</v>
      </c>
      <c r="Z18" s="296">
        <f>SUM('SAR and RAR (TOU-A)'!J36:K36,'SAR and RAR (TOU-A)'!M36:T36)</f>
        <v>30.618904834601125</v>
      </c>
      <c r="AA18" s="296">
        <f>'SAR and RAR (TOU-A)'!H36</f>
        <v>15.381828793359833</v>
      </c>
      <c r="AD18" s="167"/>
      <c r="AE18" s="167"/>
    </row>
    <row r="19" spans="1:31">
      <c r="B19" s="7"/>
      <c r="P19" s="323"/>
      <c r="Q19" s="323"/>
      <c r="R19" s="323"/>
      <c r="S19" s="323"/>
      <c r="T19" s="323"/>
      <c r="U19" s="323"/>
      <c r="V19" s="323"/>
      <c r="X19" s="6" t="s">
        <v>189</v>
      </c>
      <c r="Y19" s="424">
        <f>+Y18-Y15</f>
        <v>5.4977336279609545</v>
      </c>
      <c r="Z19" s="296">
        <f>+Z18-Z15</f>
        <v>6.2519048346011274</v>
      </c>
      <c r="AA19" s="296">
        <f>+AA18-AA15</f>
        <v>-0.75417120664016579</v>
      </c>
      <c r="AD19" s="167"/>
      <c r="AE19" s="167"/>
    </row>
    <row r="20" spans="1:31">
      <c r="B20" s="126" t="s">
        <v>386</v>
      </c>
      <c r="C20" s="126"/>
      <c r="E20" s="127" t="s">
        <v>174</v>
      </c>
      <c r="F20" s="127" t="s">
        <v>174</v>
      </c>
      <c r="H20" s="126"/>
      <c r="I20" s="6" t="s">
        <v>500</v>
      </c>
      <c r="P20" s="324"/>
      <c r="Q20" s="325"/>
      <c r="R20" s="325"/>
      <c r="S20" s="325"/>
      <c r="T20" s="325"/>
      <c r="U20" s="877"/>
      <c r="V20" s="877"/>
      <c r="Y20" s="174"/>
      <c r="AD20" s="167"/>
      <c r="AE20" s="167"/>
    </row>
    <row r="21" spans="1:31">
      <c r="B21" s="130" t="s">
        <v>175</v>
      </c>
      <c r="C21" s="351" t="str">
        <f>'Res Bill Impact'!C21</f>
        <v>6/1/2026</v>
      </c>
      <c r="D21" s="315" t="str">
        <f>'Res Bill Impact'!D21</f>
        <v>8/1/2026</v>
      </c>
      <c r="E21" s="132" t="s">
        <v>154</v>
      </c>
      <c r="F21" s="132" t="s">
        <v>162</v>
      </c>
      <c r="I21" s="533" t="s">
        <v>387</v>
      </c>
      <c r="J21" s="534"/>
      <c r="K21" s="535"/>
      <c r="L21" s="794" t="s">
        <v>192</v>
      </c>
      <c r="M21" s="795"/>
      <c r="N21" s="794" t="s">
        <v>193</v>
      </c>
      <c r="O21" s="795"/>
      <c r="R21" s="323"/>
      <c r="S21" s="877"/>
      <c r="T21" s="877"/>
      <c r="U21" s="877"/>
      <c r="V21" s="877"/>
      <c r="W21" s="326"/>
      <c r="X21" s="326"/>
      <c r="AA21" s="425"/>
    </row>
    <row r="22" spans="1:31">
      <c r="A22" s="6" t="s">
        <v>192</v>
      </c>
      <c r="B22" s="134" t="s">
        <v>388</v>
      </c>
      <c r="C22" s="217">
        <f>'SDG&amp;E INPUTS'!H181</f>
        <v>0.57574000000000003</v>
      </c>
      <c r="D22" s="136">
        <f>F7</f>
        <v>0.58221999999999996</v>
      </c>
      <c r="E22" s="137">
        <f>H7</f>
        <v>0.58570126130483424</v>
      </c>
      <c r="F22" s="137">
        <f>J7</f>
        <v>0.66124847870210668</v>
      </c>
      <c r="I22" s="318" t="s">
        <v>389</v>
      </c>
      <c r="J22" s="357"/>
      <c r="K22" s="456"/>
      <c r="L22" s="327" t="s">
        <v>390</v>
      </c>
      <c r="M22" s="327" t="s">
        <v>391</v>
      </c>
      <c r="N22" s="327" t="s">
        <v>390</v>
      </c>
      <c r="O22" s="327" t="s">
        <v>391</v>
      </c>
      <c r="P22" s="327" t="s">
        <v>196</v>
      </c>
      <c r="Q22" s="327" t="s">
        <v>392</v>
      </c>
      <c r="R22" s="328"/>
      <c r="S22" s="329"/>
      <c r="T22" s="329"/>
      <c r="U22" s="329"/>
      <c r="V22" s="329"/>
      <c r="W22" s="330"/>
      <c r="X22" s="330"/>
      <c r="AA22" s="425"/>
    </row>
    <row r="23" spans="1:31">
      <c r="B23" s="134" t="s">
        <v>393</v>
      </c>
      <c r="C23" s="135">
        <f>'SDG&amp;E INPUTS'!H182</f>
        <v>0.42312000000000005</v>
      </c>
      <c r="D23" s="136">
        <f>F9</f>
        <v>0.42529</v>
      </c>
      <c r="E23" s="137">
        <f>H9</f>
        <v>0.42783293157282981</v>
      </c>
      <c r="F23" s="137">
        <f>J9</f>
        <v>0.48301735685345565</v>
      </c>
      <c r="I23" s="515" t="s">
        <v>394</v>
      </c>
      <c r="J23" s="516"/>
      <c r="K23" s="536"/>
      <c r="L23" s="332">
        <f>'SDG&amp;E INPUTS'!E79</f>
        <v>155.26415030752301</v>
      </c>
      <c r="M23" s="332">
        <f>'SDG&amp;E INPUTS'!F79</f>
        <v>818.50720363973301</v>
      </c>
      <c r="N23" s="332">
        <f>'SDG&amp;E INPUTS'!G79</f>
        <v>149.84836849896999</v>
      </c>
      <c r="O23" s="332">
        <f>'SDG&amp;E INPUTS'!H79</f>
        <v>778.46741210596599</v>
      </c>
      <c r="P23" s="333">
        <f>'SDG&amp;E INPUTS'!I79</f>
        <v>0.5490840118430792</v>
      </c>
      <c r="Q23" s="334">
        <f>'SDG&amp;E INPUTS'!J79</f>
        <v>4.2966256634931304</v>
      </c>
      <c r="R23" s="328"/>
      <c r="S23" s="329"/>
      <c r="T23" s="329"/>
      <c r="U23" s="329"/>
      <c r="V23" s="329"/>
      <c r="W23" s="330"/>
      <c r="X23" s="330"/>
    </row>
    <row r="24" spans="1:31">
      <c r="A24" s="6" t="s">
        <v>193</v>
      </c>
      <c r="B24" s="134" t="s">
        <v>388</v>
      </c>
      <c r="C24" s="757">
        <f>'SDG&amp;E INPUTS'!H183</f>
        <v>0.43513000000000002</v>
      </c>
      <c r="D24" s="136">
        <f>F11</f>
        <v>0.43767999999999996</v>
      </c>
      <c r="E24" s="136">
        <f>H11</f>
        <v>0.44029701495637358</v>
      </c>
      <c r="F24" s="136">
        <f>J11</f>
        <v>0.49708913152818185</v>
      </c>
      <c r="I24" s="331" t="s">
        <v>395</v>
      </c>
      <c r="K24" s="356"/>
      <c r="L24" s="335">
        <f>'SDG&amp;E INPUTS'!E80</f>
        <v>179.56444444444401</v>
      </c>
      <c r="M24" s="335">
        <f>'SDG&amp;E INPUTS'!F80</f>
        <v>948.39886792452796</v>
      </c>
      <c r="N24" s="335">
        <f>'SDG&amp;E INPUTS'!G80</f>
        <v>141.06277328541401</v>
      </c>
      <c r="O24" s="335">
        <f>'SDG&amp;E INPUTS'!H80</f>
        <v>810.51623240491097</v>
      </c>
      <c r="P24" s="333">
        <f>'SDG&amp;E INPUTS'!I80</f>
        <v>0.22066987416728348</v>
      </c>
      <c r="Q24" s="334">
        <f>'SDG&amp;E INPUTS'!J80</f>
        <v>6.5895195667365396</v>
      </c>
      <c r="R24" s="328"/>
      <c r="S24" s="329"/>
      <c r="T24" s="329"/>
      <c r="U24" s="329"/>
      <c r="V24" s="329"/>
      <c r="W24" s="330"/>
      <c r="X24" s="330"/>
    </row>
    <row r="25" spans="1:31">
      <c r="B25" s="134" t="s">
        <v>393</v>
      </c>
      <c r="C25" s="757">
        <f>'SDG&amp;E INPUTS'!H184</f>
        <v>0.33589000000000002</v>
      </c>
      <c r="D25" s="136">
        <f>F13</f>
        <v>0.33551999999999998</v>
      </c>
      <c r="E25" s="136">
        <f>H13</f>
        <v>0.33752617085122116</v>
      </c>
      <c r="F25" s="136">
        <f>J13</f>
        <v>0.38106229530784036</v>
      </c>
      <c r="I25" s="336" t="s">
        <v>396</v>
      </c>
      <c r="J25" s="133"/>
      <c r="K25" s="537"/>
      <c r="L25" s="337">
        <f>'SDG&amp;E INPUTS'!E81</f>
        <v>550.87936507936502</v>
      </c>
      <c r="M25" s="337">
        <f>'SDG&amp;E INPUTS'!F81</f>
        <v>2425.57355836849</v>
      </c>
      <c r="N25" s="337">
        <f>'SDG&amp;E INPUTS'!G81</f>
        <v>441.43732598524599</v>
      </c>
      <c r="O25" s="337">
        <f>'SDG&amp;E INPUTS'!H81</f>
        <v>1989.22549441717</v>
      </c>
      <c r="P25" s="338">
        <f>'SDG&amp;E INPUTS'!I81</f>
        <v>0.23024611398963732</v>
      </c>
      <c r="Q25" s="339">
        <f>'SDG&amp;E INPUTS'!J81</f>
        <v>9.3798992030004609</v>
      </c>
      <c r="R25" s="328"/>
      <c r="S25" s="329"/>
      <c r="T25" s="329"/>
      <c r="U25" s="329"/>
      <c r="V25" s="329"/>
      <c r="W25" s="330"/>
      <c r="X25" s="330"/>
    </row>
    <row r="26" spans="1:31">
      <c r="I26" s="442"/>
      <c r="N26" s="119"/>
      <c r="O26" s="119"/>
      <c r="R26" s="329"/>
      <c r="S26" s="329"/>
      <c r="T26" s="329"/>
      <c r="U26" s="330"/>
      <c r="V26" s="330"/>
    </row>
    <row r="27" spans="1:31">
      <c r="B27" s="340"/>
      <c r="C27" s="242"/>
      <c r="D27" s="136"/>
      <c r="E27" s="137"/>
      <c r="F27" s="137"/>
      <c r="I27" s="119"/>
      <c r="J27" s="119"/>
      <c r="M27" s="119"/>
      <c r="N27" s="119"/>
      <c r="Q27" s="149"/>
      <c r="R27" s="149"/>
      <c r="S27" s="149"/>
      <c r="T27" s="149"/>
      <c r="U27" s="140"/>
      <c r="V27" s="140"/>
    </row>
    <row r="28" spans="1:31">
      <c r="I28" s="119"/>
      <c r="J28" s="119"/>
      <c r="M28" s="119"/>
      <c r="N28" s="119"/>
      <c r="Q28" s="149"/>
      <c r="R28" s="149"/>
      <c r="S28" s="149"/>
      <c r="T28" s="149"/>
      <c r="U28" s="140"/>
      <c r="V28" s="140"/>
    </row>
    <row r="29" spans="1:31">
      <c r="B29" s="340"/>
      <c r="C29" s="242"/>
      <c r="D29" s="136"/>
      <c r="E29" s="137"/>
      <c r="F29" s="137"/>
      <c r="I29" s="119"/>
      <c r="J29" s="119"/>
      <c r="M29" s="119"/>
      <c r="N29" s="119"/>
      <c r="Q29" s="149"/>
      <c r="R29" s="149"/>
      <c r="S29" s="149"/>
      <c r="T29" s="149"/>
      <c r="U29" s="140"/>
      <c r="V29" s="140"/>
    </row>
    <row r="30" spans="1:31">
      <c r="B30" s="7"/>
      <c r="C30" s="8"/>
      <c r="D30" s="143"/>
      <c r="E30" s="9"/>
      <c r="F30" s="9"/>
      <c r="I30" s="119"/>
      <c r="J30" s="119"/>
      <c r="M30" s="119"/>
      <c r="N30" s="119"/>
      <c r="Q30" s="149"/>
      <c r="R30" s="149"/>
      <c r="S30" s="149"/>
      <c r="T30" s="149"/>
      <c r="U30" s="140"/>
      <c r="V30" s="142"/>
    </row>
    <row r="31" spans="1:31">
      <c r="B31" s="7"/>
      <c r="C31" s="8"/>
      <c r="D31" s="8"/>
      <c r="E31" s="9"/>
      <c r="F31" s="9"/>
    </row>
    <row r="32" spans="1:31" ht="27">
      <c r="B32" s="235"/>
      <c r="C32" s="860" t="s">
        <v>397</v>
      </c>
      <c r="D32" s="860"/>
      <c r="E32" s="860"/>
      <c r="F32" s="860"/>
      <c r="G32" s="860"/>
      <c r="H32" s="860"/>
      <c r="I32" s="860"/>
      <c r="J32" s="860"/>
      <c r="L32" s="127" t="s">
        <v>398</v>
      </c>
      <c r="Q32" s="341"/>
      <c r="R32" s="342"/>
      <c r="S32" s="341"/>
      <c r="T32" s="343"/>
      <c r="U32" s="343"/>
      <c r="V32" s="343"/>
    </row>
    <row r="33" spans="2:22">
      <c r="B33" s="7"/>
      <c r="C33" s="458" t="s">
        <v>511</v>
      </c>
      <c r="D33" s="459"/>
      <c r="E33" s="459"/>
      <c r="F33" s="459"/>
      <c r="G33" s="459"/>
      <c r="H33" s="459"/>
      <c r="I33" s="459"/>
      <c r="J33" s="460"/>
      <c r="L33" s="134" t="s">
        <v>399</v>
      </c>
      <c r="M33" s="344" t="str">
        <f>C21</f>
        <v>6/1/2026</v>
      </c>
      <c r="N33" s="131" t="str">
        <f>D21</f>
        <v>8/1/2026</v>
      </c>
      <c r="Q33" s="341"/>
      <c r="R33" s="342"/>
      <c r="S33" s="345"/>
      <c r="T33" s="346"/>
      <c r="U33" s="346"/>
      <c r="V33" s="347"/>
    </row>
    <row r="34" spans="2:22">
      <c r="B34" s="7"/>
      <c r="C34" s="862" t="str">
        <f>C21</f>
        <v>6/1/2026</v>
      </c>
      <c r="D34" s="862"/>
      <c r="E34" s="861" t="str">
        <f>D21</f>
        <v>8/1/2026</v>
      </c>
      <c r="F34" s="862"/>
      <c r="G34" s="862" t="str">
        <f>E21</f>
        <v>Authorized</v>
      </c>
      <c r="H34" s="862"/>
      <c r="I34" s="861" t="str">
        <f>F21</f>
        <v>w/Pending</v>
      </c>
      <c r="J34" s="862"/>
      <c r="L34" s="134" t="s">
        <v>400</v>
      </c>
      <c r="M34" s="348">
        <f>'SDG&amp;E INPUTS'!F192</f>
        <v>12.02</v>
      </c>
      <c r="N34" s="348">
        <f>'SDG&amp;E INPUTS'!G192</f>
        <v>12.02</v>
      </c>
      <c r="O34" s="153"/>
      <c r="Q34" s="341"/>
      <c r="R34" s="342"/>
      <c r="S34" s="345"/>
      <c r="T34" s="346"/>
      <c r="U34" s="347"/>
      <c r="V34" s="346"/>
    </row>
    <row r="35" spans="2:22">
      <c r="B35" s="7"/>
      <c r="C35" s="8" t="s">
        <v>192</v>
      </c>
      <c r="D35" s="8" t="s">
        <v>193</v>
      </c>
      <c r="E35" s="8" t="s">
        <v>192</v>
      </c>
      <c r="F35" s="8" t="s">
        <v>193</v>
      </c>
      <c r="G35" s="8" t="s">
        <v>192</v>
      </c>
      <c r="H35" s="8" t="s">
        <v>193</v>
      </c>
      <c r="I35" s="8" t="s">
        <v>192</v>
      </c>
      <c r="J35" s="8" t="s">
        <v>193</v>
      </c>
      <c r="L35" s="134" t="s">
        <v>401</v>
      </c>
      <c r="M35" s="348">
        <f>'SDG&amp;E INPUTS'!F193</f>
        <v>19.23</v>
      </c>
      <c r="N35" s="348">
        <f>'SDG&amp;E INPUTS'!G193</f>
        <v>19.23</v>
      </c>
      <c r="O35" s="153"/>
      <c r="Q35" s="341"/>
      <c r="R35" s="345"/>
      <c r="S35" s="349"/>
      <c r="T35" s="346"/>
      <c r="U35" s="346"/>
      <c r="V35" s="346"/>
    </row>
    <row r="36" spans="2:22">
      <c r="B36" s="138" t="s">
        <v>394</v>
      </c>
      <c r="C36" s="159">
        <f>((C22*$L$23)+(C23*$M$23))+IF($Q23&lt;5.1,$M$34,IF(AND($Q23&gt;5,$Q23&lt;20.1),$M$35,IF(AND($Q23&gt;20,$Q23&lt;50.1),$M$36,IF($Q23&gt;50,$M$37))))+('Incremental Rev Req'!F87*$L$23+'Incremental Rev Req'!F87*$M$23)</f>
        <v>448.71232125604439</v>
      </c>
      <c r="D36" s="159">
        <f>((C24*$N$23)+(C25*$O$23))+IF($Q23&lt;5.1,$M$34,IF(AND($Q23&gt;5,$Q23&lt;20.1),$M$35,IF(AND($Q23&gt;20,$Q23&lt;50.1),$M$36,IF($Q23&gt;50,$M$37))))+('Incremental Rev Req'!F87*$N$23+'Incremental Rev Req'!F87*$O$23)</f>
        <v>339.63125541783467</v>
      </c>
      <c r="E36" s="159">
        <f>((D22*$L$23)+(D23*$M$23))+IF($Q23&lt;5.1,$N$34,IF(AND($Q23&gt;5,$Q23&lt;20.1),$N$35,IF(AND($Q23&gt;20,$Q23&lt;50.1),$N$36,IF($Q23&gt;50,$N$37))))+('Incremental Rev Req'!F87*$L$23+'Incremental Rev Req'!F87*$M$23)</f>
        <v>451.49459358193536</v>
      </c>
      <c r="F36" s="159">
        <f>((D24*$N$23)+(D25*$O$23))+IF($Q23&lt;5.1,$N$34,IF(AND($Q23&gt;5,$Q23&lt;20.1),$N$35,IF(AND($Q23&gt;20,$Q23&lt;50.1),$N$36,IF($Q23&gt;50,$N$37))))+('Incremental Rev Req'!F87*$N$23+'Incremental Rev Req'!F87*$O$23)</f>
        <v>339.72533581502779</v>
      </c>
      <c r="G36" s="159">
        <f>((E22*L23)+(E23*M23))+IF($Q23&lt;5.1,$N$34,IF(AND($Q23&gt;5,$Q23&lt;20.1),$N$35,IF(AND($Q23&gt;20,$Q23&lt;50.1),$N$36,IF($Q23&gt;50,$N$37))))+('Incremental Rev Req'!F87*$L$23+'Incremental Rev Req'!F87*$M$23)</f>
        <v>454.11651647115303</v>
      </c>
      <c r="H36" s="159">
        <f>((E24*N23)+(E25*O23))+IF($Q23&lt;5.1,$N$34,IF(AND($Q23&gt;5,$Q23&lt;20.1),$N$35,IF(AND($Q23&gt;20,$Q23&lt;50.1),$N$36,IF($Q23&gt;50,$N$37))))+('Incremental Rev Req'!F87*$N$23+'Incremental Rev Req'!F87*$O$23)</f>
        <v>341.67922986737034</v>
      </c>
      <c r="I36" s="159">
        <f>((F22*L23)+(F23*M23))+IF($Q23&lt;5.1,$N$34,IF(AND($Q23&gt;5,$Q23&lt;20.1),$N$35,IF(AND($Q23&gt;20,$Q23&lt;50.1),$N$36,IF($Q23&gt;50,$N$37))))+('Incremental Rev Req'!F87*$L$23+'Incremental Rev Req'!F87*$M$23)</f>
        <v>511.01514060934903</v>
      </c>
      <c r="J36" s="159">
        <f>((F24*N23)+(F25*O23))+IF($Q23&lt;5.1,$N$34,IF(AND($Q23&gt;5,$Q23&lt;20.1),$N$35,IF(AND($Q23&gt;20,$Q23&lt;50.1),$N$36,IF($Q23&gt;50,$N$37))))+('Incremental Rev Req'!F87*$N$23+'Incremental Rev Req'!F87*$O$23)</f>
        <v>384.08089001812675</v>
      </c>
      <c r="L36" s="134" t="s">
        <v>402</v>
      </c>
      <c r="M36" s="348">
        <f>'SDG&amp;E INPUTS'!F194</f>
        <v>36.06</v>
      </c>
      <c r="N36" s="348">
        <f>'SDG&amp;E INPUTS'!G194</f>
        <v>36.06</v>
      </c>
      <c r="O36" s="153"/>
      <c r="Q36" s="341"/>
      <c r="R36" s="342"/>
      <c r="S36" s="349"/>
      <c r="T36" s="346"/>
      <c r="U36" s="346"/>
      <c r="V36" s="346"/>
    </row>
    <row r="37" spans="2:22">
      <c r="B37" s="141" t="s">
        <v>395</v>
      </c>
      <c r="C37" s="159">
        <f>((C22*$L$24)+(C23*$M$24))+IF($Q24&lt;5.1,$M$34,IF(AND($Q24&gt;5,$Q24&lt;20.1),$M$35,IF(AND($Q24&gt;20,$Q24&lt;50.1),$M$36,IF($Q24&gt;50,$M$37))))+('Incremental Rev Req'!F87*$L$24+'Incremental Rev Req'!F87*$M$24)</f>
        <v>525.0269255530394</v>
      </c>
      <c r="D37" s="159">
        <f>((C24*$N$24)+(C25*$O$24))+IF($Q24&lt;5.1,$M$34,IF(AND($Q24&gt;5,$Q24&lt;20.1),$M$35,IF(AND($Q24&gt;20,$Q24&lt;50.1),$M$36,IF($Q24&gt;50,$M$37))))+('Incremental Rev Req'!F87*$N$24+'Incremental Rev Req'!F87*$O$24)</f>
        <v>353.80652084785811</v>
      </c>
      <c r="E37" s="159">
        <f>((D22*$L$24)+(D23*$M$24))+IF($Q24&lt;5.1,$N$34,IF(AND($Q24&gt;5,$Q24&lt;20.1),$N$35,IF(AND($Q24&gt;20,$Q24&lt;50.1),$N$36,IF($Q24&gt;50,$N$37))))+('Incremental Rev Req'!F87*$L$24+'Incremental Rev Req'!F87*$M$24)</f>
        <v>528.24852869643564</v>
      </c>
      <c r="F37" s="159">
        <f>((D24*$N$24)+(D25*$O$24))+IF($Q24&lt;5.1,$N$34,IF(AND($Q24&gt;5,$Q24&lt;20.1),$N$35,IF(AND($Q24&gt;20,$Q24&lt;50.1),$N$36,IF($Q24&gt;50,$N$37))))+('Incremental Rev Req'!F87*$N$24+'Incremental Rev Req'!F87*$O$24)</f>
        <v>353.86633991374612</v>
      </c>
      <c r="G37" s="159">
        <f>((E22*L24)+(E23*M24))+IF($Q24&lt;5.1,$N$34,IF(AND($Q24&gt;5,$Q24&lt;20.1),$N$35,IF(AND($Q24&gt;20,$Q24&lt;50.1),$N$36,IF($Q24&gt;50,$N$37))))+('Incremental Rev Req'!F87*$L$24+'Incremental Rev Req'!F87*$M$24)</f>
        <v>531.28535287348541</v>
      </c>
      <c r="H37" s="159">
        <f>((E24*N24)+(E25*O24))+IF($Q24&lt;5.1,$N$34,IF(AND($Q24&gt;5,$Q24&lt;20.1),$N$35,IF(AND($Q24&gt;20,$Q24&lt;50.1),$N$36,IF($Q24&gt;50,$N$37))))+('Incremental Rev Req'!F87*$N$24+'Incremental Rev Req'!F87*$O$24)</f>
        <v>355.86153734111389</v>
      </c>
      <c r="I37" s="159">
        <f>((F22*L24)+(F23*M24))+IF($Q24&lt;5.1,$N$34,IF(AND($Q24&gt;5,$Q24&lt;20.1),$N$35,IF(AND($Q24&gt;20,$Q24&lt;50.1),$N$36,IF($Q24&gt;50,$N$37))))+('Incremental Rev Req'!F87*$L$24+'Incremental Rev Req'!F87*$M$24)</f>
        <v>597.18779345796156</v>
      </c>
      <c r="J37" s="159">
        <f>((F24*N24)+(F25*O24))+IF($Q24&lt;5.1,$N$34,IF(AND($Q24&gt;5,$Q24&lt;20.1),$N$35,IF(AND($Q24&gt;20,$Q24&lt;50.1),$N$36,IF($Q24&gt;50,$N$37))))+('Incremental Rev Req'!F87*$N$24+'Incremental Rev Req'!F87*$O$24)</f>
        <v>399.15952637357196</v>
      </c>
      <c r="L37" s="134" t="s">
        <v>403</v>
      </c>
      <c r="M37" s="348">
        <f>'SDG&amp;E INPUTS'!F195</f>
        <v>90.16</v>
      </c>
      <c r="N37" s="348">
        <f>'SDG&amp;E INPUTS'!G195</f>
        <v>90.16</v>
      </c>
      <c r="O37" s="153"/>
      <c r="Q37" s="341"/>
      <c r="R37" s="342"/>
      <c r="S37" s="345"/>
      <c r="T37" s="346"/>
      <c r="U37" s="346"/>
      <c r="V37" s="347"/>
    </row>
    <row r="38" spans="2:22">
      <c r="B38" s="144" t="s">
        <v>396</v>
      </c>
      <c r="C38" s="159">
        <f>((C22*$L$25)+(C23*$M$25))+IF($Q25&lt;5.1,$M$34,IF(AND($Q25&gt;5,$Q25&lt;20.1),$M$35,IF(AND($Q25&gt;20,$Q25&lt;50.1),$M$36,IF($Q25&gt;50,$M$37))))+('Incremental Rev Req'!F87*$L$25+'Incremental Rev Req'!F87*$M$25)</f>
        <v>1365.6784225911169</v>
      </c>
      <c r="D38" s="159">
        <f>((C24*$N$25)+(C25*$O$25))+IF($Q25&lt;5.1,$M$34,IF(AND($Q25&gt;5,$Q25&lt;20.1),$M$35,IF(AND($Q25&gt;20,$Q25&lt;50.1),$M$36,IF($Q25&gt;50,$M$37))))+('Incremental Rev Req'!F87*$N$25+'Incremental Rev Req'!F87*$O$25)</f>
        <v>881.90423779614582</v>
      </c>
      <c r="E38" s="159">
        <f>((D22*$L$25)+(D23*$M$25))+IF($Q25&lt;5.1,$N$34,IF(AND($Q25&gt;5,$Q25&lt;20.1),$N$35,IF(AND($Q25&gt;20,$Q25&lt;50.1),$N$36,IF($Q25&gt;50,$N$37))))+('Incremental Rev Req'!F87*$L$25+'Incremental Rev Req'!F87*$M$25)</f>
        <v>1374.511615498491</v>
      </c>
      <c r="F38" s="159">
        <f>((D24*$N$25)+(D25*$O$25))+IF($Q25&lt;5.1,$N$34,IF(AND($Q25&gt;5,$Q25&lt;20.1),$N$35,IF(AND($Q25&gt;20,$Q25&lt;50.1),$N$36,IF($Q25&gt;50,$N$37))))+('Incremental Rev Req'!F87*$N$25+'Incremental Rev Req'!F87*$O$25)</f>
        <v>882.2938895444737</v>
      </c>
      <c r="G38" s="159">
        <f>((E22*L25)+(E23*M25))+IF($Q25&lt;5.1,$N$34,IF(AND($Q25&gt;5,$Q25&lt;20.1),$N$35,IF(AND($Q25&gt;20,$Q25&lt;50.1),$N$36,IF($Q25&gt;50,$N$37))))+('Incremental Rev Req'!F87*$L$25+'Incremental Rev Req'!F87*$M$25)</f>
        <v>1382.5974380995697</v>
      </c>
      <c r="H38" s="159">
        <f>((E24*N25)+(E25*O25))+IF($Q25&lt;5.1,$N$34,IF(AND($Q25&gt;5,$Q25&lt;20.1),$N$35,IF(AND($Q25&gt;20,$Q25&lt;50.1),$N$36,IF($Q25&gt;50,$N$37))))+('Incremental Rev Req'!F87*$N$25+'Incremental Rev Req'!F87*$O$25)</f>
        <v>887.43986383228446</v>
      </c>
      <c r="I38" s="159">
        <f>((F22*L25)+(F23*M25))+IF($Q25&lt;5.1,$N$34,IF(AND($Q25&gt;5,$Q25&lt;20.1),$N$35,IF(AND($Q25&gt;20,$Q25&lt;50.1),$N$36,IF($Q25&gt;50,$N$37))))+('Incremental Rev Req'!F87*$L$25+'Incremental Rev Req'!F87*$M$25)</f>
        <v>1558.0687240473396</v>
      </c>
      <c r="J38" s="159">
        <f>((F24*N25)+(F25*O25))+IF($Q25&lt;5.1,$N$34,IF(AND($Q25&gt;5,$Q25&lt;20.1),$N$35,IF(AND($Q25&gt;20,$Q25&lt;50.1),$N$36,IF($Q25&gt;50,$N$37))))+('Incremental Rev Req'!F87*$N$25+'Incremental Rev Req'!F87*$O$25)</f>
        <v>999.11319260601158</v>
      </c>
      <c r="L38" s="10"/>
      <c r="M38" s="10"/>
      <c r="N38" s="10"/>
      <c r="Q38" s="341"/>
      <c r="R38" s="342"/>
      <c r="S38" s="345"/>
      <c r="T38" s="346"/>
      <c r="U38" s="347"/>
      <c r="V38" s="346"/>
    </row>
    <row r="39" spans="2:22" s="10" customFormat="1">
      <c r="B39" s="6" t="s">
        <v>112</v>
      </c>
      <c r="C39" s="157">
        <f t="shared" ref="C39:D39" si="0">SUMPRODUCT(C36:C38,$P$23:$P$25)</f>
        <v>676.68053687601673</v>
      </c>
      <c r="D39" s="157">
        <f t="shared" si="0"/>
        <v>467.61555637074298</v>
      </c>
      <c r="E39" s="157">
        <f t="shared" ref="E39:J39" si="1">SUMPRODUCT(E36:E38,$P$23:$P$25)</f>
        <v>680.95295722807077</v>
      </c>
      <c r="F39" s="157">
        <f t="shared" si="1"/>
        <v>467.77013047927369</v>
      </c>
      <c r="G39" s="157">
        <f t="shared" si="1"/>
        <v>684.92447800815125</v>
      </c>
      <c r="H39" s="157">
        <f t="shared" si="1"/>
        <v>470.4681030119454</v>
      </c>
      <c r="I39" s="157">
        <f t="shared" si="1"/>
        <v>771.11086779563516</v>
      </c>
      <c r="J39" s="157">
        <f t="shared" si="1"/>
        <v>529.01708845425628</v>
      </c>
      <c r="L39" s="6"/>
      <c r="M39" s="6"/>
      <c r="N39" s="6"/>
      <c r="O39" s="6"/>
      <c r="P39" s="349"/>
      <c r="Q39" s="341"/>
      <c r="S39" s="349"/>
      <c r="T39" s="346"/>
      <c r="U39" s="346"/>
      <c r="V39" s="346"/>
    </row>
    <row r="40" spans="2:22">
      <c r="P40" s="345"/>
      <c r="Q40" s="341"/>
      <c r="S40" s="345"/>
      <c r="T40" s="350"/>
      <c r="U40" s="350"/>
      <c r="V40" s="350"/>
    </row>
  </sheetData>
  <mergeCells count="12">
    <mergeCell ref="C32:J32"/>
    <mergeCell ref="C34:D34"/>
    <mergeCell ref="E34:F34"/>
    <mergeCell ref="G34:H34"/>
    <mergeCell ref="I34:J34"/>
    <mergeCell ref="B2:D2"/>
    <mergeCell ref="E3:K3"/>
    <mergeCell ref="U20:V20"/>
    <mergeCell ref="L21:M21"/>
    <mergeCell ref="N21:O21"/>
    <mergeCell ref="S21:T21"/>
    <mergeCell ref="U21:V2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5DC67-FE27-45CE-929F-9CCB6CAE3578}">
  <sheetPr codeName="Sheet8">
    <tabColor rgb="FF92D050"/>
  </sheetPr>
  <dimension ref="B1:S103"/>
  <sheetViews>
    <sheetView zoomScale="85" zoomScaleNormal="85" workbookViewId="0"/>
  </sheetViews>
  <sheetFormatPr defaultColWidth="8.85546875" defaultRowHeight="15"/>
  <cols>
    <col min="1" max="1" width="5.5703125" style="6" customWidth="1"/>
    <col min="2" max="2" width="16.5703125" style="6" customWidth="1"/>
    <col min="3" max="3" width="18.140625" style="6" customWidth="1"/>
    <col min="4" max="9" width="16.85546875" style="6" customWidth="1"/>
    <col min="10" max="10" width="23.5703125" style="6" customWidth="1"/>
    <col min="11" max="12" width="15.5703125" style="6" customWidth="1"/>
    <col min="13" max="16" width="13.42578125" style="6" customWidth="1"/>
    <col min="17" max="17" width="15.42578125" style="6" bestFit="1" customWidth="1"/>
    <col min="18" max="18" width="15.85546875" style="6" customWidth="1"/>
    <col min="19" max="23" width="15.5703125" style="6" customWidth="1"/>
    <col min="24" max="16384" width="8.85546875" style="6"/>
  </cols>
  <sheetData>
    <row r="1" spans="2:18">
      <c r="B1" s="405" t="s">
        <v>121</v>
      </c>
      <c r="F1" s="40" t="s">
        <v>122</v>
      </c>
      <c r="G1" s="41"/>
      <c r="H1" s="41"/>
      <c r="L1" s="40" t="s">
        <v>427</v>
      </c>
      <c r="N1" s="40"/>
      <c r="O1" s="41"/>
      <c r="P1" s="41"/>
    </row>
    <row r="2" spans="2:18">
      <c r="B2" s="41"/>
      <c r="C2" s="42"/>
      <c r="D2" s="41"/>
      <c r="E2" s="41"/>
      <c r="F2" s="41" t="s">
        <v>123</v>
      </c>
      <c r="G2" s="43"/>
      <c r="H2" s="46" t="str">
        <f>Summary!I2</f>
        <v>8/1/2026</v>
      </c>
      <c r="L2" s="6" t="s">
        <v>510</v>
      </c>
    </row>
    <row r="3" spans="2:18">
      <c r="B3" s="44"/>
      <c r="C3" s="45" t="s">
        <v>124</v>
      </c>
      <c r="D3" s="272" t="s">
        <v>125</v>
      </c>
      <c r="F3" s="41" t="s">
        <v>126</v>
      </c>
      <c r="G3" s="43"/>
      <c r="H3" s="46">
        <f>Summary!I3</f>
        <v>2027</v>
      </c>
      <c r="L3" s="6" t="s">
        <v>429</v>
      </c>
    </row>
    <row r="4" spans="2:18">
      <c r="F4" s="44" t="s">
        <v>130</v>
      </c>
      <c r="H4" s="52">
        <f>Summary!I4</f>
        <v>5</v>
      </c>
      <c r="I4" s="44" t="s">
        <v>131</v>
      </c>
      <c r="L4" s="6" t="s">
        <v>424</v>
      </c>
    </row>
    <row r="5" spans="2:18">
      <c r="D5" s="47" t="s">
        <v>157</v>
      </c>
      <c r="F5" s="44" t="s">
        <v>132</v>
      </c>
      <c r="H5" s="52">
        <f>Summary!I5</f>
        <v>7</v>
      </c>
      <c r="I5" s="44" t="s">
        <v>131</v>
      </c>
      <c r="L5" s="402"/>
      <c r="M5" s="822" t="s">
        <v>425</v>
      </c>
      <c r="N5" s="823"/>
      <c r="O5" s="822" t="s">
        <v>426</v>
      </c>
      <c r="P5" s="823"/>
    </row>
    <row r="6" spans="2:18">
      <c r="C6" s="184" t="s">
        <v>3</v>
      </c>
      <c r="D6" s="273"/>
      <c r="F6" s="44" t="s">
        <v>428</v>
      </c>
      <c r="H6" s="377">
        <f>IF($H$8="N",0,'SDG&amp;E INPUTS'!R14)</f>
        <v>-49.36479961202253</v>
      </c>
      <c r="I6" s="44" t="s">
        <v>184</v>
      </c>
      <c r="L6" s="403" t="s">
        <v>127</v>
      </c>
      <c r="M6" s="403" t="s">
        <v>192</v>
      </c>
      <c r="N6" s="403" t="s">
        <v>193</v>
      </c>
      <c r="O6" s="403" t="s">
        <v>192</v>
      </c>
      <c r="P6" s="403" t="s">
        <v>193</v>
      </c>
    </row>
    <row r="7" spans="2:18">
      <c r="C7" s="185" t="s">
        <v>372</v>
      </c>
      <c r="D7" s="273"/>
      <c r="F7" s="47"/>
      <c r="H7" s="377">
        <f>IF($H$8="N",0,IF($H$3=2026,'SDG&amp;E INPUTS'!R14,'SDG&amp;E INPUTS'!R19))</f>
        <v>-45.431098379094358</v>
      </c>
      <c r="I7" s="44" t="s">
        <v>174</v>
      </c>
      <c r="L7" s="52" t="s">
        <v>149</v>
      </c>
      <c r="M7" s="164">
        <f>IF($D$3="ALL",SUMPRODUCT('Hypothetical Res Bill Impact'!Q22:Q25,'Hypothetical Res Bill Impact'!U22:U25),VLOOKUP($D$3,'Hypothetical Res Bill Impact'!$P$22:$V$25,2,FALSE))</f>
        <v>334.36541599999998</v>
      </c>
      <c r="N7" s="165">
        <f>IF($D$3="ALL",SUMPRODUCT('Hypothetical Res Bill Impact'!R22:R25,'Hypothetical Res Bill Impact'!U22:U25),VLOOKUP(D$3,'Hypothetical Res Bill Impact'!$P$22:$V$25,3,FALSE))</f>
        <v>309.27334100000002</v>
      </c>
      <c r="O7" s="164">
        <f>IF($D$3="ALL",SUMPRODUCT('Hypothetical Res Bill Impact'!Q31:Q34,'Hypothetical Res Bill Impact'!U31:U34),VLOOKUP($D$3,'Hypothetical Res Bill Impact'!$P$31:$V$34,2,FALSE))</f>
        <v>283.425005</v>
      </c>
      <c r="P7" s="165">
        <f>IF($D$3="ALL",SUMPRODUCT('Hypothetical Res Bill Impact'!R31:R34,'Hypothetical Res Bill Impact'!U31:U34),VLOOKUP(D$3,'Hypothetical Res Bill Impact'!$P$31:$V$34,3,FALSE))</f>
        <v>272.60744599999998</v>
      </c>
    </row>
    <row r="8" spans="2:18">
      <c r="C8" s="185" t="s">
        <v>59</v>
      </c>
      <c r="D8" s="273"/>
      <c r="F8" s="47"/>
      <c r="G8" s="51" t="s">
        <v>431</v>
      </c>
      <c r="H8" s="327" t="s">
        <v>26</v>
      </c>
      <c r="I8" s="44"/>
      <c r="L8" s="52" t="s">
        <v>150</v>
      </c>
      <c r="M8" s="165">
        <f>IF($D$3="ALL",SUMPRODUCT('Hypothetical Res Bill Impact'!S22:S25,'Hypothetical Res Bill Impact'!V22:V25),VLOOKUP($D$3,'Hypothetical Res Bill Impact'!$P$22:$V$25,4,FALSE))</f>
        <v>329.33632999999998</v>
      </c>
      <c r="N8" s="165">
        <f>IF($D$3="ALL",SUMPRODUCT('Hypothetical Res Bill Impact'!T22:T25,'Hypothetical Res Bill Impact'!V22:V25),VLOOKUP($D$3,'Hypothetical Res Bill Impact'!$P$22:$V$25,5,FALSE))</f>
        <v>300.562815</v>
      </c>
      <c r="O8" s="165">
        <f>IF($D$3="ALL",SUMPRODUCT('Hypothetical Res Bill Impact'!S31:S34,'Hypothetical Res Bill Impact'!V31:V34),VLOOKUP($D$3,'Hypothetical Res Bill Impact'!$P$31:$V$34,4,FALSE))</f>
        <v>293.30439200000001</v>
      </c>
      <c r="P8" s="165">
        <f>IF($D$3="ALL",SUMPRODUCT('Hypothetical Res Bill Impact'!T31:T34,'Hypothetical Res Bill Impact'!V31:V34),VLOOKUP($D$3,'Hypothetical Res Bill Impact'!$P$31:$V$34,5,FALSE))</f>
        <v>284.82109400000002</v>
      </c>
    </row>
    <row r="9" spans="2:18">
      <c r="C9" s="185" t="s">
        <v>5</v>
      </c>
      <c r="D9" s="273"/>
      <c r="F9" s="47"/>
      <c r="G9" s="51" t="s">
        <v>422</v>
      </c>
      <c r="H9" s="52">
        <v>400</v>
      </c>
      <c r="I9" s="44"/>
    </row>
    <row r="10" spans="2:18">
      <c r="C10" s="185" t="s">
        <v>98</v>
      </c>
      <c r="D10" s="273"/>
      <c r="F10" s="821" t="s">
        <v>423</v>
      </c>
      <c r="G10" s="821"/>
      <c r="J10" s="44"/>
      <c r="L10" s="44"/>
      <c r="Q10" s="44"/>
    </row>
    <row r="11" spans="2:18">
      <c r="C11" s="185" t="s">
        <v>14</v>
      </c>
      <c r="D11" s="273"/>
      <c r="F11" s="821"/>
      <c r="G11" s="821"/>
    </row>
    <row r="12" spans="2:18">
      <c r="C12" s="185" t="s">
        <v>80</v>
      </c>
      <c r="D12" s="273"/>
      <c r="E12" s="47"/>
      <c r="F12" s="821"/>
      <c r="G12" s="821"/>
      <c r="M12" s="44"/>
    </row>
    <row r="13" spans="2:18">
      <c r="C13" s="186" t="s">
        <v>99</v>
      </c>
      <c r="D13" s="273"/>
      <c r="E13" s="47"/>
      <c r="J13" s="269"/>
      <c r="L13" s="44"/>
      <c r="M13" s="44"/>
      <c r="R13" s="44"/>
    </row>
    <row r="14" spans="2:18">
      <c r="C14" s="185" t="s">
        <v>97</v>
      </c>
      <c r="D14" s="273"/>
      <c r="E14" s="47"/>
      <c r="L14" s="44"/>
      <c r="M14" s="44"/>
      <c r="R14" s="44"/>
    </row>
    <row r="15" spans="2:18">
      <c r="C15" s="185" t="s">
        <v>251</v>
      </c>
      <c r="D15" s="273"/>
      <c r="E15" s="47"/>
      <c r="L15" s="44"/>
      <c r="M15" s="44"/>
      <c r="R15" s="44"/>
    </row>
    <row r="16" spans="2:18">
      <c r="C16" s="185" t="s">
        <v>10</v>
      </c>
      <c r="D16" s="273"/>
      <c r="E16" s="47"/>
      <c r="L16" s="44"/>
      <c r="M16" s="44"/>
      <c r="R16" s="44"/>
    </row>
    <row r="17" spans="2:19">
      <c r="C17" s="185" t="s">
        <v>87</v>
      </c>
      <c r="D17" s="273"/>
      <c r="E17" s="47"/>
      <c r="F17" s="44"/>
      <c r="K17" s="44"/>
      <c r="L17" s="44"/>
    </row>
    <row r="18" spans="2:19" ht="15.6" customHeight="1">
      <c r="C18" s="185" t="s">
        <v>221</v>
      </c>
      <c r="D18" s="273"/>
      <c r="E18" s="47"/>
      <c r="F18" s="44"/>
      <c r="K18" s="44"/>
      <c r="L18" s="44"/>
    </row>
    <row r="19" spans="2:19">
      <c r="C19" s="185" t="s">
        <v>78</v>
      </c>
      <c r="D19" s="274"/>
      <c r="E19" s="47"/>
      <c r="F19" s="44"/>
      <c r="K19" s="44"/>
      <c r="L19" s="44"/>
    </row>
    <row r="20" spans="2:19">
      <c r="B20"/>
      <c r="C20" s="27" t="s">
        <v>112</v>
      </c>
      <c r="D20" s="187">
        <f>SUM(D6:D19)</f>
        <v>0</v>
      </c>
      <c r="E20" s="47"/>
      <c r="F20" s="44"/>
      <c r="K20" s="44"/>
      <c r="L20" s="44"/>
    </row>
    <row r="21" spans="2:19">
      <c r="B21"/>
      <c r="D21" s="47"/>
      <c r="E21" s="47"/>
      <c r="F21" s="44"/>
      <c r="J21" s="51"/>
      <c r="K21" s="44"/>
      <c r="L21" s="44"/>
    </row>
    <row r="22" spans="2:19">
      <c r="B22" s="42"/>
      <c r="C22" s="188"/>
      <c r="D22" s="188"/>
      <c r="I22" s="44"/>
      <c r="L22" s="44"/>
    </row>
    <row r="23" spans="2:19">
      <c r="B23" s="40" t="s">
        <v>133</v>
      </c>
    </row>
    <row r="24" spans="2:19" ht="15.75" thickBot="1">
      <c r="D24" s="53" t="s">
        <v>134</v>
      </c>
      <c r="E24" s="53" t="s">
        <v>135</v>
      </c>
      <c r="F24" s="53" t="s">
        <v>136</v>
      </c>
      <c r="G24" s="53" t="s">
        <v>215</v>
      </c>
      <c r="H24" s="189" t="s">
        <v>216</v>
      </c>
      <c r="I24" s="53"/>
      <c r="M24" s="53" t="s">
        <v>134</v>
      </c>
      <c r="N24" s="53" t="s">
        <v>135</v>
      </c>
      <c r="O24" s="53" t="s">
        <v>136</v>
      </c>
      <c r="P24" s="53" t="s">
        <v>215</v>
      </c>
      <c r="Q24" s="189" t="s">
        <v>216</v>
      </c>
      <c r="R24" s="53"/>
      <c r="S24" s="53"/>
    </row>
    <row r="25" spans="2:19">
      <c r="B25" s="818" t="s">
        <v>141</v>
      </c>
      <c r="C25" s="819"/>
      <c r="D25" s="819"/>
      <c r="E25" s="819"/>
      <c r="F25" s="819"/>
      <c r="G25" s="819"/>
      <c r="H25" s="820"/>
      <c r="I25" s="767"/>
      <c r="K25" s="818" t="s">
        <v>142</v>
      </c>
      <c r="L25" s="819"/>
      <c r="M25" s="819"/>
      <c r="N25" s="819"/>
      <c r="O25" s="819"/>
      <c r="P25" s="819"/>
      <c r="Q25" s="820"/>
      <c r="R25" s="767"/>
      <c r="S25" s="40"/>
    </row>
    <row r="26" spans="2:19" ht="45">
      <c r="B26" s="811" t="s">
        <v>143</v>
      </c>
      <c r="C26" s="812"/>
      <c r="D26" s="54" t="str">
        <f>Summary!D31</f>
        <v>6/1/2026</v>
      </c>
      <c r="E26" s="54" t="str">
        <f>Summary!E31</f>
        <v>8/1/2026</v>
      </c>
      <c r="F26" s="54" t="s">
        <v>174</v>
      </c>
      <c r="G26" s="54" t="str">
        <f>Summary!H31</f>
        <v>% Change over 6/1/2026</v>
      </c>
      <c r="H26" s="54" t="str">
        <f>Summary!I31</f>
        <v>% Change over 8/1/2026</v>
      </c>
      <c r="I26" s="878"/>
      <c r="J26" s="879"/>
      <c r="K26" s="813" t="s">
        <v>143</v>
      </c>
      <c r="L26" s="814"/>
      <c r="M26" s="205" t="str">
        <f>$D$26</f>
        <v>6/1/2026</v>
      </c>
      <c r="N26" s="205" t="str">
        <f>$E$26</f>
        <v>8/1/2026</v>
      </c>
      <c r="O26" s="55" t="s">
        <v>174</v>
      </c>
      <c r="P26" s="232" t="str">
        <f>G26</f>
        <v>% Change over 6/1/2026</v>
      </c>
      <c r="Q26" s="768" t="str">
        <f>$H$26</f>
        <v>% Change over 8/1/2026</v>
      </c>
      <c r="R26" s="769"/>
      <c r="S26" s="770"/>
    </row>
    <row r="27" spans="2:19">
      <c r="B27" s="815" t="s">
        <v>145</v>
      </c>
      <c r="C27" s="816"/>
      <c r="D27" s="57">
        <f>IF($H$8="Y",'Hypothetical SAR and RAR'!Z31,'Hypothetical SAR and RAR'!AB31)</f>
        <v>42.963999999999999</v>
      </c>
      <c r="E27" s="57">
        <f>IF($H$8="Y",'Hypothetical SAR and RAR'!AA31,'Hypothetical SAR and RAR'!AC31)</f>
        <v>43.132000000000005</v>
      </c>
      <c r="F27" s="57">
        <f>'Hypothetical SAR and RAR'!H29</f>
        <v>43.132000000000005</v>
      </c>
      <c r="G27" s="771">
        <f t="shared" ref="G27:H29" si="0">$F27/D27-1</f>
        <v>3.9102504422308115E-3</v>
      </c>
      <c r="H27" s="772">
        <f t="shared" si="0"/>
        <v>0</v>
      </c>
      <c r="I27" s="773"/>
      <c r="J27" s="439"/>
      <c r="K27" s="815" t="s">
        <v>146</v>
      </c>
      <c r="L27" s="817"/>
      <c r="M27" s="57">
        <f>Summary!N32</f>
        <v>46.386135913307882</v>
      </c>
      <c r="N27" s="203">
        <f>'Hypothetical SAR and RAR'!Q29</f>
        <v>46.626331046727124</v>
      </c>
      <c r="O27" s="203">
        <f>'Hypothetical SAR and RAR'!R29</f>
        <v>46.626331046727124</v>
      </c>
      <c r="P27" s="58">
        <f>O27/M27-1</f>
        <v>5.178166464828049E-3</v>
      </c>
      <c r="Q27" s="772">
        <f>$O27/N27-1</f>
        <v>0</v>
      </c>
      <c r="R27" s="773"/>
      <c r="S27" s="439"/>
    </row>
    <row r="28" spans="2:19">
      <c r="B28" s="247"/>
      <c r="C28" s="248" t="s">
        <v>407</v>
      </c>
      <c r="D28" s="366">
        <f>IF($H$8="Y",'Hypoth. SAR and RAR (TOU-A)'!W30,'Hypoth. SAR and RAR (TOU-A)'!Y30)</f>
        <v>39.82</v>
      </c>
      <c r="E28" s="366">
        <f>IF($H$8="Y",'Hypoth. SAR and RAR (TOU-A)'!X30,'Hypoth. SAR and RAR (TOU-A)'!Z30)</f>
        <v>39.977999999999994</v>
      </c>
      <c r="F28" s="366">
        <f>'Hypoth. SAR and RAR (TOU-A)'!H29</f>
        <v>39.977999999999994</v>
      </c>
      <c r="G28" s="771">
        <f t="shared" si="0"/>
        <v>3.9678553490707369E-3</v>
      </c>
      <c r="H28" s="772">
        <f t="shared" si="0"/>
        <v>0</v>
      </c>
      <c r="I28" s="773"/>
      <c r="J28" s="439"/>
      <c r="K28" s="247"/>
      <c r="L28" s="248" t="s">
        <v>407</v>
      </c>
      <c r="M28" s="366">
        <f>Summary!N33</f>
        <v>42.130363432895322</v>
      </c>
      <c r="N28" s="367">
        <f>'Hypoth. SAR and RAR (TOU-A)'!Q29</f>
        <v>42.231384788503121</v>
      </c>
      <c r="O28" s="367">
        <f>'Hypoth. SAR and RAR (TOU-A)'!R29</f>
        <v>42.231384788503121</v>
      </c>
      <c r="P28" s="58">
        <f>O28/M28-1</f>
        <v>2.3978277749421295E-3</v>
      </c>
      <c r="Q28" s="772">
        <f>$O28/N28-1</f>
        <v>0</v>
      </c>
      <c r="R28" s="773"/>
      <c r="S28" s="439"/>
    </row>
    <row r="29" spans="2:19" ht="15.75" thickBot="1">
      <c r="B29" s="798" t="s">
        <v>147</v>
      </c>
      <c r="C29" s="806"/>
      <c r="D29" s="60">
        <f>IF($H$8="Y",'Hypothetical SAR and RAR'!Z32,'Hypothetical SAR and RAR'!AB32)</f>
        <v>38.957000000000001</v>
      </c>
      <c r="E29" s="60">
        <f>IF($H$8="Y",'Hypothetical SAR and RAR'!AA32,'Hypothetical SAR and RAR'!AC32)</f>
        <v>39.259</v>
      </c>
      <c r="F29" s="60">
        <f>'Hypothetical SAR and RAR'!H30</f>
        <v>39.259</v>
      </c>
      <c r="G29" s="258">
        <f t="shared" si="0"/>
        <v>7.7521369715327637E-3</v>
      </c>
      <c r="H29" s="774">
        <f t="shared" si="0"/>
        <v>0</v>
      </c>
      <c r="I29" s="773"/>
      <c r="J29" s="439"/>
      <c r="K29" s="798" t="s">
        <v>148</v>
      </c>
      <c r="L29" s="799"/>
      <c r="M29" s="60">
        <f>Summary!N34</f>
        <v>41.44839405500101</v>
      </c>
      <c r="N29" s="204">
        <f>'Hypothetical SAR and RAR'!Q30</f>
        <v>41.591672408872029</v>
      </c>
      <c r="O29" s="204">
        <f>'Hypothetical SAR and RAR'!R30</f>
        <v>41.591672408872029</v>
      </c>
      <c r="P29" s="61">
        <f>O29/M29-1</f>
        <v>3.4567890297725334E-3</v>
      </c>
      <c r="Q29" s="775">
        <f>$O29/N29-1</f>
        <v>0</v>
      </c>
      <c r="R29" s="773"/>
      <c r="S29" s="439"/>
    </row>
    <row r="30" spans="2:19">
      <c r="E30" s="63"/>
      <c r="F30" s="63"/>
      <c r="G30" s="63"/>
      <c r="N30" s="63"/>
      <c r="O30" s="63"/>
      <c r="P30" s="63"/>
    </row>
    <row r="31" spans="2:19" ht="15.75" thickBot="1">
      <c r="E31" s="63"/>
      <c r="F31" s="63"/>
      <c r="G31" s="63"/>
      <c r="N31" s="63"/>
      <c r="O31" s="63"/>
      <c r="P31" s="63"/>
    </row>
    <row r="32" spans="2:19">
      <c r="B32" s="803" t="s">
        <v>279</v>
      </c>
      <c r="C32" s="804"/>
      <c r="D32" s="804"/>
      <c r="E32" s="804"/>
      <c r="F32" s="804"/>
      <c r="G32" s="804"/>
      <c r="H32" s="805"/>
      <c r="I32" s="776"/>
      <c r="K32" s="803" t="s">
        <v>282</v>
      </c>
      <c r="L32" s="804"/>
      <c r="M32" s="804"/>
      <c r="N32" s="804"/>
      <c r="O32" s="804"/>
      <c r="P32" s="804"/>
      <c r="Q32" s="805"/>
    </row>
    <row r="33" spans="2:19" ht="45">
      <c r="B33" s="64"/>
      <c r="C33" s="65"/>
      <c r="D33" s="54" t="str">
        <f>$D$26</f>
        <v>6/1/2026</v>
      </c>
      <c r="E33" s="54" t="str">
        <f>$E$26</f>
        <v>8/1/2026</v>
      </c>
      <c r="F33" s="54" t="str">
        <f>$F$26</f>
        <v>Proposed</v>
      </c>
      <c r="G33" s="232" t="str">
        <f>$G$26</f>
        <v>% Change over 6/1/2026</v>
      </c>
      <c r="H33" s="768" t="str">
        <f>$H$26</f>
        <v>% Change over 8/1/2026</v>
      </c>
      <c r="I33" s="769"/>
      <c r="K33" s="64"/>
      <c r="L33" s="65"/>
      <c r="M33" s="54" t="str">
        <f>$D$26</f>
        <v>6/1/2026</v>
      </c>
      <c r="N33" s="54" t="str">
        <f>$E$26</f>
        <v>8/1/2026</v>
      </c>
      <c r="O33" s="54" t="str">
        <f>$F$26</f>
        <v>Proposed</v>
      </c>
      <c r="P33" s="232" t="str">
        <f>$G$26</f>
        <v>% Change over 6/1/2026</v>
      </c>
      <c r="Q33" s="253" t="str">
        <f>$H$26</f>
        <v>% Change over 8/1/2026</v>
      </c>
    </row>
    <row r="34" spans="2:19">
      <c r="B34" s="796" t="s">
        <v>149</v>
      </c>
      <c r="C34" s="807"/>
      <c r="D34" s="160">
        <f>((D40*5)+(D46*7)+(H6*2))/12</f>
        <v>147.46411596036816</v>
      </c>
      <c r="E34" s="160">
        <f>((E40*5)+(E46*7)+(H6*2))/12</f>
        <v>147.93899672837279</v>
      </c>
      <c r="F34" s="161">
        <f>((F40*5)+(F46*7)+(H7*2))/12</f>
        <v>148.59461360052748</v>
      </c>
      <c r="G34" s="254">
        <f t="shared" ref="G34:H36" si="1">$F34/D34-1</f>
        <v>7.666255839916758E-3</v>
      </c>
      <c r="H34" s="777">
        <f t="shared" si="1"/>
        <v>4.4316703955917802E-3</v>
      </c>
      <c r="I34" s="773"/>
      <c r="J34" s="439"/>
      <c r="K34" s="796" t="s">
        <v>149</v>
      </c>
      <c r="L34" s="807"/>
      <c r="M34" s="160">
        <f>((M40*5)+(M46*7)+(H6*2))/12</f>
        <v>132.03739220937564</v>
      </c>
      <c r="N34" s="160">
        <f>((N40*5)+(N46*7)+(H6*2))/12</f>
        <v>132.45674606311854</v>
      </c>
      <c r="O34" s="161">
        <f>((O40*5)+(O46*7)+(H7*2))/12</f>
        <v>133.11236293527324</v>
      </c>
      <c r="P34" s="254">
        <f t="shared" ref="P34:Q36" si="2">$O34/M34-1</f>
        <v>8.14141136772073E-3</v>
      </c>
      <c r="Q34" s="255">
        <f t="shared" si="2"/>
        <v>4.9496676586202604E-3</v>
      </c>
      <c r="R34" s="773"/>
      <c r="S34" s="439"/>
    </row>
    <row r="35" spans="2:19">
      <c r="B35" s="796" t="s">
        <v>150</v>
      </c>
      <c r="C35" s="807"/>
      <c r="D35" s="160">
        <f>((D41*5)+(D47*7)+(H6*2))/12</f>
        <v>78.643595345671244</v>
      </c>
      <c r="E35" s="160">
        <f>((E41*5)+(E47*7)+(H6*2))/12</f>
        <v>78.946770571867077</v>
      </c>
      <c r="F35" s="161">
        <f>((F41*5)+(F47*7)+(H7*2))/12</f>
        <v>79.602387444021772</v>
      </c>
      <c r="G35" s="254">
        <f t="shared" si="1"/>
        <v>1.2191610698064403E-2</v>
      </c>
      <c r="H35" s="778">
        <f t="shared" si="1"/>
        <v>8.3045432689088372E-3</v>
      </c>
      <c r="I35" s="773"/>
      <c r="J35" s="439"/>
      <c r="K35" s="796" t="s">
        <v>150</v>
      </c>
      <c r="L35" s="807"/>
      <c r="M35" s="160">
        <f>((M41*5)+(M47*7)+(H6*2))/12</f>
        <v>74.060135356492921</v>
      </c>
      <c r="N35" s="160">
        <f>((N41*5)+(N47*7)+(H6*2))/12</f>
        <v>74.345670923147907</v>
      </c>
      <c r="O35" s="161">
        <f>((O41*5)+(O47*7)+(H7*2))/12</f>
        <v>75.001287795302602</v>
      </c>
      <c r="P35" s="254">
        <f t="shared" si="2"/>
        <v>1.2707949212884762E-2</v>
      </c>
      <c r="Q35" s="252">
        <f t="shared" si="2"/>
        <v>8.8184942581581716E-3</v>
      </c>
      <c r="R35" s="773"/>
      <c r="S35" s="439"/>
    </row>
    <row r="36" spans="2:19" ht="15.75" thickBot="1">
      <c r="B36" s="798" t="s">
        <v>112</v>
      </c>
      <c r="C36" s="806"/>
      <c r="D36" s="162">
        <f>((D42*5)+(D48*7)+(H6*2))/12</f>
        <v>134.02796025903692</v>
      </c>
      <c r="E36" s="162">
        <f>((E42*5)+(E48*7)+(H6*2))/12</f>
        <v>134.46931814209506</v>
      </c>
      <c r="F36" s="163">
        <f>((F42*5)+(F48*7)+(H7*2))/12</f>
        <v>135.12493501424976</v>
      </c>
      <c r="G36" s="256">
        <f t="shared" si="1"/>
        <v>8.1846709678541352E-3</v>
      </c>
      <c r="H36" s="779">
        <f t="shared" si="1"/>
        <v>4.8755870946106672E-3</v>
      </c>
      <c r="I36" s="773"/>
      <c r="J36" s="439"/>
      <c r="K36" s="798" t="s">
        <v>112</v>
      </c>
      <c r="L36" s="806"/>
      <c r="M36" s="162">
        <f>((M42*5)+(M48*7)+(H6*2))/12</f>
        <v>120.71821817155167</v>
      </c>
      <c r="N36" s="162">
        <f>((N42*5)+(N48*7)+(H6*2))/12</f>
        <v>121.1114460482613</v>
      </c>
      <c r="O36" s="163">
        <f>((O42*5)+(O48*7)+(H7*2))/12</f>
        <v>121.767062920416</v>
      </c>
      <c r="P36" s="256">
        <f t="shared" si="2"/>
        <v>8.6883716869794458E-3</v>
      </c>
      <c r="Q36" s="257">
        <f t="shared" si="2"/>
        <v>5.4133353497689551E-3</v>
      </c>
      <c r="R36" s="773"/>
      <c r="S36" s="439"/>
    </row>
    <row r="37" spans="2:19" ht="15.75" thickBot="1">
      <c r="D37" s="780"/>
      <c r="E37" s="780"/>
      <c r="F37" s="780"/>
      <c r="G37" s="780"/>
      <c r="I37" s="781"/>
    </row>
    <row r="38" spans="2:19">
      <c r="B38" s="803" t="s">
        <v>280</v>
      </c>
      <c r="C38" s="804"/>
      <c r="D38" s="804"/>
      <c r="E38" s="804"/>
      <c r="F38" s="804"/>
      <c r="G38" s="804"/>
      <c r="H38" s="805"/>
      <c r="I38" s="776"/>
      <c r="K38" s="803" t="s">
        <v>283</v>
      </c>
      <c r="L38" s="804"/>
      <c r="M38" s="804"/>
      <c r="N38" s="804"/>
      <c r="O38" s="804"/>
      <c r="P38" s="804"/>
      <c r="Q38" s="805"/>
    </row>
    <row r="39" spans="2:19" ht="45">
      <c r="B39" s="64"/>
      <c r="C39" s="65"/>
      <c r="D39" s="54" t="str">
        <f>D33</f>
        <v>6/1/2026</v>
      </c>
      <c r="E39" s="54" t="str">
        <f>E26</f>
        <v>8/1/2026</v>
      </c>
      <c r="F39" s="54" t="str">
        <f>F26</f>
        <v>Proposed</v>
      </c>
      <c r="G39" s="232" t="str">
        <f>G26</f>
        <v>% Change over 6/1/2026</v>
      </c>
      <c r="H39" s="768" t="str">
        <f>$H$26</f>
        <v>% Change over 8/1/2026</v>
      </c>
      <c r="I39" s="769"/>
      <c r="K39" s="64"/>
      <c r="L39" s="65"/>
      <c r="M39" s="54" t="str">
        <f>M33</f>
        <v>6/1/2026</v>
      </c>
      <c r="N39" s="54" t="str">
        <f>N26</f>
        <v>8/1/2026</v>
      </c>
      <c r="O39" s="54" t="str">
        <f>O26</f>
        <v>Proposed</v>
      </c>
      <c r="P39" s="232" t="str">
        <f>P26</f>
        <v>% Change over 6/1/2026</v>
      </c>
      <c r="Q39" s="253" t="str">
        <f>$H$26</f>
        <v>% Change over 8/1/2026</v>
      </c>
    </row>
    <row r="40" spans="2:19">
      <c r="B40" s="796" t="s">
        <v>149</v>
      </c>
      <c r="C40" s="807"/>
      <c r="D40" s="160">
        <f>IF($D$3="All",'Hypothetical Res Bill Impact'!$C$47,(VLOOKUP($D$3,'Hypothetical Res Bill Impact'!$B$43:$J$46,2,FALSE)))</f>
        <v>161.72939648301403</v>
      </c>
      <c r="E40" s="160">
        <f>IF($D$3="All",'Hypothetical Res Bill Impact'!$E$47,(VLOOKUP($D$3,'Hypothetical Res Bill Impact'!$B$43:$J$46,4,FALSE)))</f>
        <v>162.22601711266563</v>
      </c>
      <c r="F40" s="161">
        <f>IF($D$3="All",'Hypothetical Res Bill Impact'!$G$47,(VLOOKUP($D$3,'Hypothetical Res Bill Impact'!$B$43:$J$46,6,FALSE)))</f>
        <v>162.22601711266563</v>
      </c>
      <c r="G40" s="254">
        <f t="shared" ref="G40:H42" si="3">$F40/D40-1</f>
        <v>3.0706886963729474E-3</v>
      </c>
      <c r="H40" s="778">
        <f t="shared" si="3"/>
        <v>0</v>
      </c>
      <c r="I40" s="773"/>
      <c r="J40" s="439"/>
      <c r="K40" s="796" t="s">
        <v>149</v>
      </c>
      <c r="L40" s="807"/>
      <c r="M40" s="160">
        <f>IF($D$3="All",'Hypothetical Res Bill Impact'!$L$47,(VLOOKUP($D$3,'Hypothetical Res Bill Impact'!$K$43:$Q$46,2,FALSE)))</f>
        <v>145.87993088525391</v>
      </c>
      <c r="N40" s="160">
        <f>IF($D$3="All",'Hypothetical Res Bill Impact'!$N$47,(VLOOKUP($D$3,'Hypothetical Res Bill Impact'!$K$43:$Q$46,4,FALSE)))</f>
        <v>146.31952882425472</v>
      </c>
      <c r="O40" s="161">
        <f>IF($D$3="All",'Hypothetical Res Bill Impact'!$P$47,(VLOOKUP($D$3,'Hypothetical Res Bill Impact'!$K$43:$Q$46,6,FALSE)))</f>
        <v>146.31952882425472</v>
      </c>
      <c r="P40" s="254">
        <f t="shared" ref="P40:Q42" si="4">$O40/M40-1</f>
        <v>3.0134230002245577E-3</v>
      </c>
      <c r="Q40" s="255">
        <f t="shared" si="4"/>
        <v>0</v>
      </c>
      <c r="R40" s="773"/>
      <c r="S40" s="439"/>
    </row>
    <row r="41" spans="2:19">
      <c r="B41" s="796" t="s">
        <v>150</v>
      </c>
      <c r="C41" s="807"/>
      <c r="D41" s="160">
        <f>IF($D$3="All",'Hypothetical Res Bill Impact'!$C$57,(VLOOKUP($D$3,'Hypothetical Res Bill Impact'!$B$53:$J$56,2,FALSE)))</f>
        <v>91.218596196600004</v>
      </c>
      <c r="E41" s="160">
        <f>IF($D$3="All",'Hypothetical Res Bill Impact'!$E$57,(VLOOKUP($D$3,'Hypothetical Res Bill Impact'!$B$53:$J$56,4,FALSE)))</f>
        <v>91.538052436699999</v>
      </c>
      <c r="F41" s="161">
        <f>IF($D$3="All",'Hypothetical Res Bill Impact'!$G$57,(VLOOKUP($D$3,'Hypothetical Res Bill Impact'!$B$53:$J$56,6,FALSE)))</f>
        <v>91.538052436699999</v>
      </c>
      <c r="G41" s="254">
        <f t="shared" si="3"/>
        <v>3.5020955530984388E-3</v>
      </c>
      <c r="H41" s="778">
        <f t="shared" si="3"/>
        <v>0</v>
      </c>
      <c r="I41" s="773"/>
      <c r="J41" s="439"/>
      <c r="K41" s="796" t="s">
        <v>150</v>
      </c>
      <c r="L41" s="807"/>
      <c r="M41" s="160">
        <f>IF($D$3="All",'Hypothetical Res Bill Impact'!$L$57,(VLOOKUP($D$3,'Hypothetical Res Bill Impact'!$K$53:$Q$56,2,FALSE)))</f>
        <v>85.926681025360011</v>
      </c>
      <c r="N41" s="160">
        <f>IF($D$3="All",'Hypothetical Res Bill Impact'!$N$57,(VLOOKUP($D$3,'Hypothetical Res Bill Impact'!$K$53:$Q$56,4,FALSE)))</f>
        <v>86.225179339679997</v>
      </c>
      <c r="O41" s="161">
        <f>IF($D$3="All",'Hypothetical Res Bill Impact'!$P$57,(VLOOKUP($D$3,'Hypothetical Res Bill Impact'!$K$53:$Q$56,6,FALSE)))</f>
        <v>86.225179339679997</v>
      </c>
      <c r="P41" s="254">
        <f t="shared" si="4"/>
        <v>3.4738722682874368E-3</v>
      </c>
      <c r="Q41" s="252">
        <f t="shared" si="4"/>
        <v>0</v>
      </c>
      <c r="R41" s="773"/>
      <c r="S41" s="439"/>
    </row>
    <row r="42" spans="2:19" ht="15.75" thickBot="1">
      <c r="B42" s="798" t="s">
        <v>112</v>
      </c>
      <c r="C42" s="806"/>
      <c r="D42" s="162">
        <f>D40*(1-'Hypothetical SAR and RAR'!$AA$17)+D41*'Hypothetical SAR and RAR'!$AA$17</f>
        <v>147.96323948780801</v>
      </c>
      <c r="E42" s="162">
        <f>E40*(1-'Hypothetical SAR and RAR'!$AA$17)+E41*'Hypothetical SAR and RAR'!$AA$17</f>
        <v>148.42527147585264</v>
      </c>
      <c r="F42" s="162">
        <f>F40*(1-'Hypothetical SAR and RAR'!$AA$17)+F41*'Hypothetical SAR and RAR'!$AA$17</f>
        <v>148.42527147585264</v>
      </c>
      <c r="G42" s="258">
        <f t="shared" si="3"/>
        <v>3.1226133575068538E-3</v>
      </c>
      <c r="H42" s="779">
        <f t="shared" si="3"/>
        <v>0</v>
      </c>
      <c r="I42" s="773"/>
      <c r="J42" s="439"/>
      <c r="K42" s="798" t="s">
        <v>112</v>
      </c>
      <c r="L42" s="806"/>
      <c r="M42" s="162">
        <f>M40*(1-'Hypothetical SAR and RAR'!$AA$17)+M41*'Hypothetical SAR and RAR'!$AA$17</f>
        <v>134.17497438792799</v>
      </c>
      <c r="N42" s="162">
        <f>N40*(1-'Hypothetical SAR and RAR'!$AA$17)+N41*'Hypothetical SAR and RAR'!$AA$17</f>
        <v>134.58702477992279</v>
      </c>
      <c r="O42" s="162">
        <f>O40*(1-'Hypothetical SAR and RAR'!$AA$17)+O41*'Hypothetical SAR and RAR'!$AA$17</f>
        <v>134.58702477992279</v>
      </c>
      <c r="P42" s="258">
        <f t="shared" si="4"/>
        <v>3.0709928872687531E-3</v>
      </c>
      <c r="Q42" s="257">
        <f t="shared" si="4"/>
        <v>0</v>
      </c>
      <c r="R42" s="773"/>
      <c r="S42" s="439"/>
    </row>
    <row r="43" spans="2:19" ht="15.75" thickBot="1">
      <c r="I43" s="781"/>
    </row>
    <row r="44" spans="2:19">
      <c r="B44" s="803" t="s">
        <v>281</v>
      </c>
      <c r="C44" s="804"/>
      <c r="D44" s="804"/>
      <c r="E44" s="804"/>
      <c r="F44" s="804"/>
      <c r="G44" s="804"/>
      <c r="H44" s="805"/>
      <c r="I44" s="776"/>
      <c r="K44" s="803" t="s">
        <v>288</v>
      </c>
      <c r="L44" s="804"/>
      <c r="M44" s="804"/>
      <c r="N44" s="804"/>
      <c r="O44" s="804"/>
      <c r="P44" s="804"/>
      <c r="Q44" s="805"/>
    </row>
    <row r="45" spans="2:19" ht="45">
      <c r="B45" s="64"/>
      <c r="C45" s="65"/>
      <c r="D45" s="54" t="str">
        <f>$D$26</f>
        <v>6/1/2026</v>
      </c>
      <c r="E45" s="54" t="str">
        <f>$E$26</f>
        <v>8/1/2026</v>
      </c>
      <c r="F45" s="54" t="str">
        <f>F39</f>
        <v>Proposed</v>
      </c>
      <c r="G45" s="232" t="str">
        <f>G26</f>
        <v>% Change over 6/1/2026</v>
      </c>
      <c r="H45" s="768" t="str">
        <f>$H$26</f>
        <v>% Change over 8/1/2026</v>
      </c>
      <c r="I45" s="769"/>
      <c r="K45" s="64"/>
      <c r="L45" s="65"/>
      <c r="M45" s="54" t="str">
        <f>$D$26</f>
        <v>6/1/2026</v>
      </c>
      <c r="N45" s="54" t="str">
        <f>$E$26</f>
        <v>8/1/2026</v>
      </c>
      <c r="O45" s="54" t="str">
        <f>O39</f>
        <v>Proposed</v>
      </c>
      <c r="P45" s="232" t="str">
        <f>P26</f>
        <v>% Change over 6/1/2026</v>
      </c>
      <c r="Q45" s="253" t="str">
        <f>$H$26</f>
        <v>% Change over 8/1/2026</v>
      </c>
    </row>
    <row r="46" spans="2:19">
      <c r="B46" s="796" t="s">
        <v>149</v>
      </c>
      <c r="C46" s="807"/>
      <c r="D46" s="160">
        <f>IF($D$3="All",'Hypothetical Res Bill Impact'!$D$47,(VLOOKUP($D$3,'Hypothetical Res Bill Impact'!$B$43:$J$46,3,FALSE)))</f>
        <v>151.37885833334184</v>
      </c>
      <c r="E46" s="160">
        <f>IF($D$3="All",'Hypothetical Res Bill Impact'!$F$47,(VLOOKUP($D$3,'Hypothetical Res Bill Impact'!$B$43:$J$46,5,FALSE)))</f>
        <v>151.83821062874151</v>
      </c>
      <c r="F46" s="161">
        <f>IF($D$3="All",'Hypothetical Res Bill Impact'!$H$47,(VLOOKUP($D$3,'Hypothetical Res Bill Impact'!$B$43:$J$46,7,FALSE)))</f>
        <v>151.83821062874151</v>
      </c>
      <c r="G46" s="254">
        <f t="shared" ref="G46:H48" si="5">$F46/D46-1</f>
        <v>3.0344547478893258E-3</v>
      </c>
      <c r="H46" s="778">
        <f t="shared" si="5"/>
        <v>0</v>
      </c>
      <c r="I46" s="773"/>
      <c r="J46" s="439"/>
      <c r="K46" s="796" t="s">
        <v>149</v>
      </c>
      <c r="L46" s="807"/>
      <c r="M46" s="160">
        <f>IF($D$3="All",'Hypothetical Res Bill Impact'!$M$47,(VLOOKUP($D$3,'Hypothetical Res Bill Impact'!$K$43:$Q$46,3,FALSE)))</f>
        <v>136.2540930443262</v>
      </c>
      <c r="N46" s="160">
        <f>IF($D$3="All",'Hypothetical Res Bill Impact'!$O$47,(VLOOKUP($D$3,'Hypothetical Res Bill Impact'!$K$43:$Q$46,5,FALSE)))</f>
        <v>136.6589868371706</v>
      </c>
      <c r="O46" s="161">
        <f>IF($D$3="All",'Hypothetical Res Bill Impact'!$Q$47,(VLOOKUP($D$3,'Hypothetical Res Bill Impact'!$K$43:$Q$46,7,FALSE)))</f>
        <v>136.6589868371706</v>
      </c>
      <c r="P46" s="254">
        <f t="shared" ref="P46:Q48" si="6">$O46/M46-1</f>
        <v>2.9716082929904797E-3</v>
      </c>
      <c r="Q46" s="255">
        <f t="shared" si="6"/>
        <v>0</v>
      </c>
      <c r="R46" s="773"/>
      <c r="S46" s="439"/>
    </row>
    <row r="47" spans="2:19">
      <c r="B47" s="796" t="s">
        <v>150</v>
      </c>
      <c r="C47" s="807"/>
      <c r="D47" s="160">
        <f>IF($D$3="All",'Hypothetical Res Bill Impact'!$D$57,(VLOOKUP($D$3,'Hypothetical Res Bill Impact'!$B$53:$J$56,3,FALSE)))</f>
        <v>83.765680341300012</v>
      </c>
      <c r="E47" s="160">
        <f>IF($D$3="All",'Hypothetical Res Bill Impact'!$F$57,(VLOOKUP($D$3,'Hypothetical Res Bill Impact'!$B$53:$J$56,5,FALSE)))</f>
        <v>84.057226271849999</v>
      </c>
      <c r="F47" s="161">
        <f>IF($D$3="All",'Hypothetical Res Bill Impact'!$H$57,(VLOOKUP($D$3,'Hypothetical Res Bill Impact'!$B$53:$J$56,7,FALSE)))</f>
        <v>84.057226271849999</v>
      </c>
      <c r="G47" s="254">
        <f t="shared" si="5"/>
        <v>3.4804937936645519E-3</v>
      </c>
      <c r="H47" s="778">
        <f t="shared" si="5"/>
        <v>0</v>
      </c>
      <c r="I47" s="773"/>
      <c r="J47" s="439"/>
      <c r="K47" s="796" t="s">
        <v>150</v>
      </c>
      <c r="L47" s="807"/>
      <c r="M47" s="160">
        <f>IF($D$3="All",'Hypothetical Res Bill Impact'!$M$57,(VLOOKUP($D$3,'Hypothetical Res Bill Impact'!$K$53:$Q$56,3,FALSE)))</f>
        <v>79.688259767879998</v>
      </c>
      <c r="N47" s="160">
        <f>IF($D$3="All",'Hypothetical Res Bill Impact'!$O$57,(VLOOKUP($D$3,'Hypothetical Res Bill Impact'!$K$53:$Q$56,5,FALSE)))</f>
        <v>79.964536229060002</v>
      </c>
      <c r="O47" s="161">
        <f>IF($D$3="All",'Hypothetical Res Bill Impact'!$Q$57,(VLOOKUP($D$3,'Hypothetical Res Bill Impact'!$K$53:$Q$56,7,FALSE)))</f>
        <v>79.964536229060002</v>
      </c>
      <c r="P47" s="254">
        <f t="shared" si="6"/>
        <v>3.4669656732968512E-3</v>
      </c>
      <c r="Q47" s="252">
        <f t="shared" si="6"/>
        <v>0</v>
      </c>
      <c r="R47" s="773"/>
      <c r="S47" s="439"/>
    </row>
    <row r="48" spans="2:19" ht="15.75" thickBot="1">
      <c r="B48" s="798" t="s">
        <v>112</v>
      </c>
      <c r="C48" s="806"/>
      <c r="D48" s="162">
        <f>D46*(1-'Hypothetical SAR and RAR'!$AA$17)+D47*'Hypothetical SAR and RAR'!$AA$17</f>
        <v>138.17841784192117</v>
      </c>
      <c r="E48" s="162">
        <f>E46*(1-'Hypothetical SAR and RAR'!$AA$17)+E47*'Hypothetical SAR and RAR'!$AA$17</f>
        <v>138.6050085071318</v>
      </c>
      <c r="F48" s="162">
        <f>F46*(1-'Hypothetical SAR and RAR'!$AA$17)+F47*'Hypothetical SAR and RAR'!$AA$17</f>
        <v>138.6050085071318</v>
      </c>
      <c r="G48" s="258">
        <f t="shared" si="5"/>
        <v>3.0872452577843656E-3</v>
      </c>
      <c r="H48" s="779">
        <f t="shared" si="5"/>
        <v>0</v>
      </c>
      <c r="I48" s="773"/>
      <c r="J48" s="439"/>
      <c r="K48" s="798" t="s">
        <v>112</v>
      </c>
      <c r="L48" s="806"/>
      <c r="M48" s="162">
        <f>M46*(1-'Hypothetical SAR and RAR'!$AA$17)+M47*'Hypothetical SAR and RAR'!$AA$17</f>
        <v>125.21047790614649</v>
      </c>
      <c r="N48" s="162">
        <f>N46*(1-'Hypothetical SAR and RAR'!$AA$17)+N47*'Hypothetical SAR and RAR'!$AA$17</f>
        <v>125.59026112908097</v>
      </c>
      <c r="O48" s="162">
        <f>O46*(1-'Hypothetical SAR and RAR'!$AA$17)+O47*'Hypothetical SAR and RAR'!$AA$17</f>
        <v>125.59026112908097</v>
      </c>
      <c r="P48" s="258">
        <f t="shared" si="6"/>
        <v>3.0331584807075096E-3</v>
      </c>
      <c r="Q48" s="257">
        <f t="shared" si="6"/>
        <v>0</v>
      </c>
      <c r="R48" s="773"/>
      <c r="S48" s="439"/>
    </row>
    <row r="49" spans="2:19" ht="15.75" thickBot="1"/>
    <row r="50" spans="2:19">
      <c r="B50" s="800" t="s">
        <v>299</v>
      </c>
      <c r="C50" s="801"/>
      <c r="D50" s="801"/>
      <c r="E50" s="801"/>
      <c r="F50" s="801"/>
      <c r="G50" s="801"/>
      <c r="H50" s="802"/>
      <c r="K50" s="800" t="s">
        <v>298</v>
      </c>
      <c r="L50" s="801"/>
      <c r="M50" s="801"/>
      <c r="N50" s="801"/>
      <c r="O50" s="801"/>
      <c r="P50" s="801"/>
      <c r="Q50" s="802"/>
    </row>
    <row r="51" spans="2:19" ht="45">
      <c r="B51" s="64"/>
      <c r="C51" s="231"/>
      <c r="D51" s="54" t="str">
        <f>D45</f>
        <v>6/1/2026</v>
      </c>
      <c r="E51" s="176" t="str">
        <f>E45</f>
        <v>8/1/2026</v>
      </c>
      <c r="F51" s="232" t="str">
        <f>F45</f>
        <v>Proposed</v>
      </c>
      <c r="G51" s="55" t="str">
        <f>$G$26</f>
        <v>% Change over 6/1/2026</v>
      </c>
      <c r="H51" s="56" t="s">
        <v>144</v>
      </c>
      <c r="K51" s="64"/>
      <c r="L51" s="231"/>
      <c r="M51" s="54" t="str">
        <f>M45</f>
        <v>6/1/2026</v>
      </c>
      <c r="N51" s="176" t="str">
        <f>N45</f>
        <v>8/1/2026</v>
      </c>
      <c r="O51" s="232" t="str">
        <f>O45</f>
        <v>Proposed</v>
      </c>
      <c r="P51" s="55" t="str">
        <f>$G$26</f>
        <v>% Change over 6/1/2026</v>
      </c>
      <c r="Q51" s="56" t="s">
        <v>144</v>
      </c>
    </row>
    <row r="52" spans="2:19">
      <c r="B52" s="796" t="s">
        <v>286</v>
      </c>
      <c r="C52" s="797"/>
      <c r="D52" s="160">
        <f>((D58*5)+(D64*7)+(H6*2))/12</f>
        <v>128.39480700242532</v>
      </c>
      <c r="E52" s="160">
        <f>((E58*5)+(E64*7)+(H6*2))/12</f>
        <v>128.80102647283164</v>
      </c>
      <c r="F52" s="160">
        <f>((F58*5)+(F64*7)+(H7*2))/12</f>
        <v>129.45664334498633</v>
      </c>
      <c r="G52" s="66">
        <f t="shared" ref="G52:H54" si="7">$F52/D52-1</f>
        <v>8.2700879213981615E-3</v>
      </c>
      <c r="H52" s="68">
        <f t="shared" si="7"/>
        <v>5.0901525407718307E-3</v>
      </c>
      <c r="I52" s="773"/>
      <c r="J52" s="439"/>
      <c r="K52" s="796" t="s">
        <v>286</v>
      </c>
      <c r="L52" s="797"/>
      <c r="M52" s="160">
        <f>((M58*5)+(M64*7)+(H6*2))/12</f>
        <v>110.21033148848778</v>
      </c>
      <c r="N52" s="160">
        <f>((N58*5)+(N64*7)+(H6*2))/12</f>
        <v>110.55107560854525</v>
      </c>
      <c r="O52" s="160">
        <f>((O58*5)+(O64*7)+(H7*2))/12</f>
        <v>111.20669248069994</v>
      </c>
      <c r="P52" s="254">
        <f t="shared" ref="P52:Q54" si="8">$O52/M52-1</f>
        <v>9.0405407438252094E-3</v>
      </c>
      <c r="Q52" s="255">
        <f t="shared" si="8"/>
        <v>5.930443177922573E-3</v>
      </c>
      <c r="R52" s="773"/>
      <c r="S52" s="439"/>
    </row>
    <row r="53" spans="2:19">
      <c r="B53" s="796" t="s">
        <v>287</v>
      </c>
      <c r="C53" s="797"/>
      <c r="D53" s="160">
        <f>((D59*5)+(D65*7)+(H6*2))/12</f>
        <v>68.528403397996243</v>
      </c>
      <c r="E53" s="160">
        <f>((E59*5)+(E65*7)+(H6*2))/12</f>
        <v>68.793698397996238</v>
      </c>
      <c r="F53" s="160">
        <f>((F59*5)+(F65*7)+(H7*2))/12</f>
        <v>69.449315270150933</v>
      </c>
      <c r="G53" s="66">
        <f t="shared" si="7"/>
        <v>1.3438396730276247E-2</v>
      </c>
      <c r="H53" s="68">
        <f t="shared" si="7"/>
        <v>9.530187901248155E-3</v>
      </c>
      <c r="I53" s="773"/>
      <c r="J53" s="439"/>
      <c r="K53" s="796" t="s">
        <v>287</v>
      </c>
      <c r="L53" s="797"/>
      <c r="M53" s="160">
        <f>((M59*5)+(M65*7)+(H6*2))/12</f>
        <v>57.109938397996252</v>
      </c>
      <c r="N53" s="160">
        <f>((N59*5)+(N65*7)+(H6*2))/12</f>
        <v>57.332472564662915</v>
      </c>
      <c r="O53" s="160">
        <f>((O59*5)+(O65*7)+(H7*2))/12</f>
        <v>57.98808943681761</v>
      </c>
      <c r="P53" s="66">
        <f t="shared" si="8"/>
        <v>1.5376501243996588E-2</v>
      </c>
      <c r="Q53" s="68">
        <f t="shared" si="8"/>
        <v>1.143534968625759E-2</v>
      </c>
      <c r="R53" s="773"/>
      <c r="S53" s="439"/>
    </row>
    <row r="54" spans="2:19" ht="15.75" thickBot="1">
      <c r="B54" s="798" t="s">
        <v>112</v>
      </c>
      <c r="C54" s="799"/>
      <c r="D54" s="162">
        <f>((D60*5)+(D66*7)+(H6*2))/12</f>
        <v>116.70680591026171</v>
      </c>
      <c r="E54" s="162">
        <f>((E60*5)+(E66*7)+(H6*2))/12</f>
        <v>117.08551202985934</v>
      </c>
      <c r="F54" s="163">
        <f>((F60*5)+(F66*7)+(H7*2))/12</f>
        <v>117.74112890201405</v>
      </c>
      <c r="G54" s="69">
        <f t="shared" si="7"/>
        <v>8.8625764683136765E-3</v>
      </c>
      <c r="H54" s="70">
        <f t="shared" si="7"/>
        <v>5.5994705133759481E-3</v>
      </c>
      <c r="I54" s="773"/>
      <c r="J54" s="439"/>
      <c r="K54" s="798" t="s">
        <v>112</v>
      </c>
      <c r="L54" s="799"/>
      <c r="M54" s="162">
        <f>((M60*5)+(M66*7)+(H6*2))/12</f>
        <v>99.843290626356108</v>
      </c>
      <c r="N54" s="162">
        <f>((N60*5)+(N66*7)+(H6*2))/12</f>
        <v>100.16095605818195</v>
      </c>
      <c r="O54" s="162">
        <f>((O60*5)+(O66*7)+(H7*2))/12</f>
        <v>100.81657293033665</v>
      </c>
      <c r="P54" s="69">
        <f t="shared" si="8"/>
        <v>9.7480992250431608E-3</v>
      </c>
      <c r="Q54" s="70">
        <f t="shared" si="8"/>
        <v>6.5456331284803326E-3</v>
      </c>
      <c r="R54" s="773"/>
      <c r="S54" s="439"/>
    </row>
    <row r="55" spans="2:19" ht="15.75" thickBot="1">
      <c r="B55"/>
      <c r="C55"/>
      <c r="D55"/>
      <c r="E55"/>
      <c r="F55"/>
      <c r="G55"/>
      <c r="H55"/>
      <c r="K55"/>
      <c r="L55"/>
      <c r="M55"/>
      <c r="N55"/>
      <c r="O55"/>
      <c r="P55"/>
      <c r="Q55"/>
    </row>
    <row r="56" spans="2:19">
      <c r="B56" s="800" t="s">
        <v>290</v>
      </c>
      <c r="C56" s="801"/>
      <c r="D56" s="801"/>
      <c r="E56" s="801"/>
      <c r="F56" s="801"/>
      <c r="G56" s="801"/>
      <c r="H56" s="802"/>
      <c r="K56" s="800" t="s">
        <v>296</v>
      </c>
      <c r="L56" s="801"/>
      <c r="M56" s="801"/>
      <c r="N56" s="801"/>
      <c r="O56" s="801"/>
      <c r="P56" s="801"/>
      <c r="Q56" s="802"/>
    </row>
    <row r="57" spans="2:19" ht="45">
      <c r="B57" s="64"/>
      <c r="C57" s="231"/>
      <c r="D57" s="54" t="str">
        <f>D51</f>
        <v>6/1/2026</v>
      </c>
      <c r="E57" s="176" t="str">
        <f>E51</f>
        <v>8/1/2026</v>
      </c>
      <c r="F57" s="232" t="str">
        <f>F51</f>
        <v>Proposed</v>
      </c>
      <c r="G57" s="55" t="str">
        <f>$G$26</f>
        <v>% Change over 6/1/2026</v>
      </c>
      <c r="H57" s="56" t="s">
        <v>144</v>
      </c>
      <c r="K57" s="64"/>
      <c r="L57" s="231"/>
      <c r="M57" s="54" t="str">
        <f>M51</f>
        <v>6/1/2026</v>
      </c>
      <c r="N57" s="176" t="str">
        <f>N51</f>
        <v>8/1/2026</v>
      </c>
      <c r="O57" s="232" t="str">
        <f>O51</f>
        <v>Proposed</v>
      </c>
      <c r="P57" s="55" t="str">
        <f>$G$26</f>
        <v>% Change over 6/1/2026</v>
      </c>
      <c r="Q57" s="56" t="s">
        <v>144</v>
      </c>
    </row>
    <row r="58" spans="2:19">
      <c r="B58" s="796" t="s">
        <v>286</v>
      </c>
      <c r="C58" s="797"/>
      <c r="D58" s="160">
        <f>IF($D$3="All",'Hypothetical Res Bill Impact'!C67,(VLOOKUP($D$3,'Hypothetical Res Bill Impact'!$B$63:$J$66,2,FALSE)))</f>
        <v>135.17851562411644</v>
      </c>
      <c r="E58" s="160">
        <f>IF($D$3="All",'Hypothetical Res Bill Impact'!E67,(VLOOKUP($D$3,'Hypothetical Res Bill Impact'!$B$63:$J$66,4,FALSE)))</f>
        <v>135.57953667351208</v>
      </c>
      <c r="F58" s="160">
        <f>IF($D$3="All",'Hypothetical Res Bill Impact'!G67,(VLOOKUP($D$3,'Hypothetical Res Bill Impact'!$B$63:$J$66,6,FALSE)))</f>
        <v>135.57953667351208</v>
      </c>
      <c r="G58" s="66">
        <f t="shared" ref="G58:H60" si="9">$F58/D58-1</f>
        <v>2.9666034394899565E-3</v>
      </c>
      <c r="H58" s="68">
        <f t="shared" si="9"/>
        <v>0</v>
      </c>
      <c r="I58" s="773"/>
      <c r="J58" s="439"/>
      <c r="K58" s="796" t="s">
        <v>286</v>
      </c>
      <c r="L58" s="797"/>
      <c r="M58" s="160">
        <f>IF($D$3="All",'Hypothetical Res Bill Impact'!L67,(VLOOKUP($D$3,'Hypothetical Res Bill Impact'!$K$63:$Q$66,2,FALSE)))</f>
        <v>98.465812696166935</v>
      </c>
      <c r="N58" s="160">
        <f>IF($D$3="All",'Hypothetical Res Bill Impact'!N67,(VLOOKUP($D$3,'Hypothetical Res Bill Impact'!$K$63:$Q$66,4,FALSE)))</f>
        <v>98.734645325576608</v>
      </c>
      <c r="O58" s="160">
        <f>IF($D$3="All",'Hypothetical Res Bill Impact'!P67,(VLOOKUP($D$3,'Hypothetical Res Bill Impact'!$K$63:$Q$66,6,FALSE)))</f>
        <v>98.734645325576608</v>
      </c>
      <c r="P58" s="254">
        <f t="shared" ref="P58:Q60" si="10">$O58/M58-1</f>
        <v>2.7302128733674991E-3</v>
      </c>
      <c r="Q58" s="255">
        <f t="shared" si="10"/>
        <v>0</v>
      </c>
      <c r="R58" s="773"/>
      <c r="S58" s="439"/>
    </row>
    <row r="59" spans="2:19">
      <c r="B59" s="796" t="s">
        <v>287</v>
      </c>
      <c r="C59" s="797"/>
      <c r="D59" s="160">
        <f>IF($D$3="All",'Hypothetical Res Bill Impact'!C77,(VLOOKUP($D$3,'Hypothetical Res Bill Impact'!$B$73:$J$76,2,FALSE)))</f>
        <v>75.849299999999999</v>
      </c>
      <c r="E59" s="160">
        <f>IF($D$3="All",'Hypothetical Res Bill Impact'!E77,(VLOOKUP($D$3,'Hypothetical Res Bill Impact'!$B$73:$J$76,4,FALSE)))</f>
        <v>76.111199999999997</v>
      </c>
      <c r="F59" s="160">
        <f>IF($D$3="All",'Hypothetical Res Bill Impact'!G77,(VLOOKUP($D$3,'Hypothetical Res Bill Impact'!$B$73:$J$76,6,FALSE)))</f>
        <v>76.111199999999997</v>
      </c>
      <c r="G59" s="66">
        <f t="shared" si="9"/>
        <v>3.4528993675617681E-3</v>
      </c>
      <c r="H59" s="68">
        <f t="shared" si="9"/>
        <v>0</v>
      </c>
      <c r="I59" s="773"/>
      <c r="J59" s="439"/>
      <c r="K59" s="796" t="s">
        <v>287</v>
      </c>
      <c r="L59" s="797"/>
      <c r="M59" s="160">
        <f>IF($D$3="All",'Hypothetical Res Bill Impact'!L77,(VLOOKUP($D$3,'Hypothetical Res Bill Impact'!$K$73:$Q$76,2,FALSE)))</f>
        <v>52.796520000000001</v>
      </c>
      <c r="N59" s="160">
        <f>IF($D$3="All",'Hypothetical Res Bill Impact'!N77,(VLOOKUP($D$3,'Hypothetical Res Bill Impact'!$K$73:$Q$76,4,FALSE)))</f>
        <v>52.972089999999994</v>
      </c>
      <c r="O59" s="160">
        <f>IF($D$3="All",'Hypothetical Res Bill Impact'!P77,(VLOOKUP($D$3,'Hypothetical Res Bill Impact'!$K$73:$Q$76,6,FALSE)))</f>
        <v>52.972089999999994</v>
      </c>
      <c r="P59" s="66">
        <f t="shared" si="10"/>
        <v>3.3254085685949786E-3</v>
      </c>
      <c r="Q59" s="68">
        <f t="shared" si="10"/>
        <v>0</v>
      </c>
      <c r="R59" s="773"/>
      <c r="S59" s="439"/>
    </row>
    <row r="60" spans="2:19" ht="15.75" thickBot="1">
      <c r="B60" s="798" t="s">
        <v>112</v>
      </c>
      <c r="C60" s="799"/>
      <c r="D60" s="162">
        <f>D58*(1-'Hypothetical SAR and RAR'!$AA$17)+D59*'Hypothetical SAR and RAR'!$AA$17</f>
        <v>123.59539228178522</v>
      </c>
      <c r="E60" s="162">
        <f>E58*(1-'Hypothetical SAR and RAR'!$AA$17)+E59*'Hypothetical SAR and RAR'!$AA$17</f>
        <v>123.96925207078473</v>
      </c>
      <c r="F60" s="162">
        <f>F58*(1-'Hypothetical SAR and RAR'!$AA$17)+F59*'Hypothetical SAR and RAR'!$AA$17</f>
        <v>123.96925207078473</v>
      </c>
      <c r="G60" s="69">
        <f t="shared" si="9"/>
        <v>3.0248683393241382E-3</v>
      </c>
      <c r="H60" s="70">
        <f t="shared" si="9"/>
        <v>0</v>
      </c>
      <c r="I60" s="773"/>
      <c r="J60" s="439"/>
      <c r="K60" s="798" t="s">
        <v>112</v>
      </c>
      <c r="L60" s="799"/>
      <c r="M60" s="162">
        <f>M58*(1-'Hypothetical SAR and RAR'!$AA$17)+M59*'Hypothetical SAR and RAR'!$AA$17</f>
        <v>89.549580706716867</v>
      </c>
      <c r="N60" s="162">
        <f>N58*(1-'Hypothetical SAR and RAR'!$AA$17)+N59*'Hypothetical SAR and RAR'!$AA$17</f>
        <v>89.800205231935067</v>
      </c>
      <c r="O60" s="162">
        <f>O58*(1-'Hypothetical SAR and RAR'!$AA$17)+O59*'Hypothetical SAR and RAR'!$AA$17</f>
        <v>89.800205231935067</v>
      </c>
      <c r="P60" s="69">
        <f t="shared" si="10"/>
        <v>2.7987236036204344E-3</v>
      </c>
      <c r="Q60" s="70">
        <f t="shared" si="10"/>
        <v>0</v>
      </c>
      <c r="R60" s="773"/>
      <c r="S60" s="439"/>
    </row>
    <row r="61" spans="2:19" ht="15.75" thickBot="1">
      <c r="I61" s="773"/>
      <c r="J61" s="439"/>
    </row>
    <row r="62" spans="2:19">
      <c r="B62" s="800" t="s">
        <v>289</v>
      </c>
      <c r="C62" s="801"/>
      <c r="D62" s="801"/>
      <c r="E62" s="801"/>
      <c r="F62" s="801"/>
      <c r="G62" s="801"/>
      <c r="H62" s="802"/>
      <c r="K62" s="800" t="s">
        <v>297</v>
      </c>
      <c r="L62" s="801"/>
      <c r="M62" s="801"/>
      <c r="N62" s="801"/>
      <c r="O62" s="801"/>
      <c r="P62" s="801"/>
      <c r="Q62" s="802"/>
    </row>
    <row r="63" spans="2:19" ht="45">
      <c r="B63" s="64"/>
      <c r="C63" s="231"/>
      <c r="D63" s="54" t="str">
        <f>D57</f>
        <v>6/1/2026</v>
      </c>
      <c r="E63" s="176" t="str">
        <f>E57</f>
        <v>8/1/2026</v>
      </c>
      <c r="F63" s="232" t="str">
        <f>F57</f>
        <v>Proposed</v>
      </c>
      <c r="G63" s="55" t="str">
        <f>$G$26</f>
        <v>% Change over 6/1/2026</v>
      </c>
      <c r="H63" s="56" t="s">
        <v>144</v>
      </c>
      <c r="K63" s="64"/>
      <c r="L63" s="231"/>
      <c r="M63" s="54" t="str">
        <f>M57</f>
        <v>6/1/2026</v>
      </c>
      <c r="N63" s="176" t="str">
        <f>N57</f>
        <v>8/1/2026</v>
      </c>
      <c r="O63" s="232" t="str">
        <f>O57</f>
        <v>Proposed</v>
      </c>
      <c r="P63" s="55" t="str">
        <f>$G$26</f>
        <v>% Change over 6/1/2026</v>
      </c>
      <c r="Q63" s="56" t="s">
        <v>144</v>
      </c>
    </row>
    <row r="64" spans="2:19">
      <c r="B64" s="796" t="s">
        <v>286</v>
      </c>
      <c r="C64" s="797"/>
      <c r="D64" s="160">
        <f>IF($D$3="All",'Hypothetical Res Bill Impact'!D67,(VLOOKUP($D$3,'Hypothetical Res Bill Impact'!$B$63:$J$66,3,FALSE)))</f>
        <v>137.65352930465238</v>
      </c>
      <c r="E64" s="160">
        <f>IF($D$3="All",'Hypothetical Res Bill Impact'!F67,(VLOOKUP($D$3,'Hypothetical Res Bill Impact'!$B$63:$J$66,5,FALSE)))</f>
        <v>138.06346193292347</v>
      </c>
      <c r="F64" s="160">
        <f>IF($D$3="All",'Hypothetical Res Bill Impact'!H67,(VLOOKUP($D$3,'Hypothetical Res Bill Impact'!$B$63:$J$66,7,FALSE)))</f>
        <v>138.06346193292347</v>
      </c>
      <c r="G64" s="66">
        <f t="shared" ref="G64:H66" si="11">$F64/D64-1</f>
        <v>2.9780030366226562E-3</v>
      </c>
      <c r="H64" s="68">
        <f t="shared" si="11"/>
        <v>0</v>
      </c>
      <c r="I64" s="773"/>
      <c r="J64" s="439"/>
      <c r="K64" s="796" t="s">
        <v>286</v>
      </c>
      <c r="L64" s="797"/>
      <c r="M64" s="160">
        <f>IF($D$3="All",'Hypothetical Res Bill Impact'!M67,(VLOOKUP($D$3,'Hypothetical Res Bill Impact'!$K$63:$Q$66,3,FALSE)))</f>
        <v>132.70350194358053</v>
      </c>
      <c r="N64" s="160">
        <f>IF($D$3="All",'Hypothetical Res Bill Impact'!O67,(VLOOKUP($D$3,'Hypothetical Res Bill Impact'!$K$63:$Q$66,5,FALSE)))</f>
        <v>133.09561141410072</v>
      </c>
      <c r="O64" s="160">
        <f>IF($D$3="All",'Hypothetical Res Bill Impact'!Q67,(VLOOKUP($D$3,'Hypothetical Res Bill Impact'!$K$63:$Q$66,7,FALSE)))</f>
        <v>133.09561141410072</v>
      </c>
      <c r="P64" s="254">
        <f t="shared" ref="P64:Q66" si="12">$O64/M64-1</f>
        <v>2.9547786213426352E-3</v>
      </c>
      <c r="Q64" s="255">
        <f t="shared" si="12"/>
        <v>0</v>
      </c>
      <c r="R64" s="773"/>
      <c r="S64" s="439"/>
    </row>
    <row r="65" spans="2:19">
      <c r="B65" s="796" t="s">
        <v>287</v>
      </c>
      <c r="C65" s="797"/>
      <c r="D65" s="160">
        <f>IF($D$3="All",'Hypothetical Res Bill Impact'!D77,(VLOOKUP($D$3,'Hypothetical Res Bill Impact'!$B$73:$J$76,3,FALSE)))</f>
        <v>77.403419999999997</v>
      </c>
      <c r="E65" s="160">
        <f>IF($D$3="All",'Hypothetical Res Bill Impact'!F77,(VLOOKUP($D$3,'Hypothetical Res Bill Impact'!$B$73:$J$76,5,FALSE)))</f>
        <v>77.671139999999994</v>
      </c>
      <c r="F65" s="160">
        <f>IF($D$3="All",'Hypothetical Res Bill Impact'!H77,(VLOOKUP($D$3,'Hypothetical Res Bill Impact'!$B$73:$J$76,7,FALSE)))</f>
        <v>77.671139999999994</v>
      </c>
      <c r="G65" s="66">
        <f t="shared" si="11"/>
        <v>3.4587618996679836E-3</v>
      </c>
      <c r="H65" s="68">
        <f t="shared" si="11"/>
        <v>0</v>
      </c>
      <c r="I65" s="773"/>
      <c r="J65" s="439"/>
      <c r="K65" s="796" t="s">
        <v>287</v>
      </c>
      <c r="L65" s="797"/>
      <c r="M65" s="160">
        <f>IF($D$3="All",'Hypothetical Res Bill Impact'!M77,(VLOOKUP($D$3,'Hypothetical Res Bill Impact'!$K$73:$Q$76,3,FALSE)))</f>
        <v>74.295180000000002</v>
      </c>
      <c r="N65" s="160">
        <f>IF($D$3="All",'Hypothetical Res Bill Impact'!O77,(VLOOKUP($D$3,'Hypothetical Res Bill Impact'!$K$73:$Q$76,5,FALSE)))</f>
        <v>74.551259999999999</v>
      </c>
      <c r="O65" s="160">
        <f>IF($D$3="All",'Hypothetical Res Bill Impact'!Q77,(VLOOKUP($D$3,'Hypothetical Res Bill Impact'!$K$73:$Q$76,7,FALSE)))</f>
        <v>74.551259999999999</v>
      </c>
      <c r="P65" s="66">
        <f t="shared" si="12"/>
        <v>3.4467915684435191E-3</v>
      </c>
      <c r="Q65" s="68">
        <f t="shared" si="12"/>
        <v>0</v>
      </c>
      <c r="R65" s="773"/>
      <c r="S65" s="439"/>
    </row>
    <row r="66" spans="2:19" ht="15.75" thickBot="1">
      <c r="B66" s="798" t="s">
        <v>112</v>
      </c>
      <c r="C66" s="799"/>
      <c r="D66" s="162">
        <f>D64*(1-'Hypothetical SAR and RAR'!$AA$17)+D65*'Hypothetical SAR and RAR'!$AA$17</f>
        <v>125.89061553403704</v>
      </c>
      <c r="E66" s="162">
        <f>E64*(1-'Hypothetical SAR and RAR'!$AA$17)+E65*'Hypothetical SAR and RAR'!$AA$17</f>
        <v>126.27278331834765</v>
      </c>
      <c r="F66" s="162">
        <f>F64*(1-'Hypothetical SAR and RAR'!$AA$17)+F65*'Hypothetical SAR and RAR'!$AA$17</f>
        <v>126.27278331834765</v>
      </c>
      <c r="G66" s="69">
        <f t="shared" si="11"/>
        <v>3.0357130488991579E-3</v>
      </c>
      <c r="H66" s="70">
        <f t="shared" si="11"/>
        <v>0</v>
      </c>
      <c r="I66" s="773"/>
      <c r="J66" s="439"/>
      <c r="K66" s="798" t="s">
        <v>112</v>
      </c>
      <c r="L66" s="799"/>
      <c r="M66" s="162">
        <f>M64*(1-'Hypothetical SAR and RAR'!$AA$17)+M65*'Hypothetical SAR and RAR'!$AA$17</f>
        <v>121.30016902953344</v>
      </c>
      <c r="N66" s="162">
        <f>N64*(1-'Hypothetical SAR and RAR'!$AA$17)+N65*'Hypothetical SAR and RAR'!$AA$17</f>
        <v>121.66572082322186</v>
      </c>
      <c r="O66" s="162">
        <f>O64*(1-'Hypothetical SAR and RAR'!$AA$17)+O65*'Hypothetical SAR and RAR'!$AA$17</f>
        <v>121.66572082322186</v>
      </c>
      <c r="P66" s="69">
        <f t="shared" si="12"/>
        <v>3.0136132258762327E-3</v>
      </c>
      <c r="Q66" s="70">
        <f t="shared" si="12"/>
        <v>0</v>
      </c>
      <c r="R66" s="773"/>
      <c r="S66" s="439"/>
    </row>
    <row r="67" spans="2:19" ht="15.75" thickBot="1"/>
    <row r="68" spans="2:19">
      <c r="B68" s="800" t="s">
        <v>300</v>
      </c>
      <c r="C68" s="801"/>
      <c r="D68" s="801"/>
      <c r="E68" s="801"/>
      <c r="F68" s="801"/>
      <c r="G68" s="801"/>
      <c r="H68" s="802"/>
      <c r="K68" s="800" t="s">
        <v>295</v>
      </c>
      <c r="L68" s="801"/>
      <c r="M68" s="801"/>
      <c r="N68" s="801"/>
      <c r="O68" s="801"/>
      <c r="P68" s="801"/>
      <c r="Q68" s="802"/>
    </row>
    <row r="69" spans="2:19" ht="45">
      <c r="B69" s="64"/>
      <c r="C69" s="231"/>
      <c r="D69" s="54" t="str">
        <f>D63</f>
        <v>6/1/2026</v>
      </c>
      <c r="E69" s="176" t="str">
        <f>E63</f>
        <v>8/1/2026</v>
      </c>
      <c r="F69" s="232" t="str">
        <f>F63</f>
        <v>Proposed</v>
      </c>
      <c r="G69" s="55" t="str">
        <f>$G$26</f>
        <v>% Change over 6/1/2026</v>
      </c>
      <c r="H69" s="56" t="s">
        <v>144</v>
      </c>
      <c r="K69" s="64"/>
      <c r="L69" s="231"/>
      <c r="M69" s="54" t="str">
        <f>M63</f>
        <v>6/1/2026</v>
      </c>
      <c r="N69" s="176" t="str">
        <f>N63</f>
        <v>8/1/2026</v>
      </c>
      <c r="O69" s="232" t="str">
        <f>O63</f>
        <v>Proposed</v>
      </c>
      <c r="P69" s="55" t="str">
        <f>$G$26</f>
        <v>% Change over 6/1/2026</v>
      </c>
      <c r="Q69" s="56" t="s">
        <v>144</v>
      </c>
    </row>
    <row r="70" spans="2:19">
      <c r="B70" s="815" t="str">
        <f>$H$9&amp;" kWh Monthly Usage - Non-CARE"</f>
        <v>400 kWh Monthly Usage - Non-CARE</v>
      </c>
      <c r="C70" s="816"/>
      <c r="D70" s="160">
        <f>((D76*5)+(D82*7)+(H6*2))/12</f>
        <v>185.30361957484749</v>
      </c>
      <c r="E70" s="160">
        <f>((E76*5)+(E82*7)+(H6*2))/12</f>
        <v>185.91478730504241</v>
      </c>
      <c r="F70" s="160">
        <f>((F76*5)+(F82*7)+(H7*2))/12</f>
        <v>186.5704041771971</v>
      </c>
      <c r="G70" s="67">
        <f t="shared" ref="G70:H72" si="13">$F70/D70-1</f>
        <v>6.8362647489350614E-3</v>
      </c>
      <c r="H70" s="68">
        <f t="shared" si="13"/>
        <v>3.5264374698662504E-3</v>
      </c>
      <c r="I70" s="773"/>
      <c r="J70" s="439"/>
      <c r="K70" s="815" t="str">
        <f>B70</f>
        <v>400 kWh Monthly Usage - Non-CARE</v>
      </c>
      <c r="L70" s="816"/>
      <c r="M70" s="160">
        <f>((M76*5)+(M82*7)+(H6*2))/12</f>
        <v>191.45263029976709</v>
      </c>
      <c r="N70" s="160">
        <f>((N76*5)+(N82*7)+(H6*2))/12</f>
        <v>192.08599207226857</v>
      </c>
      <c r="O70" s="160">
        <f>((O76*5)+(O82*7)+(H7*2))/12</f>
        <v>192.74160894442323</v>
      </c>
      <c r="P70" s="254">
        <f t="shared" ref="P70:Q72" si="14">$O70/M70-1</f>
        <v>6.7326243710410516E-3</v>
      </c>
      <c r="Q70" s="255">
        <f t="shared" si="14"/>
        <v>3.4131425466361609E-3</v>
      </c>
      <c r="R70" s="773"/>
      <c r="S70" s="439"/>
    </row>
    <row r="71" spans="2:19">
      <c r="B71" s="247"/>
      <c r="C71" s="248" t="str">
        <f>$H$9&amp;" kWh Monthly Usage - CARE"</f>
        <v>400 kWh Monthly Usage - CARE</v>
      </c>
      <c r="D71" s="160">
        <f>((D77*5)+(D83*7)+(H6*2))/12</f>
        <v>104.36717673132959</v>
      </c>
      <c r="E71" s="160">
        <f>((E77*5)+(E83*7)+(H6*2))/12</f>
        <v>104.76581673132959</v>
      </c>
      <c r="F71" s="160">
        <f>((F77*5)+(F83*7)+(H7*2))/12</f>
        <v>105.42143360348429</v>
      </c>
      <c r="G71" s="66">
        <f t="shared" si="13"/>
        <v>1.0101421780035702E-2</v>
      </c>
      <c r="H71" s="68">
        <f t="shared" si="13"/>
        <v>6.2579273718259554E-3</v>
      </c>
      <c r="I71" s="773"/>
      <c r="J71" s="439"/>
      <c r="K71" s="247"/>
      <c r="L71" s="248" t="str">
        <f>C71</f>
        <v>400 kWh Monthly Usage - CARE</v>
      </c>
      <c r="M71" s="160">
        <f>((M77*5)+(M83*7)+(H6*2))/12</f>
        <v>108.36405339799624</v>
      </c>
      <c r="N71" s="160">
        <f>((N77*5)+(N83*7)+(H6*2))/12</f>
        <v>108.77653339799623</v>
      </c>
      <c r="O71" s="160">
        <f>((O77*5)+(O83*7)+(H7*2))/12</f>
        <v>109.43215027015094</v>
      </c>
      <c r="P71" s="66">
        <f t="shared" si="14"/>
        <v>9.8565607197418359E-3</v>
      </c>
      <c r="Q71" s="68">
        <f t="shared" si="14"/>
        <v>6.0271903477187028E-3</v>
      </c>
      <c r="R71" s="773"/>
      <c r="S71" s="439"/>
    </row>
    <row r="72" spans="2:19" ht="15.75" thickBot="1">
      <c r="B72" s="798" t="s">
        <v>112</v>
      </c>
      <c r="C72" s="806"/>
      <c r="D72" s="162">
        <f>((D78*5)+(D84*7)+(H6*2))/12</f>
        <v>169.50201507891799</v>
      </c>
      <c r="E72" s="162">
        <f>((E78*5)+(E84*7)+(H6*2))/12</f>
        <v>170.07169001527404</v>
      </c>
      <c r="F72" s="162">
        <f>((F78*5)+(F84*7)+(H7*2))/12</f>
        <v>170.72730688742874</v>
      </c>
      <c r="G72" s="69">
        <f t="shared" si="13"/>
        <v>7.2287742888499373E-3</v>
      </c>
      <c r="H72" s="70">
        <f t="shared" si="13"/>
        <v>3.8549441832196329E-3</v>
      </c>
      <c r="I72" s="773"/>
      <c r="J72" s="439"/>
      <c r="K72" s="798" t="s">
        <v>112</v>
      </c>
      <c r="L72" s="806"/>
      <c r="M72" s="162">
        <f>((M78*5)+(M84*7)+(H6*2))/12</f>
        <v>175.23085449390643</v>
      </c>
      <c r="N72" s="162">
        <f>((N78*5)+(N84*7)+(H6*2))/12</f>
        <v>175.82109247338204</v>
      </c>
      <c r="O72" s="162">
        <f>((O78*5)+(O84*7)+(H7*2))/12</f>
        <v>176.47670934553673</v>
      </c>
      <c r="P72" s="69">
        <f t="shared" si="14"/>
        <v>7.1097915674069867E-3</v>
      </c>
      <c r="Q72" s="70">
        <f t="shared" si="14"/>
        <v>3.7288863522102478E-3</v>
      </c>
      <c r="R72" s="773"/>
      <c r="S72" s="439"/>
    </row>
    <row r="73" spans="2:19" ht="15.75" thickBot="1"/>
    <row r="74" spans="2:19">
      <c r="B74" s="803" t="s">
        <v>291</v>
      </c>
      <c r="C74" s="804"/>
      <c r="D74" s="804"/>
      <c r="E74" s="804"/>
      <c r="F74" s="804"/>
      <c r="G74" s="804"/>
      <c r="H74" s="805"/>
      <c r="K74" s="803" t="s">
        <v>294</v>
      </c>
      <c r="L74" s="804"/>
      <c r="M74" s="804"/>
      <c r="N74" s="804"/>
      <c r="O74" s="804"/>
      <c r="P74" s="804"/>
      <c r="Q74" s="805"/>
    </row>
    <row r="75" spans="2:19" ht="45">
      <c r="B75" s="64"/>
      <c r="C75" s="231"/>
      <c r="D75" s="54" t="str">
        <f>D69</f>
        <v>6/1/2026</v>
      </c>
      <c r="E75" s="176" t="str">
        <f>E69</f>
        <v>8/1/2026</v>
      </c>
      <c r="F75" s="232" t="str">
        <f>F69</f>
        <v>Proposed</v>
      </c>
      <c r="G75" s="55" t="str">
        <f>$G$26</f>
        <v>% Change over 6/1/2026</v>
      </c>
      <c r="H75" s="56" t="s">
        <v>144</v>
      </c>
      <c r="K75" s="64"/>
      <c r="L75" s="231"/>
      <c r="M75" s="54" t="str">
        <f>M69</f>
        <v>6/1/2026</v>
      </c>
      <c r="N75" s="176" t="str">
        <f>N69</f>
        <v>8/1/2026</v>
      </c>
      <c r="O75" s="232" t="str">
        <f>O69</f>
        <v>Proposed</v>
      </c>
      <c r="P75" s="55" t="str">
        <f>$G$26</f>
        <v>% Change over 6/1/2026</v>
      </c>
      <c r="Q75" s="56" t="s">
        <v>144</v>
      </c>
    </row>
    <row r="76" spans="2:19">
      <c r="B76" s="815" t="str">
        <f>$B$70</f>
        <v>400 kWh Monthly Usage - Non-CARE</v>
      </c>
      <c r="C76" s="816"/>
      <c r="D76" s="160">
        <f>IF($D$3="All",'Hypothetical Res Bill Impact'!C87,(VLOOKUP($D$3,'Hypothetical Res Bill Impact'!$B$83:$J$86,2,FALSE)))</f>
        <v>194.02869398118</v>
      </c>
      <c r="E76" s="160">
        <f>IF($D$3="All",'Hypothetical Res Bill Impact'!E87,(VLOOKUP($D$3,'Hypothetical Res Bill Impact'!$B$83:$J$86,4,FALSE)))</f>
        <v>194.64165776104136</v>
      </c>
      <c r="F76" s="160">
        <f>IF($D$3="All",'Hypothetical Res Bill Impact'!G87,(VLOOKUP($D$3,'Hypothetical Res Bill Impact'!$B$83:$J$86,6,FALSE)))</f>
        <v>194.64165776104136</v>
      </c>
      <c r="G76" s="67">
        <f t="shared" ref="G76:H78" si="15">$F76/D76-1</f>
        <v>3.1591398534116522E-3</v>
      </c>
      <c r="H76" s="68">
        <f t="shared" si="15"/>
        <v>0</v>
      </c>
      <c r="I76" s="773"/>
      <c r="J76" s="439"/>
      <c r="K76" s="815" t="str">
        <f>B76</f>
        <v>400 kWh Monthly Usage - Non-CARE</v>
      </c>
      <c r="L76" s="816"/>
      <c r="M76" s="160">
        <f>IF($D$3="All",'Hypothetical Res Bill Impact'!L87,(VLOOKUP($D$3,'Hypothetical Res Bill Impact'!$K$83:$Q$86,2,FALSE)))</f>
        <v>206.39780226020909</v>
      </c>
      <c r="N76" s="160">
        <f>IF($D$3="All",'Hypothetical Res Bill Impact'!N87,(VLOOKUP($D$3,'Hypothetical Res Bill Impact'!$K$83:$Q$86,4,FALSE)))</f>
        <v>207.05541070320723</v>
      </c>
      <c r="O76" s="160">
        <f>IF($D$3="All",'Hypothetical Res Bill Impact'!P87,(VLOOKUP($D$3,'Hypothetical Res Bill Impact'!$K$83:$Q$86,6,FALSE)))</f>
        <v>207.05541070320723</v>
      </c>
      <c r="P76" s="254">
        <f t="shared" ref="P76:Q78" si="16">$O76/M76-1</f>
        <v>3.1861213433324043E-3</v>
      </c>
      <c r="Q76" s="255">
        <f t="shared" si="16"/>
        <v>0</v>
      </c>
      <c r="R76" s="773"/>
      <c r="S76" s="439"/>
    </row>
    <row r="77" spans="2:19">
      <c r="B77" s="247"/>
      <c r="C77" s="248" t="str">
        <f>$C$71</f>
        <v>400 kWh Monthly Usage - CARE</v>
      </c>
      <c r="D77" s="160">
        <f>IF($D$3="All",'Hypothetical Res Bill Impact'!C97,(VLOOKUP($D$3,'Hypothetical Res Bill Impact'!$B$93:$J$96,2,FALSE)))</f>
        <v>112.91809000000001</v>
      </c>
      <c r="E77" s="160">
        <f>IF($D$3="All",'Hypothetical Res Bill Impact'!E97,(VLOOKUP($D$3,'Hypothetical Res Bill Impact'!$B$93:$J$96,4,FALSE)))</f>
        <v>113.31785000000001</v>
      </c>
      <c r="F77" s="160">
        <f>IF($D$3="All",'Hypothetical Res Bill Impact'!G97,(VLOOKUP($D$3,'Hypothetical Res Bill Impact'!$B$93:$J$96,6,FALSE)))</f>
        <v>113.31785000000001</v>
      </c>
      <c r="G77" s="66">
        <f t="shared" si="15"/>
        <v>3.5402653374672077E-3</v>
      </c>
      <c r="H77" s="68">
        <f t="shared" si="15"/>
        <v>0</v>
      </c>
      <c r="I77" s="773"/>
      <c r="J77" s="439"/>
      <c r="K77" s="247"/>
      <c r="L77" s="248" t="str">
        <f>C77</f>
        <v>400 kWh Monthly Usage - CARE</v>
      </c>
      <c r="M77" s="160">
        <f>IF($D$3="All",'Hypothetical Res Bill Impact'!L97,(VLOOKUP($D$3,'Hypothetical Res Bill Impact'!$K$93:$Q$96,2,FALSE)))</f>
        <v>120.95805000000001</v>
      </c>
      <c r="N77" s="160">
        <f>IF($D$3="All",'Hypothetical Res Bill Impact'!N97,(VLOOKUP($D$3,'Hypothetical Res Bill Impact'!$K$93:$Q$96,4,FALSE)))</f>
        <v>121.38565</v>
      </c>
      <c r="O77" s="160">
        <f>IF($D$3="All",'Hypothetical Res Bill Impact'!P97,(VLOOKUP($D$3,'Hypothetical Res Bill Impact'!$K$93:$Q$96,6,FALSE)))</f>
        <v>121.38565</v>
      </c>
      <c r="P77" s="66">
        <f t="shared" si="16"/>
        <v>3.5351098996716512E-3</v>
      </c>
      <c r="Q77" s="68">
        <f t="shared" si="16"/>
        <v>0</v>
      </c>
      <c r="R77" s="773"/>
      <c r="S77" s="439"/>
    </row>
    <row r="78" spans="2:19" ht="15.75" thickBot="1">
      <c r="B78" s="798" t="s">
        <v>112</v>
      </c>
      <c r="C78" s="806"/>
      <c r="D78" s="162">
        <f>D76*(1-'Hypothetical SAR and RAR'!$AA$17)+D77*'Hypothetical SAR and RAR'!$AA$17</f>
        <v>178.19308718271273</v>
      </c>
      <c r="E78" s="162">
        <f>E76*(1-'Hypothetical SAR and RAR'!$AA$17)+E77*'Hypothetical SAR and RAR'!$AA$17</f>
        <v>178.76442618036168</v>
      </c>
      <c r="F78" s="162">
        <f>F76*(1-'Hypothetical SAR and RAR'!$AA$17)+F77*'Hypothetical SAR and RAR'!$AA$17</f>
        <v>178.76442618036168</v>
      </c>
      <c r="G78" s="69">
        <f t="shared" si="15"/>
        <v>3.2062915945954007E-3</v>
      </c>
      <c r="H78" s="70">
        <f t="shared" si="15"/>
        <v>0</v>
      </c>
      <c r="I78" s="773"/>
      <c r="J78" s="439"/>
      <c r="K78" s="798" t="s">
        <v>112</v>
      </c>
      <c r="L78" s="806"/>
      <c r="M78" s="162">
        <f>M76*(1-'Hypothetical SAR and RAR'!$AA$17)+M77*'Hypothetical SAR and RAR'!$AA$17</f>
        <v>189.71699537008828</v>
      </c>
      <c r="N78" s="162">
        <f>N76*(1-'Hypothetical SAR and RAR'!$AA$17)+N77*'Hypothetical SAR and RAR'!$AA$17</f>
        <v>190.32969817701829</v>
      </c>
      <c r="O78" s="162">
        <f>O76*(1-'Hypothetical SAR and RAR'!$AA$17)+O77*'Hypothetical SAR and RAR'!$AA$17</f>
        <v>190.32969817701829</v>
      </c>
      <c r="P78" s="69">
        <f t="shared" si="16"/>
        <v>3.2295620417917004E-3</v>
      </c>
      <c r="Q78" s="70">
        <f t="shared" si="16"/>
        <v>0</v>
      </c>
      <c r="R78" s="773"/>
      <c r="S78" s="439"/>
    </row>
    <row r="79" spans="2:19" ht="15.75" thickBot="1"/>
    <row r="80" spans="2:19">
      <c r="B80" s="803" t="s">
        <v>292</v>
      </c>
      <c r="C80" s="804"/>
      <c r="D80" s="804"/>
      <c r="E80" s="804"/>
      <c r="F80" s="804"/>
      <c r="G80" s="804"/>
      <c r="H80" s="805"/>
      <c r="K80" s="803" t="s">
        <v>293</v>
      </c>
      <c r="L80" s="804"/>
      <c r="M80" s="804"/>
      <c r="N80" s="804"/>
      <c r="O80" s="804"/>
      <c r="P80" s="804"/>
      <c r="Q80" s="805"/>
    </row>
    <row r="81" spans="2:19" ht="45">
      <c r="B81" s="64"/>
      <c r="C81" s="231"/>
      <c r="D81" s="54" t="str">
        <f>D75</f>
        <v>6/1/2026</v>
      </c>
      <c r="E81" s="176" t="str">
        <f>E75</f>
        <v>8/1/2026</v>
      </c>
      <c r="F81" s="232" t="str">
        <f>F75</f>
        <v>Proposed</v>
      </c>
      <c r="G81" s="55" t="str">
        <f>$G$26</f>
        <v>% Change over 6/1/2026</v>
      </c>
      <c r="H81" s="56" t="s">
        <v>144</v>
      </c>
      <c r="K81" s="64"/>
      <c r="L81" s="231"/>
      <c r="M81" s="54" t="str">
        <f>M75</f>
        <v>6/1/2026</v>
      </c>
      <c r="N81" s="176" t="str">
        <f>N75</f>
        <v>8/1/2026</v>
      </c>
      <c r="O81" s="232" t="str">
        <f>O75</f>
        <v>Proposed</v>
      </c>
      <c r="P81" s="55" t="str">
        <f>$G$26</f>
        <v>% Change over 6/1/2026</v>
      </c>
      <c r="Q81" s="56" t="s">
        <v>144</v>
      </c>
    </row>
    <row r="82" spans="2:19">
      <c r="B82" s="815" t="str">
        <f>$B$70</f>
        <v>400 kWh Monthly Usage - Non-CARE</v>
      </c>
      <c r="C82" s="816"/>
      <c r="D82" s="160">
        <f>IF($D$3="All",'Hypothetical Res Bill Impact'!D87,(VLOOKUP($D$3,'Hypothetical Res Bill Impact'!$B$83:$J$86,3,FALSE)))</f>
        <v>193.17565203090214</v>
      </c>
      <c r="E82" s="160">
        <f>IF($D$3="All",'Hypothetical Res Bill Impact'!F87,(VLOOKUP($D$3,'Hypothetical Res Bill Impact'!$B$83:$J$86,5,FALSE)))</f>
        <v>193.78553686847818</v>
      </c>
      <c r="F82" s="160">
        <f>IF($D$3="All",'Hypothetical Res Bill Impact'!H87,(VLOOKUP($D$3,'Hypothetical Res Bill Impact'!$B$83:$J$86,7,FALSE)))</f>
        <v>193.78553686847818</v>
      </c>
      <c r="G82" s="67">
        <f t="shared" ref="G82:H84" si="17">$F82/D82-1</f>
        <v>3.1571516967285884E-3</v>
      </c>
      <c r="H82" s="68">
        <f t="shared" si="17"/>
        <v>0</v>
      </c>
      <c r="I82" s="773"/>
      <c r="J82" s="439"/>
      <c r="K82" s="815" t="str">
        <f>B82</f>
        <v>400 kWh Monthly Usage - Non-CARE</v>
      </c>
      <c r="L82" s="816"/>
      <c r="M82" s="160">
        <f>IF($D$3="All",'Hypothetical Res Bill Impact'!M87,(VLOOKUP($D$3,'Hypothetical Res Bill Impact'!$K$83:$Q$86,3,FALSE)))</f>
        <v>194.88173593145788</v>
      </c>
      <c r="N82" s="160">
        <f>IF($D$3="All",'Hypothetical Res Bill Impact'!O87,(VLOOKUP($D$3,'Hypothetical Res Bill Impact'!$K$83:$Q$86,5,FALSE)))</f>
        <v>195.49777865360451</v>
      </c>
      <c r="O82" s="160">
        <f>IF($D$3="All",'Hypothetical Res Bill Impact'!Q87,(VLOOKUP($D$3,'Hypothetical Res Bill Impact'!$K$83:$Q$86,7,FALSE)))</f>
        <v>195.49777865360451</v>
      </c>
      <c r="P82" s="254">
        <f t="shared" ref="P82:Q84" si="18">$O82/M82-1</f>
        <v>3.1611106048607951E-3</v>
      </c>
      <c r="Q82" s="255">
        <f t="shared" si="18"/>
        <v>0</v>
      </c>
      <c r="R82" s="773"/>
      <c r="S82" s="439"/>
    </row>
    <row r="83" spans="2:19">
      <c r="B83" s="247"/>
      <c r="C83" s="248" t="str">
        <f>$C$71</f>
        <v>400 kWh Monthly Usage - CARE</v>
      </c>
      <c r="D83" s="160">
        <f>IF($D$3="All",'Hypothetical Res Bill Impact'!D97,(VLOOKUP($D$3,'Hypothetical Res Bill Impact'!$B$93:$J$96,3,FALSE)))</f>
        <v>112.36361000000001</v>
      </c>
      <c r="E83" s="160">
        <f>IF($D$3="All",'Hypothetical Res Bill Impact'!F97,(VLOOKUP($D$3,'Hypothetical Res Bill Impact'!$B$93:$J$96,5,FALSE)))</f>
        <v>112.76145000000001</v>
      </c>
      <c r="F83" s="160">
        <f>IF($D$3="All",'Hypothetical Res Bill Impact'!H97,(VLOOKUP($D$3,'Hypothetical Res Bill Impact'!$B$93:$J$96,7,FALSE)))</f>
        <v>112.76145000000001</v>
      </c>
      <c r="G83" s="66">
        <f t="shared" si="17"/>
        <v>3.5406480799256013E-3</v>
      </c>
      <c r="H83" s="68">
        <f t="shared" si="17"/>
        <v>0</v>
      </c>
      <c r="I83" s="773"/>
      <c r="J83" s="439"/>
      <c r="K83" s="247"/>
      <c r="L83" s="248" t="str">
        <f>C83</f>
        <v>400 kWh Monthly Usage - CARE</v>
      </c>
      <c r="M83" s="160">
        <f>IF($D$3="All",'Hypothetical Res Bill Impact'!M97,(VLOOKUP($D$3,'Hypothetical Res Bill Impact'!$K$93:$Q$96,3,FALSE)))</f>
        <v>113.47257</v>
      </c>
      <c r="N83" s="160">
        <f>IF($D$3="All",'Hypothetical Res Bill Impact'!O97,(VLOOKUP($D$3,'Hypothetical Res Bill Impact'!$K$93:$Q$96,5,FALSE)))</f>
        <v>113.87425</v>
      </c>
      <c r="O83" s="160">
        <f>IF($D$3="All",'Hypothetical Res Bill Impact'!Q97,(VLOOKUP($D$3,'Hypothetical Res Bill Impact'!$K$93:$Q$96,7,FALSE)))</f>
        <v>113.87425</v>
      </c>
      <c r="P83" s="66">
        <f t="shared" si="18"/>
        <v>3.5398863355258214E-3</v>
      </c>
      <c r="Q83" s="68">
        <f t="shared" si="18"/>
        <v>0</v>
      </c>
      <c r="R83" s="773"/>
      <c r="S83" s="439"/>
    </row>
    <row r="84" spans="2:19" ht="15.75" thickBot="1">
      <c r="B84" s="798" t="s">
        <v>112</v>
      </c>
      <c r="C84" s="806"/>
      <c r="D84" s="162">
        <f>D82*(1-'Hypothetical SAR and RAR'!$AA$17)+D83*'Hypothetical SAR and RAR'!$AA$17</f>
        <v>177.39833489392819</v>
      </c>
      <c r="E84" s="162">
        <f>E82*(1-'Hypothetical SAR and RAR'!$AA$17)+E83*'Hypothetical SAR and RAR'!$AA$17</f>
        <v>177.96682121507504</v>
      </c>
      <c r="F84" s="162">
        <f>F82*(1-'Hypothetical SAR and RAR'!$AA$17)+F83*'Hypothetical SAR and RAR'!$AA$17</f>
        <v>177.96682121507504</v>
      </c>
      <c r="G84" s="69">
        <f t="shared" si="17"/>
        <v>3.2045752937126526E-3</v>
      </c>
      <c r="H84" s="70">
        <f t="shared" si="17"/>
        <v>0</v>
      </c>
      <c r="I84" s="773"/>
      <c r="J84" s="439"/>
      <c r="K84" s="798" t="s">
        <v>112</v>
      </c>
      <c r="L84" s="806"/>
      <c r="M84" s="162">
        <f>M82*(1-'Hypothetical SAR and RAR'!$AA$17)+M83*'Hypothetical SAR and RAR'!$AA$17</f>
        <v>178.98783947149724</v>
      </c>
      <c r="N84" s="162">
        <f>N82*(1-'Hypothetical SAR and RAR'!$AA$17)+N83*'Hypothetical SAR and RAR'!$AA$17</f>
        <v>179.56203114564835</v>
      </c>
      <c r="O84" s="162">
        <f>O82*(1-'Hypothetical SAR and RAR'!$AA$17)+O83*'Hypothetical SAR and RAR'!$AA$17</f>
        <v>179.56203114564835</v>
      </c>
      <c r="P84" s="69">
        <f t="shared" si="18"/>
        <v>3.2079926538390868E-3</v>
      </c>
      <c r="Q84" s="70">
        <f t="shared" si="18"/>
        <v>0</v>
      </c>
      <c r="R84" s="773"/>
      <c r="S84" s="439"/>
    </row>
    <row r="86" spans="2:19" ht="15.75" thickBot="1"/>
    <row r="87" spans="2:19">
      <c r="B87" s="803" t="s">
        <v>404</v>
      </c>
      <c r="C87" s="804"/>
      <c r="D87" s="804"/>
      <c r="E87" s="804"/>
      <c r="F87" s="804"/>
      <c r="G87" s="804"/>
      <c r="H87" s="805"/>
    </row>
    <row r="88" spans="2:19" ht="30">
      <c r="B88" s="64"/>
      <c r="C88" s="65"/>
      <c r="D88" s="54" t="str">
        <f>$D$26</f>
        <v>6/1/2026</v>
      </c>
      <c r="E88" s="54" t="str">
        <f>$E$26</f>
        <v>8/1/2026</v>
      </c>
      <c r="F88" s="54" t="str">
        <f>$F$26</f>
        <v>Proposed</v>
      </c>
      <c r="G88" s="232" t="str">
        <f>$G$26</f>
        <v>% Change over 6/1/2026</v>
      </c>
      <c r="H88" s="253" t="str">
        <f>$H$26</f>
        <v>% Change over 8/1/2026</v>
      </c>
    </row>
    <row r="89" spans="2:19">
      <c r="B89" s="368"/>
      <c r="C89" s="42" t="s">
        <v>394</v>
      </c>
      <c r="D89" s="160">
        <f t="shared" ref="D89:F91" si="19">((D95*5)+(D101*7))/12</f>
        <v>385.08169951708868</v>
      </c>
      <c r="E89" s="160">
        <f t="shared" si="19"/>
        <v>386.29585988457256</v>
      </c>
      <c r="F89" s="161">
        <f t="shared" si="19"/>
        <v>386.29585988457256</v>
      </c>
      <c r="G89" s="254">
        <f t="shared" ref="G89:H91" si="20">$F89/D89-1</f>
        <v>3.1529942061814253E-3</v>
      </c>
      <c r="H89" s="255">
        <f t="shared" si="20"/>
        <v>0</v>
      </c>
      <c r="I89" s="773"/>
      <c r="J89" s="439"/>
    </row>
    <row r="90" spans="2:19">
      <c r="B90" s="362"/>
      <c r="C90" s="42" t="s">
        <v>395</v>
      </c>
      <c r="D90" s="160">
        <f t="shared" si="19"/>
        <v>425.14835614168368</v>
      </c>
      <c r="E90" s="160">
        <f t="shared" si="19"/>
        <v>426.52558523986676</v>
      </c>
      <c r="F90" s="161">
        <f t="shared" si="19"/>
        <v>426.52558523986676</v>
      </c>
      <c r="G90" s="254">
        <f t="shared" si="20"/>
        <v>3.2394082636981736E-3</v>
      </c>
      <c r="H90" s="252">
        <f t="shared" si="20"/>
        <v>0</v>
      </c>
      <c r="I90" s="773"/>
      <c r="J90" s="439"/>
    </row>
    <row r="91" spans="2:19" ht="15.75" thickBot="1">
      <c r="B91" s="363"/>
      <c r="C91" s="313" t="s">
        <v>396</v>
      </c>
      <c r="D91" s="162">
        <f t="shared" si="19"/>
        <v>1083.4768147940504</v>
      </c>
      <c r="E91" s="162">
        <f t="shared" si="19"/>
        <v>1087.3846086919809</v>
      </c>
      <c r="F91" s="163">
        <f t="shared" si="19"/>
        <v>1087.3846086919809</v>
      </c>
      <c r="G91" s="256">
        <f t="shared" si="20"/>
        <v>3.6067166778028792E-3</v>
      </c>
      <c r="H91" s="257">
        <f t="shared" si="20"/>
        <v>0</v>
      </c>
      <c r="I91" s="773"/>
      <c r="J91" s="439"/>
    </row>
    <row r="92" spans="2:19" ht="15.75" thickBot="1"/>
    <row r="93" spans="2:19">
      <c r="B93" s="803" t="s">
        <v>405</v>
      </c>
      <c r="C93" s="804"/>
      <c r="D93" s="804"/>
      <c r="E93" s="804"/>
      <c r="F93" s="804"/>
      <c r="G93" s="804"/>
      <c r="H93" s="805"/>
    </row>
    <row r="94" spans="2:19" ht="30">
      <c r="B94" s="64"/>
      <c r="C94" s="65"/>
      <c r="D94" s="54" t="str">
        <f>D88</f>
        <v>6/1/2026</v>
      </c>
      <c r="E94" s="54" t="str">
        <f>E81</f>
        <v>8/1/2026</v>
      </c>
      <c r="F94" s="54" t="str">
        <f>F81</f>
        <v>Proposed</v>
      </c>
      <c r="G94" s="232" t="str">
        <f>G81</f>
        <v>% Change over 6/1/2026</v>
      </c>
      <c r="H94" s="253" t="str">
        <f>$H$26</f>
        <v>% Change over 8/1/2026</v>
      </c>
    </row>
    <row r="95" spans="2:19">
      <c r="B95" s="368"/>
      <c r="C95" s="42" t="s">
        <v>394</v>
      </c>
      <c r="D95" s="160">
        <f>'Hypoth. Bill Impact (TOU-A)'!C36</f>
        <v>448.71232125604439</v>
      </c>
      <c r="E95" s="160">
        <f>'Hypoth. Bill Impact (TOU-A)'!E36</f>
        <v>451.49459358193536</v>
      </c>
      <c r="F95" s="161">
        <f>'Hypoth. Bill Impact (TOU-A)'!G36</f>
        <v>451.49459358193536</v>
      </c>
      <c r="G95" s="240">
        <f t="shared" ref="G95:H97" si="21">$F95/D95-1</f>
        <v>6.2005703745837693E-3</v>
      </c>
      <c r="H95" s="369">
        <f t="shared" si="21"/>
        <v>0</v>
      </c>
      <c r="I95" s="438"/>
      <c r="J95" s="439"/>
    </row>
    <row r="96" spans="2:19">
      <c r="B96" s="362"/>
      <c r="C96" s="42" t="s">
        <v>395</v>
      </c>
      <c r="D96" s="160">
        <f>'Hypoth. Bill Impact (TOU-A)'!C37</f>
        <v>525.0269255530394</v>
      </c>
      <c r="E96" s="160">
        <f>'Hypoth. Bill Impact (TOU-A)'!E37</f>
        <v>528.24852869643564</v>
      </c>
      <c r="F96" s="161">
        <f>'Hypoth. Bill Impact (TOU-A)'!G37</f>
        <v>528.24852869643564</v>
      </c>
      <c r="G96" s="240">
        <f t="shared" si="21"/>
        <v>6.1360722404908419E-3</v>
      </c>
      <c r="H96" s="369">
        <f t="shared" si="21"/>
        <v>0</v>
      </c>
      <c r="I96" s="438"/>
      <c r="J96" s="439"/>
    </row>
    <row r="97" spans="2:10" ht="15.75" thickBot="1">
      <c r="B97" s="363"/>
      <c r="C97" s="313" t="s">
        <v>396</v>
      </c>
      <c r="D97" s="162">
        <f>'Hypoth. Bill Impact (TOU-A)'!C38</f>
        <v>1365.6784225911169</v>
      </c>
      <c r="E97" s="162">
        <f>'Hypoth. Bill Impact (TOU-A)'!E38</f>
        <v>1374.511615498491</v>
      </c>
      <c r="F97" s="162">
        <f>'Hypoth. Bill Impact (TOU-A)'!G38</f>
        <v>1374.511615498491</v>
      </c>
      <c r="G97" s="233">
        <f t="shared" si="21"/>
        <v>6.4679889212972963E-3</v>
      </c>
      <c r="H97" s="370">
        <f t="shared" si="21"/>
        <v>0</v>
      </c>
      <c r="I97" s="438"/>
      <c r="J97" s="439"/>
    </row>
    <row r="98" spans="2:10" ht="15.75" thickBot="1"/>
    <row r="99" spans="2:10">
      <c r="B99" s="803" t="s">
        <v>406</v>
      </c>
      <c r="C99" s="804"/>
      <c r="D99" s="804"/>
      <c r="E99" s="804"/>
      <c r="F99" s="804"/>
      <c r="G99" s="804"/>
      <c r="H99" s="805"/>
    </row>
    <row r="100" spans="2:10" ht="30">
      <c r="B100" s="64"/>
      <c r="C100" s="65"/>
      <c r="D100" s="54" t="str">
        <f>$D$26</f>
        <v>6/1/2026</v>
      </c>
      <c r="E100" s="54" t="str">
        <f>$E$26</f>
        <v>8/1/2026</v>
      </c>
      <c r="F100" s="54" t="str">
        <f>F94</f>
        <v>Proposed</v>
      </c>
      <c r="G100" s="232" t="str">
        <f>G81</f>
        <v>% Change over 6/1/2026</v>
      </c>
      <c r="H100" s="253" t="str">
        <f>$H$26</f>
        <v>% Change over 8/1/2026</v>
      </c>
    </row>
    <row r="101" spans="2:10">
      <c r="B101" s="368"/>
      <c r="C101" s="42" t="s">
        <v>394</v>
      </c>
      <c r="D101" s="160">
        <f>'Hypoth. Bill Impact (TOU-A)'!D36</f>
        <v>339.63125541783467</v>
      </c>
      <c r="E101" s="160">
        <f>'Hypoth. Bill Impact (TOU-A)'!F36</f>
        <v>339.72533581502779</v>
      </c>
      <c r="F101" s="161">
        <f>'Hypoth. Bill Impact (TOU-A)'!H36</f>
        <v>339.72533581502779</v>
      </c>
      <c r="G101" s="240">
        <f t="shared" ref="G101:H103" si="22">$F101/D101-1</f>
        <v>2.7700747705727835E-4</v>
      </c>
      <c r="H101" s="369">
        <f t="shared" si="22"/>
        <v>0</v>
      </c>
      <c r="I101" s="438"/>
      <c r="J101" s="439"/>
    </row>
    <row r="102" spans="2:10">
      <c r="B102" s="362"/>
      <c r="C102" s="42" t="s">
        <v>395</v>
      </c>
      <c r="D102" s="160">
        <f>'Hypoth. Bill Impact (TOU-A)'!D37</f>
        <v>353.80652084785811</v>
      </c>
      <c r="E102" s="160">
        <f>'Hypoth. Bill Impact (TOU-A)'!F37</f>
        <v>353.86633991374612</v>
      </c>
      <c r="F102" s="161">
        <f>'Hypoth. Bill Impact (TOU-A)'!H37</f>
        <v>353.86633991374612</v>
      </c>
      <c r="G102" s="240">
        <f t="shared" si="22"/>
        <v>1.690728190781865E-4</v>
      </c>
      <c r="H102" s="369">
        <f t="shared" si="22"/>
        <v>0</v>
      </c>
      <c r="I102" s="438"/>
      <c r="J102" s="439"/>
    </row>
    <row r="103" spans="2:10" ht="15.75" thickBot="1">
      <c r="B103" s="363"/>
      <c r="C103" s="313" t="s">
        <v>396</v>
      </c>
      <c r="D103" s="162">
        <f>'Hypoth. Bill Impact (TOU-A)'!D38</f>
        <v>881.90423779614582</v>
      </c>
      <c r="E103" s="162">
        <f>'Hypoth. Bill Impact (TOU-A)'!F38</f>
        <v>882.2938895444737</v>
      </c>
      <c r="F103" s="162">
        <f>'Hypoth. Bill Impact (TOU-A)'!H38</f>
        <v>882.2938895444737</v>
      </c>
      <c r="G103" s="233">
        <f t="shared" si="22"/>
        <v>4.418299988007135E-4</v>
      </c>
      <c r="H103" s="370">
        <f t="shared" si="22"/>
        <v>0</v>
      </c>
      <c r="I103" s="438"/>
      <c r="J103" s="439"/>
    </row>
  </sheetData>
  <mergeCells count="81">
    <mergeCell ref="F10:G12"/>
    <mergeCell ref="M5:N5"/>
    <mergeCell ref="O5:P5"/>
    <mergeCell ref="B44:H44"/>
    <mergeCell ref="B87:H87"/>
    <mergeCell ref="K40:L40"/>
    <mergeCell ref="B38:H38"/>
    <mergeCell ref="B40:C40"/>
    <mergeCell ref="B41:C41"/>
    <mergeCell ref="B42:C42"/>
    <mergeCell ref="K41:L41"/>
    <mergeCell ref="B36:C36"/>
    <mergeCell ref="B25:H25"/>
    <mergeCell ref="K25:Q25"/>
    <mergeCell ref="B26:C26"/>
    <mergeCell ref="K26:L26"/>
    <mergeCell ref="B93:H93"/>
    <mergeCell ref="B99:H99"/>
    <mergeCell ref="B47:C47"/>
    <mergeCell ref="B48:C48"/>
    <mergeCell ref="B60:C60"/>
    <mergeCell ref="B82:C82"/>
    <mergeCell ref="B84:C84"/>
    <mergeCell ref="B68:H68"/>
    <mergeCell ref="B70:C70"/>
    <mergeCell ref="B72:C72"/>
    <mergeCell ref="B74:H74"/>
    <mergeCell ref="B76:C76"/>
    <mergeCell ref="B78:C78"/>
    <mergeCell ref="B80:H80"/>
    <mergeCell ref="B54:C54"/>
    <mergeCell ref="B64:C64"/>
    <mergeCell ref="B27:C27"/>
    <mergeCell ref="K27:L27"/>
    <mergeCell ref="B29:C29"/>
    <mergeCell ref="K29:L29"/>
    <mergeCell ref="B32:H32"/>
    <mergeCell ref="B53:C53"/>
    <mergeCell ref="B34:C34"/>
    <mergeCell ref="B35:C35"/>
    <mergeCell ref="K34:L34"/>
    <mergeCell ref="K35:L35"/>
    <mergeCell ref="K46:L46"/>
    <mergeCell ref="B46:C46"/>
    <mergeCell ref="K68:Q68"/>
    <mergeCell ref="K64:L64"/>
    <mergeCell ref="B65:C65"/>
    <mergeCell ref="B66:C66"/>
    <mergeCell ref="K47:L47"/>
    <mergeCell ref="K65:L65"/>
    <mergeCell ref="B56:H56"/>
    <mergeCell ref="B58:C58"/>
    <mergeCell ref="B59:C59"/>
    <mergeCell ref="B62:H62"/>
    <mergeCell ref="K58:L58"/>
    <mergeCell ref="K59:L59"/>
    <mergeCell ref="K52:L52"/>
    <mergeCell ref="K53:L53"/>
    <mergeCell ref="B50:H50"/>
    <mergeCell ref="B52:C52"/>
    <mergeCell ref="K80:Q80"/>
    <mergeCell ref="K72:L72"/>
    <mergeCell ref="K70:L70"/>
    <mergeCell ref="K76:L76"/>
    <mergeCell ref="K74:Q74"/>
    <mergeCell ref="I26:J26"/>
    <mergeCell ref="K84:L84"/>
    <mergeCell ref="K82:L82"/>
    <mergeCell ref="K32:Q32"/>
    <mergeCell ref="K36:L36"/>
    <mergeCell ref="K38:Q38"/>
    <mergeCell ref="K42:L42"/>
    <mergeCell ref="K44:Q44"/>
    <mergeCell ref="K48:L48"/>
    <mergeCell ref="K50:Q50"/>
    <mergeCell ref="K54:L54"/>
    <mergeCell ref="K56:Q56"/>
    <mergeCell ref="K60:L60"/>
    <mergeCell ref="K62:Q62"/>
    <mergeCell ref="K66:L66"/>
    <mergeCell ref="K78:L78"/>
  </mergeCells>
  <dataValidations count="2">
    <dataValidation type="list" allowBlank="1" showInputMessage="1" showErrorMessage="1" sqref="D3" xr:uid="{7E320ACF-B98D-4476-95E8-0C8122144F35}">
      <formula1>"Coastal, Mountain, Desert, Inland, ALL"</formula1>
    </dataValidation>
    <dataValidation type="list" allowBlank="1" showInputMessage="1" showErrorMessage="1" sqref="H8" xr:uid="{1800F55C-02A4-487B-8FB1-0AAA06745D82}">
      <formula1>"Y,N"</formula1>
    </dataValidation>
  </dataValidation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04A19-63CB-4434-934A-642AE3437D08}">
  <sheetPr codeName="Sheet9">
    <tabColor rgb="FF92D050"/>
  </sheetPr>
  <dimension ref="A1:AC84"/>
  <sheetViews>
    <sheetView zoomScale="70" zoomScaleNormal="70" workbookViewId="0"/>
  </sheetViews>
  <sheetFormatPr defaultColWidth="8.85546875" defaultRowHeight="15"/>
  <cols>
    <col min="1" max="1" width="3.5703125" style="6" customWidth="1"/>
    <col min="2" max="2" width="19.42578125" style="6" customWidth="1"/>
    <col min="3" max="5" width="22.140625" style="6" customWidth="1"/>
    <col min="6" max="6" width="20" style="6" customWidth="1"/>
    <col min="7" max="7" width="13.5703125" style="6" customWidth="1"/>
    <col min="8" max="8" width="14.140625" style="6" customWidth="1"/>
    <col min="9" max="9" width="13.5703125" style="6" customWidth="1"/>
    <col min="10" max="10" width="15.140625" style="6" customWidth="1"/>
    <col min="11" max="11" width="14.85546875" style="6" customWidth="1"/>
    <col min="12" max="14" width="15.42578125" style="6" customWidth="1"/>
    <col min="15" max="15" width="13" style="6" customWidth="1"/>
    <col min="16" max="16" width="17.140625" style="6" bestFit="1" customWidth="1"/>
    <col min="17" max="17" width="19.42578125" style="6" customWidth="1"/>
    <col min="18" max="18" width="13" style="6" customWidth="1"/>
    <col min="19" max="20" width="14" style="6" customWidth="1"/>
    <col min="21" max="21" width="15" style="6" customWidth="1"/>
    <col min="22" max="22" width="14.140625" style="6" customWidth="1"/>
    <col min="23" max="23" width="14.85546875" style="6" bestFit="1" customWidth="1"/>
    <col min="24" max="24" width="13.5703125" style="6" customWidth="1"/>
    <col min="25" max="29" width="13" style="6" customWidth="1"/>
    <col min="30" max="16384" width="8.85546875" style="6"/>
  </cols>
  <sheetData>
    <row r="1" spans="1:27" s="170" customFormat="1" ht="25.5" customHeight="1">
      <c r="A1" s="384"/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5"/>
      <c r="AA1" s="385"/>
    </row>
    <row r="2" spans="1:27" ht="15.75">
      <c r="B2" s="78"/>
      <c r="C2" s="40"/>
      <c r="D2" s="40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</row>
    <row r="3" spans="1:27">
      <c r="B3" s="79"/>
      <c r="C3" s="41" t="s">
        <v>157</v>
      </c>
      <c r="D3" s="177"/>
      <c r="R3" s="81"/>
      <c r="S3" s="81"/>
      <c r="T3" s="81"/>
      <c r="U3" s="81"/>
      <c r="V3" s="81"/>
      <c r="W3" s="81"/>
      <c r="X3" s="81"/>
    </row>
    <row r="4" spans="1:27" ht="15.75">
      <c r="B4" s="184" t="s">
        <v>3</v>
      </c>
      <c r="C4" s="187">
        <f>'Hypothetical Summary'!D6</f>
        <v>0</v>
      </c>
      <c r="D4" s="1"/>
      <c r="G4" s="848" t="s">
        <v>159</v>
      </c>
      <c r="H4" s="849"/>
      <c r="I4" s="849"/>
      <c r="J4" s="849"/>
      <c r="K4" s="849"/>
      <c r="L4" s="849"/>
      <c r="M4" s="849"/>
      <c r="N4" s="849"/>
      <c r="O4" s="849"/>
      <c r="P4" s="849"/>
      <c r="Q4" s="849"/>
      <c r="R4" s="849"/>
      <c r="S4" s="849"/>
      <c r="T4" s="850"/>
      <c r="U4" s="41"/>
      <c r="V4" s="41"/>
      <c r="W4" s="41"/>
      <c r="X4" s="41"/>
      <c r="Y4" s="41"/>
      <c r="Z4" s="41"/>
      <c r="AA4" s="41"/>
    </row>
    <row r="5" spans="1:27" ht="31.5">
      <c r="B5" s="184" t="s">
        <v>372</v>
      </c>
      <c r="C5" s="187">
        <f>'Hypothetical Summary'!D7</f>
        <v>0</v>
      </c>
      <c r="D5" s="1"/>
      <c r="F5" s="1"/>
      <c r="G5" s="300" t="s">
        <v>3</v>
      </c>
      <c r="H5" s="84" t="s">
        <v>372</v>
      </c>
      <c r="I5" s="84" t="s">
        <v>59</v>
      </c>
      <c r="J5" s="84" t="s">
        <v>5</v>
      </c>
      <c r="K5" s="84" t="s">
        <v>98</v>
      </c>
      <c r="L5" s="84" t="s">
        <v>14</v>
      </c>
      <c r="M5" s="84" t="s">
        <v>80</v>
      </c>
      <c r="N5" s="84" t="s">
        <v>99</v>
      </c>
      <c r="O5" s="84" t="s">
        <v>97</v>
      </c>
      <c r="P5" s="84" t="s">
        <v>78</v>
      </c>
      <c r="Q5" s="84" t="s">
        <v>10</v>
      </c>
      <c r="R5" s="84" t="s">
        <v>221</v>
      </c>
      <c r="S5" s="84" t="s">
        <v>87</v>
      </c>
      <c r="T5" s="301" t="s">
        <v>251</v>
      </c>
    </row>
    <row r="6" spans="1:27" ht="15.75">
      <c r="B6" s="185" t="s">
        <v>59</v>
      </c>
      <c r="C6" s="187">
        <f>'Hypothetical Summary'!D8</f>
        <v>0</v>
      </c>
      <c r="D6" s="1"/>
      <c r="F6" s="1" t="s">
        <v>145</v>
      </c>
      <c r="G6" s="378">
        <f>'SAR and RAR'!H6</f>
        <v>0.44202475115697171</v>
      </c>
      <c r="H6" s="379">
        <f>'SAR and RAR'!I6</f>
        <v>0.19327545344183236</v>
      </c>
      <c r="I6" s="379">
        <f>'SAR and RAR'!J6</f>
        <v>0.40641042432297969</v>
      </c>
      <c r="J6" s="379">
        <f>'SAR and RAR'!K6</f>
        <v>0.44395927907969351</v>
      </c>
      <c r="K6" s="379">
        <f>'SAR and RAR'!L6</f>
        <v>0.93354209609417138</v>
      </c>
      <c r="L6" s="379">
        <f>'SAR and RAR'!M6</f>
        <v>0.41505810393659281</v>
      </c>
      <c r="M6" s="379">
        <f>'SAR and RAR'!N6</f>
        <v>0.38515733129766966</v>
      </c>
      <c r="N6" s="379">
        <f>'SAR and RAR'!O6</f>
        <v>0.36744260900642056</v>
      </c>
      <c r="O6" s="379">
        <f>'SAR and RAR'!P6</f>
        <v>0</v>
      </c>
      <c r="P6" s="379">
        <f>'SAR and RAR'!Q6</f>
        <v>1</v>
      </c>
      <c r="Q6" s="379">
        <f>'SAR and RAR'!R6</f>
        <v>0.46084548913967766</v>
      </c>
      <c r="R6" s="379">
        <f>'SAR and RAR'!S6</f>
        <v>0.38455103433060595</v>
      </c>
      <c r="S6" s="379">
        <f>'SAR and RAR'!T6</f>
        <v>0.32545723580989516</v>
      </c>
      <c r="T6" s="380">
        <f>'SAR and RAR'!U6</f>
        <v>0.44458003527111079</v>
      </c>
    </row>
    <row r="7" spans="1:27" ht="15.75">
      <c r="B7" s="185" t="s">
        <v>5</v>
      </c>
      <c r="C7" s="187">
        <f>'Hypothetical Summary'!D9</f>
        <v>0</v>
      </c>
      <c r="D7" s="1"/>
      <c r="F7" s="1"/>
      <c r="G7" s="152"/>
      <c r="H7" s="152"/>
      <c r="I7" s="152"/>
      <c r="J7" s="152"/>
      <c r="K7" s="152"/>
      <c r="L7" s="152"/>
      <c r="M7" s="152"/>
      <c r="N7" s="152"/>
      <c r="O7" s="86"/>
      <c r="P7" s="86"/>
      <c r="Q7" s="86"/>
      <c r="R7" s="86"/>
      <c r="S7" s="86"/>
      <c r="T7" s="153"/>
    </row>
    <row r="8" spans="1:27" ht="15.6" customHeight="1">
      <c r="B8" s="185" t="s">
        <v>98</v>
      </c>
      <c r="C8" s="187">
        <f>'Hypothetical Summary'!D10</f>
        <v>0</v>
      </c>
      <c r="D8" s="1"/>
      <c r="F8" s="87"/>
      <c r="G8" s="848" t="s">
        <v>160</v>
      </c>
      <c r="H8" s="849"/>
      <c r="I8" s="849"/>
      <c r="J8" s="849"/>
      <c r="K8" s="849"/>
      <c r="L8" s="849"/>
      <c r="M8" s="849"/>
      <c r="N8" s="849"/>
      <c r="O8" s="849"/>
      <c r="P8" s="849"/>
      <c r="Q8" s="849"/>
      <c r="R8" s="849"/>
      <c r="S8" s="849"/>
      <c r="T8" s="850"/>
    </row>
    <row r="9" spans="1:27" ht="15.75" customHeight="1">
      <c r="B9" s="185" t="s">
        <v>14</v>
      </c>
      <c r="C9" s="187">
        <f>'Hypothetical Summary'!D11</f>
        <v>0</v>
      </c>
      <c r="D9" s="1"/>
      <c r="F9" s="88" t="s">
        <v>217</v>
      </c>
      <c r="G9" s="300" t="s">
        <v>3</v>
      </c>
      <c r="H9" s="84" t="s">
        <v>372</v>
      </c>
      <c r="I9" s="84" t="s">
        <v>59</v>
      </c>
      <c r="J9" s="84" t="s">
        <v>5</v>
      </c>
      <c r="K9" s="84" t="s">
        <v>98</v>
      </c>
      <c r="L9" s="84" t="s">
        <v>14</v>
      </c>
      <c r="M9" s="84" t="s">
        <v>80</v>
      </c>
      <c r="N9" s="84" t="s">
        <v>99</v>
      </c>
      <c r="O9" s="84" t="s">
        <v>97</v>
      </c>
      <c r="P9" s="84" t="s">
        <v>78</v>
      </c>
      <c r="Q9" s="84" t="s">
        <v>10</v>
      </c>
      <c r="R9" s="84" t="s">
        <v>221</v>
      </c>
      <c r="S9" s="84" t="s">
        <v>87</v>
      </c>
      <c r="T9" s="301" t="s">
        <v>251</v>
      </c>
    </row>
    <row r="10" spans="1:27" ht="15.75">
      <c r="B10" s="185" t="s">
        <v>80</v>
      </c>
      <c r="C10" s="187">
        <f>'Hypothetical Summary'!D12</f>
        <v>0</v>
      </c>
      <c r="D10" s="1"/>
      <c r="F10" s="1" t="s">
        <v>145</v>
      </c>
      <c r="G10" s="521">
        <f>G6*G11</f>
        <v>0</v>
      </c>
      <c r="H10" s="89">
        <f>H6*H11</f>
        <v>0</v>
      </c>
      <c r="I10" s="89">
        <f t="shared" ref="I10:T10" si="0">I6*I11</f>
        <v>0</v>
      </c>
      <c r="J10" s="89">
        <f>J6*J11</f>
        <v>0</v>
      </c>
      <c r="K10" s="89">
        <f t="shared" si="0"/>
        <v>0</v>
      </c>
      <c r="L10" s="89">
        <f t="shared" si="0"/>
        <v>0</v>
      </c>
      <c r="M10" s="89">
        <f t="shared" si="0"/>
        <v>0</v>
      </c>
      <c r="N10" s="89">
        <f t="shared" si="0"/>
        <v>0</v>
      </c>
      <c r="O10" s="89">
        <f t="shared" si="0"/>
        <v>0</v>
      </c>
      <c r="P10" s="89">
        <f t="shared" si="0"/>
        <v>0</v>
      </c>
      <c r="Q10" s="89">
        <f t="shared" si="0"/>
        <v>0</v>
      </c>
      <c r="R10" s="89">
        <f>R6*R11</f>
        <v>0</v>
      </c>
      <c r="S10" s="89">
        <f t="shared" si="0"/>
        <v>0</v>
      </c>
      <c r="T10" s="522">
        <f t="shared" si="0"/>
        <v>0</v>
      </c>
      <c r="U10" s="89"/>
      <c r="V10" s="174"/>
    </row>
    <row r="11" spans="1:27" ht="15.75">
      <c r="B11" s="186" t="s">
        <v>99</v>
      </c>
      <c r="C11" s="187">
        <f>'Hypothetical Summary'!D13</f>
        <v>0</v>
      </c>
      <c r="D11" s="1"/>
      <c r="F11" s="1" t="s">
        <v>161</v>
      </c>
      <c r="G11" s="517">
        <f>C4</f>
        <v>0</v>
      </c>
      <c r="H11" s="527">
        <f>C5</f>
        <v>0</v>
      </c>
      <c r="I11" s="527">
        <f>C6</f>
        <v>0</v>
      </c>
      <c r="J11" s="527">
        <f>C7</f>
        <v>0</v>
      </c>
      <c r="K11" s="527">
        <f>C8</f>
        <v>0</v>
      </c>
      <c r="L11" s="527">
        <f>C9</f>
        <v>0</v>
      </c>
      <c r="M11" s="527">
        <f>C10</f>
        <v>0</v>
      </c>
      <c r="N11" s="527">
        <f>C11</f>
        <v>0</v>
      </c>
      <c r="O11" s="527">
        <f>C12</f>
        <v>0</v>
      </c>
      <c r="P11" s="527">
        <f>C17</f>
        <v>0</v>
      </c>
      <c r="Q11" s="527">
        <f>C14</f>
        <v>0</v>
      </c>
      <c r="R11" s="527">
        <f>C16</f>
        <v>0</v>
      </c>
      <c r="S11" s="527">
        <f>C15</f>
        <v>0</v>
      </c>
      <c r="T11" s="519">
        <f>C13</f>
        <v>0</v>
      </c>
      <c r="U11" s="89"/>
      <c r="V11" s="173"/>
    </row>
    <row r="12" spans="1:27" ht="15.75">
      <c r="B12" s="185" t="s">
        <v>97</v>
      </c>
      <c r="C12" s="187">
        <f>'Hypothetical Summary'!D14</f>
        <v>0</v>
      </c>
      <c r="D12" s="1"/>
      <c r="F12" s="88"/>
      <c r="U12" s="89"/>
    </row>
    <row r="13" spans="1:27" ht="15.75" customHeight="1">
      <c r="B13" s="185" t="s">
        <v>251</v>
      </c>
      <c r="C13" s="187">
        <f>'Hypothetical Summary'!D15</f>
        <v>0</v>
      </c>
      <c r="D13" s="1"/>
      <c r="F13" s="1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174"/>
    </row>
    <row r="14" spans="1:27" ht="15.75" customHeight="1">
      <c r="B14" s="185" t="s">
        <v>10</v>
      </c>
      <c r="C14" s="187">
        <f>'Hypothetical Summary'!D16</f>
        <v>0</v>
      </c>
      <c r="D14" s="1"/>
      <c r="F14" s="1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89"/>
      <c r="V14" s="173"/>
    </row>
    <row r="15" spans="1:27" ht="15.75" customHeight="1">
      <c r="B15" s="185" t="s">
        <v>87</v>
      </c>
      <c r="C15" s="187">
        <f>'Hypothetical Summary'!D17</f>
        <v>0</v>
      </c>
      <c r="D15" s="1"/>
      <c r="F15" s="1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89"/>
      <c r="V15" s="173"/>
    </row>
    <row r="16" spans="1:27" ht="15.75">
      <c r="B16" s="185" t="s">
        <v>221</v>
      </c>
      <c r="C16" s="187">
        <f>'Hypothetical Summary'!D18</f>
        <v>0</v>
      </c>
      <c r="D16" s="1"/>
      <c r="F16" s="191"/>
      <c r="G16" s="39"/>
      <c r="H16" s="39"/>
      <c r="I16" s="39"/>
      <c r="J16" s="39"/>
      <c r="K16" s="87"/>
      <c r="Z16" s="1"/>
      <c r="AA16" s="92" t="s">
        <v>217</v>
      </c>
    </row>
    <row r="17" spans="2:29" ht="15.75">
      <c r="B17" s="185" t="s">
        <v>78</v>
      </c>
      <c r="C17" s="190">
        <f>'Hypothetical Summary'!D19</f>
        <v>0</v>
      </c>
      <c r="D17" s="1"/>
      <c r="G17" s="515"/>
      <c r="H17" s="516"/>
      <c r="I17" s="516"/>
      <c r="J17" s="516"/>
      <c r="K17" s="516"/>
      <c r="L17" s="516"/>
      <c r="M17" s="516"/>
      <c r="N17" s="516"/>
      <c r="O17" s="516"/>
      <c r="P17" s="516"/>
      <c r="Q17" s="516"/>
      <c r="R17" s="516"/>
      <c r="S17" s="516"/>
      <c r="T17" s="516"/>
      <c r="U17" s="851" t="s">
        <v>258</v>
      </c>
      <c r="V17" s="852"/>
      <c r="W17" s="851" t="s">
        <v>259</v>
      </c>
      <c r="X17" s="852"/>
      <c r="Z17" s="93" t="s">
        <v>163</v>
      </c>
      <c r="AA17" s="166">
        <f>'SAR and RAR'!AD16</f>
        <v>0.19523472913777831</v>
      </c>
      <c r="AC17" s="167"/>
    </row>
    <row r="18" spans="2:29" ht="15.75">
      <c r="B18" s="1" t="s">
        <v>112</v>
      </c>
      <c r="C18" s="187">
        <f>SUM(C4:C17)</f>
        <v>0</v>
      </c>
      <c r="D18" s="1"/>
      <c r="F18" s="87"/>
      <c r="G18" s="853" t="s">
        <v>164</v>
      </c>
      <c r="H18" s="855"/>
      <c r="I18" s="855"/>
      <c r="J18" s="855"/>
      <c r="K18" s="855"/>
      <c r="L18" s="855"/>
      <c r="M18" s="855"/>
      <c r="N18" s="855"/>
      <c r="O18" s="855"/>
      <c r="P18" s="855"/>
      <c r="Q18" s="855"/>
      <c r="R18" s="855"/>
      <c r="S18" s="855"/>
      <c r="T18" s="854"/>
      <c r="U18" s="853" t="s">
        <v>165</v>
      </c>
      <c r="V18" s="854"/>
      <c r="W18" s="853" t="s">
        <v>165</v>
      </c>
      <c r="X18" s="854"/>
      <c r="Z18" s="93" t="s">
        <v>166</v>
      </c>
      <c r="AA18" s="85">
        <f>'SAR and RAR'!AD17</f>
        <v>0.35</v>
      </c>
    </row>
    <row r="19" spans="2:29" ht="31.5">
      <c r="B19" s="2"/>
      <c r="C19" s="187"/>
      <c r="D19" s="1"/>
      <c r="G19" s="300" t="s">
        <v>3</v>
      </c>
      <c r="H19" s="84" t="s">
        <v>372</v>
      </c>
      <c r="I19" s="84" t="s">
        <v>59</v>
      </c>
      <c r="J19" s="84" t="s">
        <v>5</v>
      </c>
      <c r="K19" s="84" t="s">
        <v>98</v>
      </c>
      <c r="L19" s="84" t="s">
        <v>14</v>
      </c>
      <c r="M19" s="84" t="s">
        <v>80</v>
      </c>
      <c r="N19" s="84" t="s">
        <v>99</v>
      </c>
      <c r="O19" s="84" t="s">
        <v>97</v>
      </c>
      <c r="P19" s="84" t="s">
        <v>78</v>
      </c>
      <c r="Q19" s="84" t="s">
        <v>10</v>
      </c>
      <c r="R19" s="84" t="s">
        <v>221</v>
      </c>
      <c r="S19" s="84" t="s">
        <v>87</v>
      </c>
      <c r="T19" s="84" t="s">
        <v>251</v>
      </c>
      <c r="U19" s="94" t="s">
        <v>112</v>
      </c>
      <c r="V19" s="20" t="s">
        <v>167</v>
      </c>
      <c r="W19" s="94" t="s">
        <v>112</v>
      </c>
      <c r="X19" s="528" t="s">
        <v>167</v>
      </c>
      <c r="Z19" s="1"/>
      <c r="AA19" s="1"/>
      <c r="AC19" s="98"/>
    </row>
    <row r="20" spans="2:29" ht="15.75">
      <c r="B20" s="2"/>
      <c r="C20" s="2"/>
      <c r="D20" s="1"/>
      <c r="E20" s="87"/>
      <c r="F20" s="1" t="s">
        <v>145</v>
      </c>
      <c r="G20" s="512">
        <v>1</v>
      </c>
      <c r="H20" s="513">
        <v>0</v>
      </c>
      <c r="I20" s="513">
        <v>1</v>
      </c>
      <c r="J20" s="513">
        <v>1</v>
      </c>
      <c r="K20" s="513">
        <v>1</v>
      </c>
      <c r="L20" s="513">
        <v>1</v>
      </c>
      <c r="M20" s="513">
        <v>1</v>
      </c>
      <c r="N20" s="513">
        <v>1</v>
      </c>
      <c r="O20" s="513">
        <v>1</v>
      </c>
      <c r="P20" s="513">
        <v>1</v>
      </c>
      <c r="Q20" s="513">
        <v>1</v>
      </c>
      <c r="R20" s="513">
        <v>1</v>
      </c>
      <c r="S20" s="513">
        <v>1</v>
      </c>
      <c r="T20" s="513">
        <v>0</v>
      </c>
      <c r="U20" s="95">
        <f>SUMPRODUCT(I10:S10,I20:S20)</f>
        <v>0</v>
      </c>
      <c r="V20" s="529">
        <f>U20</f>
        <v>0</v>
      </c>
      <c r="W20" s="95">
        <f>SUMPRODUCT(G10,G20)</f>
        <v>0</v>
      </c>
      <c r="X20" s="530">
        <f>W20</f>
        <v>0</v>
      </c>
      <c r="Z20" s="1"/>
      <c r="AA20" s="1"/>
    </row>
    <row r="21" spans="2:29" ht="15.75">
      <c r="B21" s="2" t="s">
        <v>245</v>
      </c>
      <c r="C21" s="224">
        <f>'SAR and RAR'!C20</f>
        <v>1E-3</v>
      </c>
      <c r="D21" s="224"/>
      <c r="F21" s="1" t="s">
        <v>161</v>
      </c>
      <c r="G21" s="378">
        <v>1</v>
      </c>
      <c r="H21" s="379">
        <v>0</v>
      </c>
      <c r="I21" s="379">
        <v>1</v>
      </c>
      <c r="J21" s="379">
        <v>1</v>
      </c>
      <c r="K21" s="379">
        <v>1</v>
      </c>
      <c r="L21" s="379">
        <v>1</v>
      </c>
      <c r="M21" s="379">
        <v>1</v>
      </c>
      <c r="N21" s="379">
        <v>1</v>
      </c>
      <c r="O21" s="379">
        <v>1</v>
      </c>
      <c r="P21" s="379">
        <v>1</v>
      </c>
      <c r="Q21" s="379">
        <v>1</v>
      </c>
      <c r="R21" s="379">
        <v>1</v>
      </c>
      <c r="S21" s="379">
        <v>1</v>
      </c>
      <c r="T21" s="379">
        <v>0</v>
      </c>
      <c r="U21" s="517">
        <f>SUMPRODUCT(I11:S11,I21:S21)</f>
        <v>0</v>
      </c>
      <c r="V21" s="531">
        <f>U21</f>
        <v>0</v>
      </c>
      <c r="W21" s="517">
        <f>SUMPRODUCT(G11,G21)</f>
        <v>0</v>
      </c>
      <c r="X21" s="532">
        <f>W21</f>
        <v>0</v>
      </c>
      <c r="Z21" s="202" t="s">
        <v>213</v>
      </c>
      <c r="AA21" s="192">
        <f>'SAR and RAR'!AD20</f>
        <v>0.32778680848344788</v>
      </c>
      <c r="AC21" s="1"/>
    </row>
    <row r="22" spans="2:29" ht="15.75">
      <c r="B22" s="2"/>
      <c r="C22" s="2"/>
      <c r="D22" s="1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T22" s="1"/>
      <c r="U22" s="108"/>
      <c r="Y22" s="1"/>
      <c r="Z22" s="1"/>
      <c r="AB22" s="168"/>
    </row>
    <row r="23" spans="2:29" ht="15.75">
      <c r="B23" s="2"/>
      <c r="C23" s="792" t="str">
        <f>'SAR and RAR'!C23</f>
        <v>2026 SALES DETERMINANTS</v>
      </c>
      <c r="D23" s="869"/>
      <c r="E23" s="793"/>
      <c r="F23" s="41"/>
      <c r="T23" s="83"/>
      <c r="U23" s="1"/>
      <c r="Z23" s="100"/>
    </row>
    <row r="24" spans="2:29" ht="31.5">
      <c r="B24" s="1"/>
      <c r="C24" s="83" t="s">
        <v>333</v>
      </c>
      <c r="D24" s="83" t="s">
        <v>334</v>
      </c>
      <c r="E24" s="83" t="s">
        <v>335</v>
      </c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93"/>
      <c r="U24" s="193"/>
      <c r="V24" s="1"/>
      <c r="W24" s="1"/>
      <c r="Y24" s="1"/>
      <c r="Z24" s="1"/>
    </row>
    <row r="25" spans="2:29" ht="15.75">
      <c r="B25" s="106" t="s">
        <v>145</v>
      </c>
      <c r="C25" s="226">
        <f>'SAR and RAR'!C25</f>
        <v>5529244.7570373612</v>
      </c>
      <c r="D25" s="226">
        <f>'SAR and RAR'!D25</f>
        <v>7311830.3174004499</v>
      </c>
      <c r="E25" s="4">
        <f>'SAR and RAR'!E25</f>
        <v>1313398.550759305</v>
      </c>
      <c r="F25" s="20"/>
      <c r="G25" s="101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193"/>
      <c r="U25" s="193"/>
      <c r="V25" s="102"/>
      <c r="W25" s="102"/>
      <c r="Y25" s="1"/>
      <c r="Z25" s="1"/>
    </row>
    <row r="26" spans="2:29" ht="15.75">
      <c r="B26" s="106" t="s">
        <v>161</v>
      </c>
      <c r="C26" s="226">
        <f>'SAR and RAR'!C26</f>
        <v>17431428.836032141</v>
      </c>
      <c r="D26" s="226">
        <f>'SAR and RAR'!D26</f>
        <v>19476455.216977414</v>
      </c>
      <c r="E26" s="4">
        <f>'SAR and RAR'!E26</f>
        <v>3218717.0926473755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103"/>
      <c r="U26" s="104"/>
      <c r="V26" s="104"/>
      <c r="W26" s="104"/>
      <c r="Y26" s="1"/>
      <c r="Z26" s="1"/>
    </row>
    <row r="27" spans="2:29" ht="15.75">
      <c r="B27" s="2"/>
      <c r="C27" s="2"/>
      <c r="E27" s="20"/>
      <c r="F27" s="840" t="s">
        <v>168</v>
      </c>
      <c r="G27" s="841"/>
      <c r="H27" s="841"/>
      <c r="I27" s="842"/>
      <c r="J27" s="2"/>
      <c r="K27" s="2"/>
      <c r="O27" s="1"/>
      <c r="P27" s="840" t="s">
        <v>169</v>
      </c>
      <c r="Q27" s="841"/>
      <c r="R27" s="841"/>
      <c r="S27" s="841"/>
      <c r="T27" s="842"/>
      <c r="U27" s="194"/>
      <c r="V27" s="1"/>
      <c r="W27" s="105"/>
      <c r="AA27" s="1"/>
      <c r="AB27" s="1"/>
    </row>
    <row r="28" spans="2:29" ht="63">
      <c r="B28" s="2"/>
      <c r="C28" s="2"/>
      <c r="E28" s="20"/>
      <c r="F28" s="83" t="str">
        <f>Summary!I3&amp;" Authorized Sales Forecast - Bundled"</f>
        <v>2027 Authorized Sales Forecast - Bundled</v>
      </c>
      <c r="G28" s="83" t="str">
        <f>'SAR and RAR'!H23</f>
        <v>8/1/2026 Avg Rates(sales adj.)</v>
      </c>
      <c r="H28" s="83" t="s">
        <v>218</v>
      </c>
      <c r="I28" s="83" t="s">
        <v>219</v>
      </c>
      <c r="J28" s="83"/>
      <c r="K28" s="83"/>
      <c r="O28" s="1"/>
      <c r="P28" s="83" t="str">
        <f>F28</f>
        <v>2027 Authorized Sales Forecast - Bundled</v>
      </c>
      <c r="Q28" s="83" t="str">
        <f>G28</f>
        <v>8/1/2026 Avg Rates(sales adj.)</v>
      </c>
      <c r="R28" s="83" t="s">
        <v>218</v>
      </c>
      <c r="S28" s="83" t="s">
        <v>219</v>
      </c>
      <c r="U28" s="83"/>
      <c r="V28" s="83"/>
      <c r="W28" s="105"/>
      <c r="Y28" s="52"/>
      <c r="Z28" s="398" t="str">
        <f>'SAR and RAR'!AC23</f>
        <v>6/1/2026</v>
      </c>
      <c r="AA28" s="398" t="str">
        <f>'SAR and RAR'!AD23</f>
        <v>8/1/2026</v>
      </c>
      <c r="AB28" s="398" t="str">
        <f>'SAR and RAR'!AE23</f>
        <v>6/1/2026</v>
      </c>
      <c r="AC28" s="398" t="str">
        <f>'SAR and RAR'!AF23</f>
        <v>8/1/2026</v>
      </c>
    </row>
    <row r="29" spans="2:29" ht="15.75">
      <c r="B29" s="2"/>
      <c r="C29" s="2"/>
      <c r="E29" s="20"/>
      <c r="F29" s="226">
        <f>'SAR and RAR'!G24</f>
        <v>1354543.9616701207</v>
      </c>
      <c r="G29" s="747">
        <f>IF('Hypothetical Summary'!$H$8="N",AC31,AA31)</f>
        <v>43.132000000000005</v>
      </c>
      <c r="H29" s="435">
        <f>(SUM($I10:$K10,$P10:$Q10,$S10)/(IF('Hypothetical Summary'!$D$2=2026,$C25,$C35))*100)+(SUM($K10:$O10,$R10)/(IF('Hypothetical Summary'!$D$2=2026,$D25,$D35))*100)+($G10/(IF('Hypothetical Summary'!$D$2=2026,$E25,$E35))*100)+G29</f>
        <v>43.132000000000005</v>
      </c>
      <c r="I29" s="408">
        <f>H29/G29-1</f>
        <v>0</v>
      </c>
      <c r="J29" s="107"/>
      <c r="K29" s="107"/>
      <c r="O29" s="106" t="s">
        <v>145</v>
      </c>
      <c r="P29" s="97">
        <f>'SAR and RAR'!R24</f>
        <v>5701842.6252899971</v>
      </c>
      <c r="Q29" s="748">
        <f>(('SDG&amp;E INPUTS'!L43*$T$6)/($C25-$E25)*100)+(('SDG&amp;E INPUTS'!L42*$H$6)/($C25-$E25)*100)+G29</f>
        <v>46.626331046727124</v>
      </c>
      <c r="R29" s="435">
        <f>H29+($Q29-$G29)+($H10/((IF('Hypothetical Summary'!$D$2=2026,$C25,$C35))-(IF('Hypothetical Summary'!$D$2=2026,$E25,$E35)))*100)+($T10/((IF('Hypothetical Summary'!$D$2=2026,$C25,$C35))-(IF('Hypothetical Summary'!$D$2=2026,$E25,$E35)))*100)</f>
        <v>46.626331046727124</v>
      </c>
      <c r="S29" s="408">
        <f>R29/Q29-1</f>
        <v>0</v>
      </c>
      <c r="U29" s="107"/>
      <c r="V29" s="107"/>
      <c r="W29" s="105"/>
      <c r="Y29" s="52"/>
      <c r="Z29" s="791" t="s">
        <v>421</v>
      </c>
      <c r="AA29" s="791"/>
      <c r="AB29" s="791" t="s">
        <v>420</v>
      </c>
      <c r="AC29" s="791"/>
    </row>
    <row r="30" spans="2:29" ht="15.75">
      <c r="B30" s="2"/>
      <c r="C30" s="2"/>
      <c r="E30" s="20"/>
      <c r="F30" s="226">
        <f>'SAR and RAR'!G25</f>
        <v>3056061.0825226498</v>
      </c>
      <c r="G30" s="747">
        <f>IF('Hypothetical Summary'!$H$8="N",AC32,AA32)</f>
        <v>39.259</v>
      </c>
      <c r="H30" s="435">
        <f>(SUM($I11:$J11,$P11:$Q11,$S11)/(IF('Hypothetical Summary'!$D$2=2026,$C26,$C36))*100)+(SUM($K11:$O11,$R11)/(IF('Hypothetical Summary'!$D$2=2026,$D26,$D36))*100)+($G11/(IF('Hypothetical Summary'!$D$2=2026,$E26,$E36))*100)+G30</f>
        <v>39.259</v>
      </c>
      <c r="I30" s="408">
        <f>H30/G30-1</f>
        <v>0</v>
      </c>
      <c r="J30" s="107"/>
      <c r="K30" s="107"/>
      <c r="O30" s="106" t="s">
        <v>161</v>
      </c>
      <c r="P30" s="97">
        <f>'SAR and RAR'!R25</f>
        <v>17519483.354244851</v>
      </c>
      <c r="Q30" s="748">
        <f>('SDG&amp;E INPUTS'!L41/($C26-$E26)*100)+G30</f>
        <v>41.591672408872029</v>
      </c>
      <c r="R30" s="435">
        <f>H30+($Q30-$G30)+($T11/((IF('Hypothetical Summary'!$D$2=2026,$C26,$C36))-(IF('Hypothetical Summary'!$D$2=2026,$E26,$E36)))*100)+($H11/((IF('Hypothetical Summary'!$D$2=2026,$C26,$C36))-(IF('Hypothetical Summary'!$D$2=2026,$E26,$E36)))*100)</f>
        <v>41.591672408872029</v>
      </c>
      <c r="S30" s="408">
        <f>R30/Q30-1</f>
        <v>0</v>
      </c>
      <c r="U30" s="107"/>
      <c r="V30" s="107"/>
      <c r="W30" s="109"/>
      <c r="Y30" s="52" t="s">
        <v>335</v>
      </c>
      <c r="Z30" s="52"/>
      <c r="AA30" s="52"/>
      <c r="AB30" s="52"/>
      <c r="AC30" s="52"/>
    </row>
    <row r="31" spans="2:29" ht="15.75">
      <c r="B31" s="2"/>
      <c r="C31" s="2"/>
      <c r="E31" s="20"/>
      <c r="R31" s="1"/>
      <c r="S31" s="1"/>
      <c r="T31" s="103"/>
      <c r="U31" s="104"/>
      <c r="V31" s="103"/>
      <c r="W31" s="105"/>
      <c r="Y31" s="52" t="s">
        <v>145</v>
      </c>
      <c r="Z31" s="401">
        <f>'SAR and RAR'!AC26</f>
        <v>42.963999999999999</v>
      </c>
      <c r="AA31" s="401">
        <f>'SAR and RAR'!AD26</f>
        <v>43.132000000000005</v>
      </c>
      <c r="AB31" s="401">
        <f>'SAR and RAR'!AE26</f>
        <v>45.481000000000002</v>
      </c>
      <c r="AC31" s="401">
        <f>'SAR and RAR'!AF26</f>
        <v>45.649000000000001</v>
      </c>
    </row>
    <row r="32" spans="2:29" ht="15.75">
      <c r="R32" s="1"/>
      <c r="S32" s="1"/>
      <c r="T32" s="103"/>
      <c r="U32" s="104"/>
      <c r="V32" s="103"/>
      <c r="W32" s="109"/>
      <c r="X32" s="109"/>
      <c r="Y32" s="52" t="s">
        <v>161</v>
      </c>
      <c r="Z32" s="401">
        <f>'SAR and RAR'!AC27</f>
        <v>38.957000000000001</v>
      </c>
      <c r="AA32" s="401">
        <f>'SAR and RAR'!AD27</f>
        <v>39.259</v>
      </c>
      <c r="AB32" s="401">
        <f>'SAR and RAR'!AE27</f>
        <v>39.811999999999998</v>
      </c>
      <c r="AC32" s="401">
        <f>'SAR and RAR'!AF27</f>
        <v>40.114000000000004</v>
      </c>
    </row>
    <row r="33" spans="2:25" ht="15.75">
      <c r="C33" s="792" t="str">
        <f>'SAR and RAR'!C36</f>
        <v>2027 ERRA FORECAST</v>
      </c>
      <c r="D33" s="869"/>
      <c r="E33" s="793"/>
      <c r="F33" s="271"/>
      <c r="G33" s="271"/>
      <c r="H33" s="271"/>
      <c r="I33" s="20"/>
      <c r="J33" s="20"/>
      <c r="K33" s="20"/>
      <c r="L33" s="1"/>
      <c r="M33" s="1"/>
      <c r="N33" s="1"/>
      <c r="O33" s="1"/>
      <c r="P33" s="1"/>
      <c r="Q33" s="1"/>
      <c r="R33" s="1"/>
      <c r="S33" s="1"/>
      <c r="T33" s="103"/>
      <c r="U33" s="104"/>
      <c r="V33" s="103"/>
      <c r="W33" s="109"/>
      <c r="X33" s="109"/>
      <c r="Y33" s="105"/>
    </row>
    <row r="34" spans="2:25" ht="31.5">
      <c r="B34" s="1"/>
      <c r="C34" s="83" t="s">
        <v>333</v>
      </c>
      <c r="D34" s="83" t="s">
        <v>334</v>
      </c>
      <c r="E34" s="83" t="s">
        <v>335</v>
      </c>
      <c r="F34" s="83"/>
      <c r="G34" s="83"/>
      <c r="H34" s="297"/>
      <c r="I34" s="20"/>
      <c r="J34" s="20"/>
      <c r="K34" s="20"/>
      <c r="L34" s="1"/>
      <c r="M34" s="1"/>
      <c r="N34" s="1"/>
      <c r="O34" s="1"/>
      <c r="P34" s="1"/>
      <c r="Q34" s="407"/>
      <c r="R34" s="1"/>
      <c r="S34" s="1"/>
      <c r="T34" s="103"/>
      <c r="U34" s="104"/>
      <c r="V34" s="103"/>
      <c r="W34" s="105"/>
      <c r="X34" s="109"/>
      <c r="Y34" s="105"/>
    </row>
    <row r="35" spans="2:25" ht="15.75">
      <c r="B35" s="106" t="s">
        <v>145</v>
      </c>
      <c r="C35" s="293">
        <f>'SAR and RAR'!C38</f>
        <v>5701842.6252899971</v>
      </c>
      <c r="D35" s="293">
        <f>'SAR and RAR'!D38</f>
        <v>7567850.4838881912</v>
      </c>
      <c r="E35" s="4">
        <f>'SAR and RAR'!E38</f>
        <v>1354543.9616701207</v>
      </c>
      <c r="F35" s="3"/>
      <c r="G35" s="4"/>
      <c r="H35" s="5"/>
      <c r="I35" s="20"/>
      <c r="J35" s="20"/>
      <c r="K35" s="20"/>
      <c r="L35" s="1"/>
      <c r="M35" s="1"/>
      <c r="N35" s="1"/>
      <c r="O35" s="1"/>
      <c r="P35" s="1"/>
      <c r="Q35" s="1"/>
      <c r="R35" s="1"/>
      <c r="S35" s="1"/>
      <c r="T35" s="103"/>
      <c r="U35" s="104"/>
      <c r="V35" s="104"/>
      <c r="W35" s="102"/>
      <c r="X35" s="109"/>
      <c r="Y35" s="105"/>
    </row>
    <row r="36" spans="2:25" ht="15.75">
      <c r="B36" s="106" t="s">
        <v>161</v>
      </c>
      <c r="C36" s="293">
        <f>'SAR and RAR'!C39</f>
        <v>17519483.354244851</v>
      </c>
      <c r="D36" s="293">
        <f>'SAR and RAR'!D39</f>
        <v>19648724.998666488</v>
      </c>
      <c r="E36" s="4">
        <f>'SAR and RAR'!E39</f>
        <v>3056061.0825226498</v>
      </c>
      <c r="F36" s="3"/>
      <c r="G36" s="4"/>
      <c r="H36" s="5"/>
      <c r="I36" s="20"/>
      <c r="J36" s="20"/>
      <c r="K36" s="20"/>
      <c r="L36" s="1"/>
      <c r="M36" s="1"/>
      <c r="N36" s="1"/>
      <c r="O36" s="1"/>
      <c r="P36" s="1"/>
      <c r="Q36" s="1"/>
      <c r="R36" s="1"/>
      <c r="S36" s="1"/>
      <c r="T36" s="103"/>
      <c r="U36" s="104"/>
      <c r="V36" s="103"/>
      <c r="W36" s="105"/>
      <c r="X36" s="109"/>
      <c r="Y36" s="109"/>
    </row>
    <row r="37" spans="2:25" ht="15.75">
      <c r="E37" s="1"/>
      <c r="F37" s="3"/>
      <c r="G37" s="4"/>
      <c r="H37" s="5"/>
      <c r="I37" s="20"/>
      <c r="J37" s="20"/>
      <c r="K37" s="20"/>
      <c r="L37" s="1"/>
      <c r="M37" s="1"/>
      <c r="N37" s="1"/>
      <c r="O37" s="1"/>
      <c r="P37" s="1"/>
      <c r="Q37" s="1"/>
      <c r="R37" s="1"/>
      <c r="S37" s="1"/>
      <c r="T37" s="103"/>
      <c r="U37" s="104"/>
      <c r="V37" s="104"/>
      <c r="W37" s="104"/>
      <c r="X37" s="104"/>
      <c r="Y37" s="105"/>
    </row>
    <row r="38" spans="2:25" ht="15.75">
      <c r="E38" s="1"/>
      <c r="F38" s="3"/>
      <c r="G38" s="4"/>
      <c r="H38" s="5"/>
      <c r="I38" s="20"/>
      <c r="J38" s="20"/>
      <c r="K38" s="20"/>
      <c r="L38" s="1"/>
      <c r="M38" s="1"/>
      <c r="N38" s="1"/>
      <c r="O38" s="1"/>
      <c r="P38" s="1"/>
      <c r="Q38" s="1"/>
      <c r="R38" s="1"/>
      <c r="S38" s="1"/>
      <c r="T38" s="103"/>
      <c r="U38" s="843"/>
      <c r="V38" s="843"/>
      <c r="W38" s="104"/>
      <c r="X38" s="109"/>
      <c r="Y38" s="104"/>
    </row>
    <row r="39" spans="2:25" ht="15.75">
      <c r="E39" s="1"/>
      <c r="F39" s="3"/>
      <c r="G39" s="4"/>
      <c r="H39" s="5"/>
      <c r="I39" s="20"/>
      <c r="J39" s="20"/>
      <c r="K39" s="20"/>
      <c r="L39" s="1"/>
      <c r="M39" s="1"/>
      <c r="N39" s="1"/>
      <c r="O39" s="1"/>
      <c r="P39" s="1"/>
      <c r="Q39" s="1"/>
      <c r="R39" s="1"/>
      <c r="S39" s="1"/>
      <c r="T39" s="103"/>
      <c r="U39" s="104"/>
      <c r="V39" s="103"/>
      <c r="W39" s="109"/>
      <c r="X39" s="105"/>
      <c r="Y39" s="105"/>
    </row>
    <row r="40" spans="2:25" ht="15.75">
      <c r="B40" s="2"/>
      <c r="C40" s="2"/>
      <c r="E40" s="1"/>
      <c r="F40" s="3"/>
      <c r="G40" s="4"/>
      <c r="H40" s="5"/>
      <c r="I40" s="20"/>
      <c r="J40" s="20"/>
      <c r="K40" s="20"/>
      <c r="L40" s="1"/>
      <c r="M40" s="1"/>
      <c r="N40" s="1"/>
      <c r="O40" s="1"/>
      <c r="P40" s="1"/>
      <c r="Q40" s="1"/>
      <c r="R40" s="1"/>
      <c r="S40" s="1"/>
      <c r="T40" s="103"/>
      <c r="U40" s="104"/>
      <c r="V40" s="103"/>
      <c r="W40" s="109"/>
      <c r="X40" s="109"/>
      <c r="Y40" s="105"/>
    </row>
    <row r="41" spans="2:25" ht="15.75">
      <c r="B41" s="2"/>
      <c r="C41" s="2"/>
      <c r="E41" s="1"/>
      <c r="F41" s="3"/>
      <c r="G41" s="4"/>
      <c r="H41" s="5"/>
      <c r="I41" s="20"/>
      <c r="J41" s="20"/>
      <c r="K41" s="20"/>
      <c r="L41" s="1"/>
      <c r="M41" s="1"/>
      <c r="N41" s="1"/>
      <c r="O41" s="1"/>
      <c r="P41" s="1"/>
      <c r="Q41" s="1"/>
      <c r="R41" s="1"/>
      <c r="S41" s="1"/>
      <c r="T41" s="103"/>
      <c r="U41" s="104"/>
      <c r="V41" s="103"/>
      <c r="W41" s="109"/>
      <c r="X41" s="109"/>
      <c r="Y41" s="109"/>
    </row>
    <row r="42" spans="2:25" ht="15.75">
      <c r="B42" s="2"/>
      <c r="C42" s="2"/>
      <c r="E42" s="1"/>
      <c r="F42" s="20"/>
      <c r="G42" s="20"/>
      <c r="H42" s="20"/>
      <c r="I42" s="20"/>
      <c r="J42" s="20"/>
      <c r="K42" s="20"/>
      <c r="L42" s="1"/>
      <c r="M42" s="1"/>
      <c r="N42" s="1"/>
      <c r="O42" s="1"/>
      <c r="P42" s="1"/>
      <c r="Q42" s="1"/>
      <c r="R42" s="1"/>
      <c r="S42" s="1"/>
      <c r="T42" s="103"/>
      <c r="U42" s="104"/>
      <c r="V42" s="103"/>
      <c r="W42" s="109"/>
      <c r="X42" s="105"/>
      <c r="Y42" s="105"/>
    </row>
    <row r="43" spans="2:25" ht="15.75">
      <c r="B43" s="2"/>
      <c r="C43" s="2"/>
      <c r="D43" s="1"/>
      <c r="E43" s="1"/>
      <c r="F43" s="20"/>
      <c r="G43" s="20"/>
      <c r="H43" s="20"/>
      <c r="I43" s="20"/>
      <c r="J43" s="20"/>
      <c r="K43" s="20"/>
      <c r="L43" s="1"/>
      <c r="M43" s="1"/>
      <c r="N43" s="1"/>
      <c r="O43" s="1"/>
      <c r="P43" s="1"/>
      <c r="Q43" s="1"/>
      <c r="R43" s="1"/>
      <c r="S43" s="1"/>
      <c r="T43" s="103"/>
      <c r="U43" s="104"/>
      <c r="V43" s="103"/>
      <c r="W43" s="109"/>
      <c r="X43" s="102"/>
      <c r="Y43" s="105"/>
    </row>
    <row r="44" spans="2:25" ht="15.75">
      <c r="B44" s="2"/>
      <c r="C44" s="2"/>
      <c r="D44" s="1"/>
      <c r="E44" s="1"/>
      <c r="F44" s="20"/>
      <c r="G44" s="20"/>
      <c r="H44" s="20"/>
      <c r="I44" s="20"/>
      <c r="J44" s="20"/>
      <c r="K44" s="20"/>
      <c r="L44" s="1"/>
      <c r="M44" s="1"/>
      <c r="N44" s="1"/>
      <c r="O44" s="1"/>
      <c r="P44" s="1"/>
      <c r="Q44" s="1"/>
      <c r="R44" s="1"/>
      <c r="S44" s="1"/>
      <c r="T44" s="103"/>
      <c r="U44" s="104"/>
      <c r="V44" s="103"/>
      <c r="W44" s="109"/>
      <c r="X44" s="105"/>
      <c r="Y44" s="102"/>
    </row>
    <row r="45" spans="2:25" ht="15.75">
      <c r="B45" s="2"/>
      <c r="C45" s="2"/>
      <c r="D45" s="1"/>
      <c r="E45" s="1"/>
      <c r="F45" s="20"/>
      <c r="G45" s="20"/>
      <c r="H45" s="20"/>
      <c r="I45" s="20"/>
      <c r="J45" s="20"/>
      <c r="K45" s="20"/>
      <c r="L45" s="1"/>
      <c r="M45" s="1"/>
      <c r="N45" s="1"/>
      <c r="O45" s="1"/>
      <c r="P45" s="1"/>
      <c r="Q45" s="1"/>
      <c r="R45" s="1"/>
      <c r="S45" s="1"/>
      <c r="T45" s="103"/>
      <c r="U45" s="104"/>
      <c r="V45" s="104"/>
      <c r="W45" s="102"/>
      <c r="X45" s="104"/>
      <c r="Y45" s="105"/>
    </row>
    <row r="46" spans="2:25" ht="15.75">
      <c r="B46" s="2"/>
      <c r="C46" s="2"/>
      <c r="D46" s="1"/>
      <c r="E46" s="1"/>
      <c r="F46" s="20"/>
      <c r="G46" s="20"/>
      <c r="H46" s="20"/>
      <c r="I46" s="20"/>
      <c r="J46" s="20"/>
      <c r="K46" s="20"/>
      <c r="L46" s="1"/>
      <c r="M46" s="1"/>
      <c r="N46" s="1"/>
      <c r="O46" s="1"/>
      <c r="P46" s="1"/>
      <c r="Q46" s="1"/>
      <c r="R46" s="1"/>
      <c r="S46" s="1"/>
      <c r="T46" s="103"/>
      <c r="U46" s="104"/>
      <c r="V46" s="103"/>
      <c r="W46" s="109"/>
      <c r="X46" s="104"/>
      <c r="Y46" s="104"/>
    </row>
    <row r="47" spans="2:25" ht="15.75">
      <c r="B47" s="2"/>
      <c r="C47" s="2"/>
      <c r="D47" s="1"/>
      <c r="E47" s="1"/>
      <c r="F47" s="20"/>
      <c r="G47" s="20"/>
      <c r="H47" s="20"/>
      <c r="I47" s="20"/>
      <c r="J47" s="20"/>
      <c r="K47" s="20"/>
      <c r="L47" s="1"/>
      <c r="M47" s="1"/>
      <c r="N47" s="1"/>
      <c r="O47" s="1"/>
      <c r="P47" s="1"/>
      <c r="Q47" s="1"/>
      <c r="R47" s="1"/>
      <c r="S47" s="1"/>
      <c r="T47" s="103"/>
      <c r="U47" s="104"/>
      <c r="V47" s="104"/>
      <c r="W47" s="104"/>
      <c r="X47" s="105"/>
      <c r="Y47" s="104"/>
    </row>
    <row r="48" spans="2:25" ht="15.75">
      <c r="B48" s="2"/>
      <c r="C48" s="2"/>
      <c r="D48" s="1"/>
      <c r="E48" s="1"/>
      <c r="F48" s="20"/>
      <c r="G48" s="20"/>
      <c r="H48" s="20"/>
      <c r="I48" s="20"/>
      <c r="J48" s="20"/>
      <c r="K48" s="20"/>
      <c r="L48" s="1"/>
      <c r="M48" s="1"/>
      <c r="N48" s="1"/>
      <c r="O48" s="1"/>
      <c r="P48" s="1"/>
      <c r="Q48" s="1"/>
      <c r="R48" s="1"/>
      <c r="S48" s="1"/>
      <c r="T48" s="103"/>
      <c r="U48" s="843"/>
      <c r="V48" s="843"/>
      <c r="W48" s="104"/>
      <c r="X48" s="105"/>
      <c r="Y48" s="105"/>
    </row>
    <row r="49" spans="2:25" ht="15.75">
      <c r="B49" s="2"/>
      <c r="C49" s="2"/>
      <c r="D49" s="1"/>
      <c r="E49" s="1"/>
      <c r="F49" s="20"/>
      <c r="G49" s="20"/>
      <c r="H49" s="20"/>
      <c r="I49" s="20"/>
      <c r="J49" s="20"/>
      <c r="K49" s="20"/>
      <c r="L49" s="1"/>
      <c r="M49" s="1"/>
      <c r="N49" s="1"/>
      <c r="O49" s="1"/>
      <c r="P49" s="1"/>
      <c r="Q49" s="1"/>
      <c r="R49" s="1"/>
      <c r="S49" s="1"/>
      <c r="T49" s="103"/>
      <c r="U49" s="104"/>
      <c r="V49" s="103"/>
      <c r="W49" s="109"/>
      <c r="X49" s="105"/>
      <c r="Y49" s="105"/>
    </row>
    <row r="50" spans="2:25" ht="15.75">
      <c r="B50" s="2"/>
      <c r="C50" s="2"/>
      <c r="D50" s="1"/>
      <c r="E50" s="1"/>
      <c r="F50" s="20"/>
      <c r="G50" s="20"/>
      <c r="H50" s="20"/>
      <c r="I50" s="20"/>
      <c r="J50" s="20"/>
      <c r="K50" s="20"/>
      <c r="L50" s="1"/>
      <c r="M50" s="1"/>
      <c r="N50" s="1"/>
      <c r="O50" s="1"/>
      <c r="P50" s="1"/>
      <c r="Q50" s="1"/>
      <c r="R50" s="1"/>
      <c r="S50" s="1"/>
      <c r="T50" s="103"/>
      <c r="U50" s="104"/>
      <c r="V50" s="103"/>
      <c r="W50" s="109"/>
      <c r="X50" s="109"/>
      <c r="Y50" s="105"/>
    </row>
    <row r="51" spans="2:25" ht="15.75">
      <c r="B51" s="2"/>
      <c r="C51" s="2"/>
      <c r="D51" s="1"/>
      <c r="E51" s="1"/>
      <c r="F51" s="20"/>
      <c r="G51" s="20"/>
      <c r="H51" s="20"/>
      <c r="I51" s="20"/>
      <c r="J51" s="20"/>
      <c r="K51" s="20"/>
      <c r="L51" s="1"/>
      <c r="M51" s="1"/>
      <c r="N51" s="1"/>
      <c r="O51" s="1"/>
      <c r="P51" s="1"/>
      <c r="Q51" s="1"/>
      <c r="R51" s="1"/>
      <c r="S51" s="1"/>
      <c r="T51" s="103"/>
      <c r="U51" s="104"/>
      <c r="V51" s="104"/>
      <c r="W51" s="102"/>
      <c r="X51" s="109"/>
      <c r="Y51" s="105"/>
    </row>
    <row r="52" spans="2:25" ht="15.75">
      <c r="B52" s="2"/>
      <c r="C52" s="2"/>
      <c r="D52" s="1"/>
      <c r="E52" s="1"/>
      <c r="F52" s="20"/>
      <c r="G52" s="20"/>
      <c r="H52" s="20"/>
      <c r="I52" s="20"/>
      <c r="J52" s="20"/>
      <c r="K52" s="20"/>
      <c r="L52" s="1"/>
      <c r="M52" s="1"/>
      <c r="N52" s="1"/>
      <c r="O52" s="1"/>
      <c r="P52" s="1"/>
      <c r="Q52" s="1"/>
      <c r="R52" s="1"/>
      <c r="S52" s="1"/>
      <c r="T52" s="103"/>
      <c r="U52" s="104"/>
      <c r="V52" s="103"/>
      <c r="W52" s="109"/>
      <c r="X52" s="105"/>
      <c r="Y52" s="105"/>
    </row>
    <row r="53" spans="2:25" ht="15.75">
      <c r="B53" s="2"/>
      <c r="C53" s="2"/>
      <c r="D53" s="1"/>
      <c r="E53" s="1"/>
      <c r="F53" s="20"/>
      <c r="G53" s="20"/>
      <c r="H53" s="20"/>
      <c r="I53" s="20"/>
      <c r="J53" s="20"/>
      <c r="K53" s="20"/>
      <c r="L53" s="1"/>
      <c r="M53" s="1"/>
      <c r="N53" s="1"/>
      <c r="O53" s="1"/>
      <c r="P53" s="1"/>
      <c r="Q53" s="1"/>
      <c r="R53" s="1"/>
      <c r="S53" s="1"/>
      <c r="T53" s="103"/>
      <c r="U53" s="104"/>
      <c r="V53" s="104"/>
      <c r="W53" s="104"/>
      <c r="X53" s="102"/>
      <c r="Y53" s="105"/>
    </row>
    <row r="54" spans="2:25" ht="15.75">
      <c r="B54" s="2"/>
      <c r="C54" s="2"/>
      <c r="D54" s="1"/>
      <c r="E54" s="1"/>
      <c r="F54" s="20"/>
      <c r="G54" s="20"/>
      <c r="H54" s="20"/>
      <c r="I54" s="20"/>
      <c r="J54" s="20"/>
      <c r="K54" s="20"/>
      <c r="L54" s="1"/>
      <c r="M54" s="1"/>
      <c r="N54" s="1"/>
      <c r="O54" s="1"/>
      <c r="P54" s="1"/>
      <c r="Q54" s="1"/>
      <c r="R54" s="1"/>
      <c r="S54" s="1"/>
      <c r="T54" s="103"/>
      <c r="U54" s="843"/>
      <c r="V54" s="843"/>
      <c r="W54" s="104"/>
      <c r="X54" s="105"/>
      <c r="Y54" s="102"/>
    </row>
    <row r="55" spans="2:25" ht="15.75">
      <c r="B55" s="2"/>
      <c r="C55" s="2"/>
      <c r="D55" s="1"/>
      <c r="E55" s="1"/>
      <c r="F55" s="20"/>
      <c r="G55" s="20"/>
      <c r="H55" s="20"/>
      <c r="I55" s="20"/>
      <c r="J55" s="20"/>
      <c r="K55" s="20"/>
      <c r="L55" s="1"/>
      <c r="M55" s="1"/>
      <c r="N55" s="1"/>
      <c r="O55" s="1"/>
      <c r="P55" s="1"/>
      <c r="Q55" s="1"/>
      <c r="R55" s="1"/>
      <c r="S55" s="1"/>
      <c r="T55" s="103"/>
      <c r="U55" s="104"/>
      <c r="V55" s="103"/>
      <c r="W55" s="109"/>
      <c r="X55" s="104"/>
      <c r="Y55" s="105"/>
    </row>
    <row r="56" spans="2:25" ht="15.75">
      <c r="B56" s="1"/>
      <c r="C56" s="1"/>
      <c r="D56" s="1"/>
      <c r="E56" s="1"/>
      <c r="F56" s="20"/>
      <c r="G56" s="20"/>
      <c r="H56" s="20"/>
      <c r="I56" s="20"/>
      <c r="J56" s="20"/>
      <c r="K56" s="20"/>
      <c r="L56" s="1"/>
      <c r="M56" s="1"/>
      <c r="N56" s="1"/>
      <c r="O56" s="1"/>
      <c r="P56" s="1"/>
      <c r="Q56" s="1"/>
      <c r="R56" s="1"/>
      <c r="S56" s="1"/>
      <c r="T56" s="103"/>
      <c r="U56" s="104"/>
      <c r="V56" s="103"/>
      <c r="W56" s="109"/>
      <c r="X56" s="104"/>
      <c r="Y56" s="104"/>
    </row>
    <row r="57" spans="2:25" ht="15.75">
      <c r="B57" s="1"/>
      <c r="C57" s="1"/>
      <c r="D57" s="1"/>
      <c r="E57" s="1"/>
      <c r="F57" s="20"/>
      <c r="G57" s="20"/>
      <c r="H57" s="20"/>
      <c r="I57" s="20"/>
      <c r="J57" s="20"/>
      <c r="K57" s="20"/>
      <c r="L57" s="1"/>
      <c r="M57" s="1"/>
      <c r="N57" s="1"/>
      <c r="O57" s="1"/>
      <c r="P57" s="1"/>
      <c r="Q57" s="1"/>
      <c r="R57" s="1"/>
      <c r="S57" s="1"/>
      <c r="T57" s="103"/>
      <c r="U57" s="104"/>
      <c r="V57" s="103"/>
      <c r="W57" s="105"/>
      <c r="X57" s="109"/>
      <c r="Y57" s="104"/>
    </row>
    <row r="58" spans="2:25" ht="15.75">
      <c r="B58" s="1"/>
      <c r="C58" s="1"/>
      <c r="D58" s="1"/>
      <c r="E58" s="1"/>
      <c r="F58" s="20"/>
      <c r="G58" s="20"/>
      <c r="H58" s="20"/>
      <c r="I58" s="20"/>
      <c r="J58" s="20"/>
      <c r="K58" s="20"/>
      <c r="L58" s="1"/>
      <c r="M58" s="1"/>
      <c r="N58" s="1"/>
      <c r="O58" s="1"/>
      <c r="P58" s="1"/>
      <c r="Q58" s="1"/>
      <c r="R58" s="1"/>
      <c r="S58" s="1"/>
      <c r="T58" s="103"/>
      <c r="U58" s="104"/>
      <c r="V58" s="103"/>
      <c r="W58" s="109"/>
      <c r="X58" s="109"/>
      <c r="Y58" s="105"/>
    </row>
    <row r="59" spans="2:25" ht="15.75">
      <c r="B59" s="1"/>
      <c r="C59" s="1"/>
      <c r="D59" s="1"/>
      <c r="E59" s="1"/>
      <c r="F59" s="20"/>
      <c r="G59" s="20"/>
      <c r="H59" s="20"/>
      <c r="I59" s="20"/>
      <c r="J59" s="20"/>
      <c r="K59" s="20"/>
      <c r="L59" s="1"/>
      <c r="M59" s="1"/>
      <c r="N59" s="1"/>
      <c r="O59" s="1"/>
      <c r="P59" s="1"/>
      <c r="Q59" s="1"/>
      <c r="R59" s="1"/>
      <c r="S59" s="1"/>
      <c r="T59" s="103"/>
      <c r="U59" s="104"/>
      <c r="V59" s="103"/>
      <c r="W59" s="109"/>
      <c r="X59" s="102"/>
      <c r="Y59" s="105"/>
    </row>
    <row r="60" spans="2:25" ht="15.75">
      <c r="B60" s="1"/>
      <c r="C60" s="1"/>
      <c r="D60" s="1"/>
      <c r="E60" s="1"/>
      <c r="F60" s="20"/>
      <c r="G60" s="20"/>
      <c r="H60" s="20"/>
      <c r="I60" s="20"/>
      <c r="J60" s="20"/>
      <c r="K60" s="20"/>
      <c r="L60" s="1"/>
      <c r="M60" s="1"/>
      <c r="N60" s="1"/>
      <c r="O60" s="1"/>
      <c r="P60" s="1"/>
      <c r="Q60" s="1"/>
      <c r="R60" s="1"/>
      <c r="S60" s="1"/>
      <c r="T60" s="103"/>
      <c r="U60" s="104"/>
      <c r="V60" s="104"/>
      <c r="W60" s="102"/>
      <c r="X60" s="109"/>
      <c r="Y60" s="102"/>
    </row>
    <row r="61" spans="2:25" ht="15.75">
      <c r="B61" s="1"/>
      <c r="C61" s="1"/>
      <c r="D61" s="1"/>
      <c r="E61" s="1"/>
      <c r="F61" s="20"/>
      <c r="G61" s="20"/>
      <c r="H61" s="20"/>
      <c r="I61" s="20"/>
      <c r="J61" s="20"/>
      <c r="K61" s="20"/>
      <c r="L61" s="1"/>
      <c r="M61" s="1"/>
      <c r="N61" s="1"/>
      <c r="O61" s="1"/>
      <c r="P61" s="1"/>
      <c r="Q61" s="1"/>
      <c r="R61" s="1"/>
      <c r="S61" s="1"/>
      <c r="T61" s="103"/>
      <c r="U61" s="104"/>
      <c r="V61" s="103"/>
      <c r="W61" s="105"/>
      <c r="X61" s="104"/>
      <c r="Y61" s="105"/>
    </row>
    <row r="62" spans="2:25" ht="15.75">
      <c r="B62" s="1"/>
      <c r="C62" s="1"/>
      <c r="D62" s="1"/>
      <c r="E62" s="1"/>
      <c r="F62" s="20"/>
      <c r="G62" s="20"/>
      <c r="H62" s="20"/>
      <c r="I62" s="20"/>
      <c r="J62" s="20"/>
      <c r="K62" s="20"/>
      <c r="L62" s="1"/>
      <c r="M62" s="1"/>
      <c r="N62" s="1"/>
      <c r="O62" s="1"/>
      <c r="P62" s="1"/>
      <c r="Q62" s="1"/>
      <c r="R62" s="1"/>
      <c r="S62" s="1"/>
      <c r="T62" s="103"/>
      <c r="U62" s="104"/>
      <c r="V62" s="104"/>
      <c r="W62" s="104"/>
      <c r="X62" s="104"/>
      <c r="Y62" s="104"/>
    </row>
    <row r="63" spans="2:25" ht="15.75">
      <c r="B63" s="1"/>
      <c r="C63" s="1"/>
      <c r="D63" s="1"/>
      <c r="E63" s="1"/>
      <c r="F63" s="20"/>
      <c r="G63" s="20"/>
      <c r="H63" s="20"/>
      <c r="I63" s="20"/>
      <c r="J63" s="20"/>
      <c r="K63" s="20"/>
      <c r="L63" s="1"/>
      <c r="M63" s="1"/>
      <c r="N63" s="1"/>
      <c r="O63" s="1"/>
      <c r="P63" s="1"/>
      <c r="Q63" s="1"/>
      <c r="R63" s="1"/>
      <c r="S63" s="1"/>
      <c r="T63" s="103"/>
      <c r="U63" s="104"/>
      <c r="V63" s="104"/>
      <c r="W63" s="104"/>
      <c r="X63" s="109"/>
      <c r="Y63" s="104"/>
    </row>
    <row r="64" spans="2:25" ht="15.75">
      <c r="B64" s="1"/>
      <c r="C64" s="1"/>
      <c r="D64" s="1"/>
      <c r="E64" s="1"/>
      <c r="F64" s="20"/>
      <c r="G64" s="20"/>
      <c r="H64" s="20"/>
      <c r="I64" s="20"/>
      <c r="J64" s="20"/>
      <c r="K64" s="20"/>
      <c r="L64" s="1"/>
      <c r="M64" s="1"/>
      <c r="N64" s="1"/>
      <c r="O64" s="1"/>
      <c r="P64" s="1"/>
      <c r="Q64" s="1"/>
      <c r="R64" s="1"/>
      <c r="S64" s="1"/>
      <c r="T64" s="103"/>
      <c r="U64" s="104"/>
      <c r="V64" s="103"/>
      <c r="W64" s="105"/>
      <c r="X64" s="109"/>
      <c r="Y64" s="105"/>
    </row>
    <row r="65" spans="2:25" ht="15.75">
      <c r="B65" s="1"/>
      <c r="C65" s="1"/>
      <c r="D65" s="1"/>
      <c r="E65" s="1"/>
      <c r="F65" s="20"/>
      <c r="G65" s="20"/>
      <c r="H65" s="20"/>
      <c r="I65" s="20"/>
      <c r="J65" s="20"/>
      <c r="K65" s="20"/>
      <c r="L65" s="1"/>
      <c r="M65" s="1"/>
      <c r="N65" s="1"/>
      <c r="O65" s="1"/>
      <c r="P65" s="1"/>
      <c r="Q65" s="1"/>
      <c r="R65" s="1"/>
      <c r="S65" s="1"/>
      <c r="T65" s="103"/>
      <c r="U65" s="104"/>
      <c r="V65" s="104"/>
      <c r="W65" s="102"/>
      <c r="X65" s="109"/>
      <c r="Y65" s="105"/>
    </row>
    <row r="66" spans="2:25" ht="15.75">
      <c r="B66" s="1"/>
      <c r="C66" s="1"/>
      <c r="D66" s="1"/>
      <c r="E66" s="1"/>
      <c r="F66" s="20"/>
      <c r="G66" s="20"/>
      <c r="H66" s="20"/>
      <c r="I66" s="20"/>
      <c r="J66" s="20"/>
      <c r="K66" s="20"/>
      <c r="L66" s="1"/>
      <c r="M66" s="1"/>
      <c r="N66" s="1"/>
      <c r="O66" s="1"/>
      <c r="P66" s="1"/>
      <c r="Q66" s="1"/>
      <c r="R66" s="1"/>
      <c r="S66" s="1"/>
      <c r="T66" s="103"/>
      <c r="U66" s="843"/>
      <c r="V66" s="843"/>
      <c r="W66" s="104"/>
      <c r="X66" s="109"/>
      <c r="Y66" s="105"/>
    </row>
    <row r="67" spans="2:25" ht="15.75">
      <c r="B67" s="1"/>
      <c r="C67" s="1"/>
      <c r="D67" s="1"/>
      <c r="E67" s="1"/>
      <c r="F67" s="20"/>
      <c r="G67" s="20"/>
      <c r="H67" s="20"/>
      <c r="I67" s="20"/>
      <c r="J67" s="20"/>
      <c r="K67" s="20"/>
      <c r="L67" s="1"/>
      <c r="M67" s="1"/>
      <c r="N67" s="1"/>
      <c r="O67" s="1"/>
      <c r="P67" s="1"/>
      <c r="Q67" s="1"/>
      <c r="R67" s="1"/>
      <c r="S67" s="1"/>
      <c r="T67" s="103"/>
      <c r="U67" s="104"/>
      <c r="V67" s="104"/>
      <c r="W67" s="104"/>
      <c r="X67" s="109"/>
      <c r="Y67" s="109"/>
    </row>
    <row r="68" spans="2:25" ht="15.75">
      <c r="B68" s="1"/>
      <c r="C68" s="1"/>
      <c r="D68" s="1"/>
      <c r="E68" s="1"/>
      <c r="F68" s="20"/>
      <c r="G68" s="20"/>
      <c r="H68" s="20"/>
      <c r="I68" s="20"/>
      <c r="J68" s="20"/>
      <c r="K68" s="20"/>
      <c r="L68" s="1"/>
      <c r="M68" s="1"/>
      <c r="N68" s="1"/>
      <c r="O68" s="1"/>
      <c r="P68" s="1"/>
      <c r="Q68" s="1"/>
      <c r="R68" s="1"/>
      <c r="S68" s="1"/>
      <c r="T68" s="103"/>
      <c r="U68" s="104"/>
      <c r="V68" s="103"/>
      <c r="W68" s="104"/>
      <c r="X68" s="102"/>
      <c r="Y68" s="109"/>
    </row>
    <row r="69" spans="2:25" ht="15.75">
      <c r="B69" s="1"/>
      <c r="C69" s="1"/>
      <c r="D69" s="1"/>
      <c r="E69" s="1"/>
      <c r="F69" s="20"/>
      <c r="G69" s="20"/>
      <c r="H69" s="20"/>
      <c r="I69" s="20"/>
      <c r="J69" s="20"/>
      <c r="K69" s="20"/>
      <c r="L69" s="1"/>
      <c r="M69" s="1"/>
      <c r="N69" s="1"/>
      <c r="O69" s="1"/>
      <c r="P69" s="1"/>
      <c r="Q69" s="1"/>
      <c r="R69" s="1"/>
      <c r="S69" s="1"/>
      <c r="T69" s="103"/>
      <c r="U69" s="104"/>
      <c r="V69" s="104"/>
      <c r="W69" s="102"/>
      <c r="X69" s="109"/>
      <c r="Y69" s="102"/>
    </row>
    <row r="70" spans="2:25" ht="15.75">
      <c r="B70" s="1"/>
      <c r="C70" s="1"/>
      <c r="D70" s="1"/>
      <c r="E70" s="1"/>
      <c r="F70" s="20"/>
      <c r="G70" s="20"/>
      <c r="H70" s="20"/>
      <c r="I70" s="20"/>
      <c r="J70" s="20"/>
      <c r="K70" s="20"/>
      <c r="L70" s="1"/>
      <c r="M70" s="1"/>
      <c r="N70" s="1"/>
      <c r="O70" s="1"/>
      <c r="P70" s="1"/>
      <c r="Q70" s="1"/>
      <c r="R70" s="1"/>
      <c r="S70" s="1"/>
      <c r="T70" s="103"/>
      <c r="U70" s="104"/>
      <c r="V70" s="103"/>
      <c r="W70" s="104"/>
      <c r="X70" s="104"/>
      <c r="Y70" s="105"/>
    </row>
    <row r="71" spans="2:25" ht="15.75">
      <c r="B71" s="1"/>
      <c r="C71" s="1"/>
      <c r="D71" s="1"/>
      <c r="E71" s="1"/>
      <c r="F71" s="20"/>
      <c r="G71" s="20"/>
      <c r="H71" s="20"/>
      <c r="I71" s="20"/>
      <c r="J71" s="20"/>
      <c r="K71" s="20"/>
      <c r="L71" s="1"/>
      <c r="M71" s="1"/>
      <c r="N71" s="1"/>
      <c r="O71" s="1"/>
      <c r="P71" s="1"/>
      <c r="Q71" s="1"/>
      <c r="R71" s="1"/>
      <c r="S71" s="1"/>
      <c r="T71" s="103"/>
      <c r="U71" s="104"/>
      <c r="V71" s="104"/>
      <c r="W71" s="104"/>
      <c r="X71" s="104"/>
      <c r="Y71" s="104"/>
    </row>
    <row r="72" spans="2:25" ht="15.75">
      <c r="B72" s="1"/>
      <c r="C72" s="1"/>
      <c r="D72" s="1"/>
      <c r="E72" s="1"/>
      <c r="F72" s="20"/>
      <c r="G72" s="20"/>
      <c r="H72" s="20"/>
      <c r="I72" s="20"/>
      <c r="J72" s="20"/>
      <c r="K72" s="20"/>
      <c r="L72" s="1"/>
      <c r="M72" s="1"/>
      <c r="N72" s="1"/>
      <c r="O72" s="1"/>
      <c r="P72" s="1"/>
      <c r="Q72" s="1"/>
      <c r="R72" s="1"/>
      <c r="S72" s="1"/>
      <c r="T72" s="103"/>
      <c r="U72" s="104"/>
      <c r="V72" s="104"/>
      <c r="W72" s="102"/>
      <c r="X72" s="105"/>
      <c r="Y72" s="104"/>
    </row>
    <row r="73" spans="2:25" ht="15.75">
      <c r="B73" s="1"/>
      <c r="C73" s="1"/>
      <c r="D73" s="1"/>
      <c r="E73" s="1"/>
      <c r="F73" s="20"/>
      <c r="G73" s="20"/>
      <c r="H73" s="20"/>
      <c r="I73" s="20"/>
      <c r="J73" s="20"/>
      <c r="K73" s="20"/>
      <c r="L73" s="1"/>
      <c r="M73" s="1"/>
      <c r="N73" s="1"/>
      <c r="O73" s="1"/>
      <c r="P73" s="1"/>
      <c r="Q73" s="1"/>
      <c r="R73" s="1"/>
      <c r="S73" s="1"/>
      <c r="T73" s="103"/>
      <c r="U73" s="843"/>
      <c r="V73" s="843"/>
      <c r="W73" s="105"/>
      <c r="X73" s="102"/>
      <c r="Y73" s="105"/>
    </row>
    <row r="74" spans="2:25" ht="15.75">
      <c r="B74" s="1"/>
      <c r="C74" s="1"/>
      <c r="D74" s="1"/>
      <c r="E74" s="1"/>
      <c r="F74" s="20"/>
      <c r="G74" s="20"/>
      <c r="H74" s="20"/>
      <c r="I74" s="20"/>
      <c r="J74" s="20"/>
      <c r="K74" s="20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04"/>
      <c r="Y74" s="102"/>
    </row>
    <row r="75" spans="2:25" ht="15.75">
      <c r="B75" s="1"/>
      <c r="C75" s="1"/>
      <c r="D75" s="1"/>
      <c r="E75" s="1"/>
      <c r="X75" s="104"/>
      <c r="Y75" s="104"/>
    </row>
    <row r="76" spans="2:25" ht="15.75">
      <c r="B76" s="1"/>
      <c r="C76" s="1"/>
      <c r="D76" s="1"/>
      <c r="X76" s="104"/>
      <c r="Y76" s="104"/>
    </row>
    <row r="77" spans="2:25" ht="15.75">
      <c r="B77" s="1"/>
      <c r="C77" s="1"/>
      <c r="D77" s="1"/>
      <c r="X77" s="102"/>
      <c r="Y77" s="104"/>
    </row>
    <row r="78" spans="2:25" ht="15.75">
      <c r="B78" s="1"/>
      <c r="C78" s="1"/>
      <c r="D78" s="1"/>
      <c r="X78" s="104"/>
      <c r="Y78" s="102"/>
    </row>
    <row r="79" spans="2:25" ht="15.75">
      <c r="B79" s="1"/>
      <c r="C79" s="1"/>
      <c r="D79" s="1"/>
      <c r="X79" s="104"/>
      <c r="Y79" s="104"/>
    </row>
    <row r="80" spans="2:25" ht="15.75">
      <c r="B80" s="1"/>
      <c r="C80" s="1"/>
      <c r="D80" s="1"/>
      <c r="X80" s="102"/>
      <c r="Y80" s="104"/>
    </row>
    <row r="81" spans="2:25" ht="15.75">
      <c r="B81" s="1"/>
      <c r="C81" s="1"/>
      <c r="D81" s="1"/>
      <c r="X81" s="105"/>
      <c r="Y81" s="102"/>
    </row>
    <row r="82" spans="2:25" ht="15.75">
      <c r="B82" s="1"/>
      <c r="C82" s="1"/>
      <c r="D82" s="1"/>
      <c r="X82" s="1"/>
      <c r="Y82" s="105"/>
    </row>
    <row r="83" spans="2:25" ht="15.75">
      <c r="B83" s="1"/>
      <c r="C83" s="1"/>
      <c r="D83" s="1"/>
      <c r="Y83" s="1"/>
    </row>
    <row r="84" spans="2:25" ht="15.75">
      <c r="B84" s="1"/>
      <c r="C84" s="1"/>
      <c r="D84" s="1"/>
    </row>
  </sheetData>
  <mergeCells count="18">
    <mergeCell ref="Z29:AA29"/>
    <mergeCell ref="AB29:AC29"/>
    <mergeCell ref="U73:V73"/>
    <mergeCell ref="P27:T27"/>
    <mergeCell ref="U38:V38"/>
    <mergeCell ref="U48:V48"/>
    <mergeCell ref="U54:V54"/>
    <mergeCell ref="G4:T4"/>
    <mergeCell ref="C23:E23"/>
    <mergeCell ref="C33:E33"/>
    <mergeCell ref="U66:V66"/>
    <mergeCell ref="U18:V18"/>
    <mergeCell ref="F27:I27"/>
    <mergeCell ref="W18:X18"/>
    <mergeCell ref="U17:V17"/>
    <mergeCell ref="W17:X17"/>
    <mergeCell ref="G18:T18"/>
    <mergeCell ref="G8:T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B8127-2810-44C9-93B5-DC983F08148F}">
  <sheetPr codeName="Sheet10">
    <tabColor rgb="FF92D050"/>
  </sheetPr>
  <dimension ref="A1:AE97"/>
  <sheetViews>
    <sheetView zoomScale="85" zoomScaleNormal="85" workbookViewId="0"/>
  </sheetViews>
  <sheetFormatPr defaultColWidth="8.85546875" defaultRowHeight="15"/>
  <cols>
    <col min="1" max="1" width="7.42578125" style="6" customWidth="1"/>
    <col min="2" max="2" width="14.42578125" style="6" customWidth="1"/>
    <col min="3" max="4" width="13" style="6" customWidth="1"/>
    <col min="5" max="5" width="18" style="6" bestFit="1" customWidth="1"/>
    <col min="6" max="6" width="13.5703125" style="6" customWidth="1"/>
    <col min="7" max="7" width="15" style="6" bestFit="1" customWidth="1"/>
    <col min="8" max="8" width="14.140625" style="6" customWidth="1"/>
    <col min="9" max="10" width="15.5703125" style="6" customWidth="1"/>
    <col min="11" max="11" width="15" style="6" bestFit="1" customWidth="1"/>
    <col min="12" max="17" width="15.5703125" style="6" customWidth="1"/>
    <col min="18" max="18" width="15" style="6" customWidth="1"/>
    <col min="19" max="19" width="14" style="6" customWidth="1"/>
    <col min="20" max="20" width="15.5703125" style="6" customWidth="1"/>
    <col min="21" max="21" width="16.5703125" style="6" customWidth="1"/>
    <col min="22" max="23" width="14" style="6" customWidth="1"/>
    <col min="24" max="24" width="29.140625" style="6" bestFit="1" customWidth="1"/>
    <col min="25" max="25" width="14.85546875" style="6" bestFit="1" customWidth="1"/>
    <col min="26" max="26" width="12.85546875" style="6" customWidth="1"/>
    <col min="27" max="27" width="14.5703125" style="6" customWidth="1"/>
    <col min="28" max="28" width="8.85546875" style="6"/>
    <col min="29" max="31" width="16.42578125" style="6" customWidth="1"/>
    <col min="32" max="16384" width="8.85546875" style="6"/>
  </cols>
  <sheetData>
    <row r="1" spans="1:31" s="170" customFormat="1" ht="25.5" customHeight="1">
      <c r="A1" s="385"/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5"/>
      <c r="AA1" s="385"/>
    </row>
    <row r="2" spans="1:31">
      <c r="A2" s="87"/>
      <c r="B2" s="858"/>
      <c r="C2" s="858"/>
      <c r="D2" s="858"/>
      <c r="F2" s="87"/>
    </row>
    <row r="3" spans="1:31">
      <c r="E3" s="859" t="s">
        <v>208</v>
      </c>
      <c r="F3" s="859"/>
      <c r="G3" s="859"/>
      <c r="H3" s="859"/>
      <c r="I3" s="859"/>
      <c r="J3" s="241"/>
      <c r="K3" s="241"/>
      <c r="M3" s="110"/>
      <c r="N3" s="110"/>
      <c r="O3" s="110"/>
      <c r="P3" s="859" t="s">
        <v>209</v>
      </c>
      <c r="Q3" s="859"/>
      <c r="R3" s="859"/>
      <c r="S3" s="859"/>
      <c r="T3" s="859"/>
      <c r="U3" s="241"/>
      <c r="V3" s="241"/>
    </row>
    <row r="4" spans="1:31" ht="15.75" customHeight="1">
      <c r="D4" s="1"/>
      <c r="E4" s="148">
        <f>'Res Bill Impact'!E4</f>
        <v>2026</v>
      </c>
      <c r="F4" s="175">
        <f>'Res Bill Impact'!F4</f>
        <v>46174</v>
      </c>
      <c r="G4" s="175">
        <f>'Res Bill Impact'!G4</f>
        <v>46174</v>
      </c>
      <c r="H4" s="111" t="s">
        <v>174</v>
      </c>
      <c r="I4" s="111" t="s">
        <v>174</v>
      </c>
      <c r="J4" s="111"/>
      <c r="K4" s="111"/>
      <c r="L4" s="20"/>
      <c r="O4" s="1"/>
      <c r="P4" s="148">
        <f>'Res Bill Impact'!P4</f>
        <v>2026</v>
      </c>
      <c r="Q4" s="175">
        <f>'Res Bill Impact'!Q4</f>
        <v>46174</v>
      </c>
      <c r="R4" s="175">
        <f>'Res Bill Impact'!R4</f>
        <v>46174</v>
      </c>
      <c r="S4" s="111" t="s">
        <v>174</v>
      </c>
      <c r="T4" s="111" t="s">
        <v>174</v>
      </c>
      <c r="U4" s="111"/>
      <c r="V4" s="111"/>
    </row>
    <row r="5" spans="1:31" ht="30.75" customHeight="1">
      <c r="D5" s="1"/>
      <c r="E5" s="111" t="s">
        <v>126</v>
      </c>
      <c r="F5" s="111" t="s">
        <v>175</v>
      </c>
      <c r="G5" s="111" t="s">
        <v>176</v>
      </c>
      <c r="H5" s="111" t="s">
        <v>175</v>
      </c>
      <c r="I5" s="111" t="s">
        <v>176</v>
      </c>
      <c r="J5" s="111"/>
      <c r="K5" s="111"/>
      <c r="L5" s="83"/>
      <c r="M5" s="112"/>
      <c r="N5" s="112"/>
      <c r="O5" s="83"/>
      <c r="P5" s="111" t="s">
        <v>126</v>
      </c>
      <c r="Q5" s="111" t="s">
        <v>175</v>
      </c>
      <c r="R5" s="111" t="s">
        <v>176</v>
      </c>
      <c r="S5" s="111" t="s">
        <v>175</v>
      </c>
      <c r="T5" s="111" t="s">
        <v>176</v>
      </c>
      <c r="U5" s="111"/>
      <c r="V5" s="111"/>
      <c r="AD5" s="47"/>
      <c r="AE5" s="47"/>
    </row>
    <row r="6" spans="1:31" ht="42" customHeight="1">
      <c r="B6" s="113"/>
      <c r="D6" s="113"/>
      <c r="E6" s="1"/>
      <c r="F6" s="1"/>
      <c r="G6" s="1"/>
      <c r="J6" s="20"/>
      <c r="K6" s="20"/>
      <c r="L6" s="20"/>
      <c r="O6" s="113"/>
      <c r="P6" s="1"/>
      <c r="Q6" s="1"/>
      <c r="R6" s="1"/>
      <c r="U6" s="20"/>
      <c r="V6" s="20"/>
      <c r="Y6" s="259" t="s">
        <v>112</v>
      </c>
      <c r="Z6" s="259" t="s">
        <v>324</v>
      </c>
      <c r="AA6" s="259" t="s">
        <v>3</v>
      </c>
      <c r="AC6" s="112"/>
      <c r="AD6" s="112"/>
      <c r="AE6" s="112"/>
    </row>
    <row r="7" spans="1:31" ht="15.75">
      <c r="D7" s="114" t="s">
        <v>181</v>
      </c>
      <c r="E7" s="238">
        <f>'Res Bill Impact'!E7</f>
        <v>116485106.94088674</v>
      </c>
      <c r="F7" s="115">
        <f>'Res Bill Impact'!F7</f>
        <v>0.4129875432352299</v>
      </c>
      <c r="G7" s="116">
        <f t="shared" ref="G7:G12" si="0">F7*E7</f>
        <v>48106898.139009841</v>
      </c>
      <c r="H7" s="172">
        <f>F7+(F7*$AD$12)</f>
        <v>0.4129875432352299</v>
      </c>
      <c r="I7" s="116">
        <f t="shared" ref="I7:I12" si="1">E7*H7</f>
        <v>48106898.139009841</v>
      </c>
      <c r="J7" s="172"/>
      <c r="K7" s="264"/>
      <c r="L7" s="117"/>
      <c r="O7" s="114" t="s">
        <v>181</v>
      </c>
      <c r="P7" s="238">
        <f>'Res Bill Impact'!P7</f>
        <v>58116210.602119073</v>
      </c>
      <c r="Q7" s="115">
        <f>'Res Bill Impact'!Q7</f>
        <v>0.25899</v>
      </c>
      <c r="R7" s="116">
        <f>'Res Bill Impact'!R7</f>
        <v>15051517.383842818</v>
      </c>
      <c r="S7" s="172">
        <f t="shared" ref="S7:S12" si="2">H7*(1+(Q7/F7-1))</f>
        <v>0.25899</v>
      </c>
      <c r="T7" s="116">
        <f t="shared" ref="T7:T12" si="3">P7*S7</f>
        <v>15051517.383842818</v>
      </c>
      <c r="U7" s="172"/>
      <c r="V7" s="264"/>
      <c r="W7" s="117"/>
      <c r="X7" s="6" t="s">
        <v>182</v>
      </c>
      <c r="AC7" s="299"/>
      <c r="AD7" s="270"/>
      <c r="AE7" s="270"/>
    </row>
    <row r="8" spans="1:31" ht="15.75">
      <c r="D8" s="118" t="s">
        <v>183</v>
      </c>
      <c r="E8" s="238">
        <f>'Res Bill Impact'!E8</f>
        <v>154152455.51785704</v>
      </c>
      <c r="F8" s="115">
        <f>'Res Bill Impact'!F8</f>
        <v>0.4129875432352299</v>
      </c>
      <c r="G8" s="116">
        <f t="shared" si="0"/>
        <v>63663043.887997843</v>
      </c>
      <c r="H8" s="172">
        <f>H7</f>
        <v>0.4129875432352299</v>
      </c>
      <c r="I8" s="116">
        <f t="shared" si="1"/>
        <v>63663043.887997843</v>
      </c>
      <c r="J8" s="172"/>
      <c r="K8" s="264"/>
      <c r="L8" s="117"/>
      <c r="O8" s="118" t="s">
        <v>183</v>
      </c>
      <c r="P8" s="238">
        <f>'Res Bill Impact'!P8</f>
        <v>78094743.784878477</v>
      </c>
      <c r="Q8" s="115">
        <f>'Res Bill Impact'!Q8</f>
        <v>0.25899</v>
      </c>
      <c r="R8" s="116">
        <f>'Res Bill Impact'!R8</f>
        <v>20225757.692845676</v>
      </c>
      <c r="S8" s="172">
        <f t="shared" si="2"/>
        <v>0.25899</v>
      </c>
      <c r="T8" s="116">
        <f t="shared" si="3"/>
        <v>20225757.692845676</v>
      </c>
      <c r="U8" s="172"/>
      <c r="V8" s="264"/>
      <c r="W8" s="117"/>
      <c r="X8" s="6" t="s">
        <v>184</v>
      </c>
      <c r="Y8" s="119">
        <f>'Res Bill Impact'!Y8</f>
        <v>1660098559</v>
      </c>
      <c r="Z8" s="119">
        <f>'Res Bill Impact'!Z8</f>
        <v>1422569805</v>
      </c>
      <c r="AA8" s="119">
        <f>'Res Bill Impact'!AA8</f>
        <v>237528754</v>
      </c>
    </row>
    <row r="9" spans="1:31" ht="15.75">
      <c r="D9" s="114" t="s">
        <v>210</v>
      </c>
      <c r="E9" s="238">
        <f>'Res Bill Impact'!E9</f>
        <v>89068921.568368956</v>
      </c>
      <c r="F9" s="115">
        <f>'Res Bill Impact'!F9</f>
        <v>0.52000265480562546</v>
      </c>
      <c r="G9" s="116">
        <f t="shared" si="0"/>
        <v>46316075.676225893</v>
      </c>
      <c r="H9" s="172">
        <f>F9/F$7*H$7</f>
        <v>0.52000265480562546</v>
      </c>
      <c r="I9" s="116">
        <f t="shared" si="1"/>
        <v>46316075.676225893</v>
      </c>
      <c r="J9" s="172"/>
      <c r="K9" s="264"/>
      <c r="L9" s="117"/>
      <c r="O9" s="114" t="s">
        <v>185</v>
      </c>
      <c r="P9" s="238">
        <f>'Res Bill Impact'!P9</f>
        <v>30578684.714064509</v>
      </c>
      <c r="Q9" s="115">
        <f>'Res Bill Impact'!Q9</f>
        <v>0.32854</v>
      </c>
      <c r="R9" s="116">
        <f>'Res Bill Impact'!R9</f>
        <v>10046321.075958753</v>
      </c>
      <c r="S9" s="172">
        <f t="shared" si="2"/>
        <v>0.32854</v>
      </c>
      <c r="T9" s="116">
        <f t="shared" si="3"/>
        <v>10046321.075958753</v>
      </c>
      <c r="U9" s="172"/>
      <c r="V9" s="264"/>
      <c r="W9" s="117"/>
      <c r="X9" s="6" t="s">
        <v>262</v>
      </c>
      <c r="Y9" s="195">
        <f>('Hypothetical SAR and RAR'!V20+'Hypothetical SAR and RAR'!X20)*1000</f>
        <v>0</v>
      </c>
      <c r="Z9" s="195">
        <f>('Hypothetical SAR and RAR'!V20)*1000</f>
        <v>0</v>
      </c>
      <c r="AA9" s="171">
        <f>('Hypothetical SAR and RAR'!X20)*1000</f>
        <v>0</v>
      </c>
    </row>
    <row r="10" spans="1:31" ht="15.75">
      <c r="D10" s="118" t="s">
        <v>183</v>
      </c>
      <c r="E10" s="238">
        <f>'Res Bill Impact'!E10</f>
        <v>84528618.696129948</v>
      </c>
      <c r="F10" s="115">
        <f>'Res Bill Impact'!F10</f>
        <v>0.52000265480562546</v>
      </c>
      <c r="G10" s="116">
        <f t="shared" si="0"/>
        <v>43955106.129040003</v>
      </c>
      <c r="H10" s="172">
        <f>H9</f>
        <v>0.52000265480562546</v>
      </c>
      <c r="I10" s="116">
        <f t="shared" si="1"/>
        <v>43955106.129040003</v>
      </c>
      <c r="J10" s="172"/>
      <c r="K10" s="264"/>
      <c r="L10" s="117"/>
      <c r="O10" s="118" t="s">
        <v>183</v>
      </c>
      <c r="P10" s="238">
        <f>'Res Bill Impact'!P10</f>
        <v>31395953.493242923</v>
      </c>
      <c r="Q10" s="115">
        <f>'Res Bill Impact'!Q10</f>
        <v>0.32854</v>
      </c>
      <c r="R10" s="116">
        <f>'Res Bill Impact'!R10</f>
        <v>10314826.560670029</v>
      </c>
      <c r="S10" s="172">
        <f t="shared" si="2"/>
        <v>0.32854</v>
      </c>
      <c r="T10" s="116">
        <f t="shared" si="3"/>
        <v>10314826.560670029</v>
      </c>
      <c r="U10" s="172"/>
      <c r="V10" s="264"/>
      <c r="W10" s="117"/>
      <c r="X10" s="6" t="s">
        <v>263</v>
      </c>
      <c r="Y10" s="119">
        <f>Y8+Y9</f>
        <v>1660098559</v>
      </c>
      <c r="Z10" s="119">
        <f>Z8+Z9</f>
        <v>1422569805</v>
      </c>
      <c r="AA10" s="119">
        <f>AA8+AA9</f>
        <v>237528754</v>
      </c>
      <c r="AD10" s="47" t="s">
        <v>326</v>
      </c>
      <c r="AE10" s="47"/>
    </row>
    <row r="11" spans="1:31" ht="15.75">
      <c r="D11" s="114" t="s">
        <v>188</v>
      </c>
      <c r="E11" s="238">
        <f>'Res Bill Impact'!E11</f>
        <v>0</v>
      </c>
      <c r="F11" s="115">
        <f>'Res Bill Impact'!F11</f>
        <v>0</v>
      </c>
      <c r="G11" s="116">
        <f t="shared" si="0"/>
        <v>0</v>
      </c>
      <c r="H11" s="172">
        <f>F11/F$7*H$7</f>
        <v>0</v>
      </c>
      <c r="I11" s="116">
        <f t="shared" si="1"/>
        <v>0</v>
      </c>
      <c r="J11" s="172"/>
      <c r="K11" s="264"/>
      <c r="L11" s="117"/>
      <c r="O11" s="114" t="s">
        <v>188</v>
      </c>
      <c r="P11" s="238">
        <f>'Res Bill Impact'!P11</f>
        <v>0</v>
      </c>
      <c r="Q11" s="115">
        <f>'Res Bill Impact'!Q11</f>
        <v>0</v>
      </c>
      <c r="R11" s="116">
        <f>'Res Bill Impact'!R11</f>
        <v>0</v>
      </c>
      <c r="S11" s="172" t="e">
        <f t="shared" si="2"/>
        <v>#DIV/0!</v>
      </c>
      <c r="T11" s="116" t="e">
        <f t="shared" si="3"/>
        <v>#DIV/0!</v>
      </c>
      <c r="U11" s="172"/>
      <c r="V11" s="264"/>
      <c r="W11" s="117"/>
      <c r="Y11" s="119"/>
      <c r="AC11" s="133" t="s">
        <v>325</v>
      </c>
      <c r="AD11" s="259" t="s">
        <v>327</v>
      </c>
      <c r="AE11" s="47"/>
    </row>
    <row r="12" spans="1:31" ht="15.75">
      <c r="D12" s="118" t="s">
        <v>183</v>
      </c>
      <c r="E12" s="238">
        <f>'Res Bill Impact'!E12</f>
        <v>0</v>
      </c>
      <c r="F12" s="115">
        <f>'Res Bill Impact'!F12</f>
        <v>0</v>
      </c>
      <c r="G12" s="116">
        <f t="shared" si="0"/>
        <v>0</v>
      </c>
      <c r="H12" s="172">
        <f>H11</f>
        <v>0</v>
      </c>
      <c r="I12" s="116">
        <f t="shared" si="1"/>
        <v>0</v>
      </c>
      <c r="J12" s="172"/>
      <c r="K12" s="264"/>
      <c r="L12" s="117"/>
      <c r="O12" s="118" t="s">
        <v>183</v>
      </c>
      <c r="P12" s="238">
        <f>'Res Bill Impact'!P12</f>
        <v>0</v>
      </c>
      <c r="Q12" s="115">
        <f>'Res Bill Impact'!Q12</f>
        <v>0</v>
      </c>
      <c r="R12" s="116">
        <f>'Res Bill Impact'!R12</f>
        <v>0</v>
      </c>
      <c r="S12" s="172" t="e">
        <f t="shared" si="2"/>
        <v>#DIV/0!</v>
      </c>
      <c r="T12" s="116" t="e">
        <f t="shared" si="3"/>
        <v>#DIV/0!</v>
      </c>
      <c r="U12" s="172"/>
      <c r="V12" s="264"/>
      <c r="W12" s="117"/>
      <c r="X12" s="6" t="s">
        <v>362</v>
      </c>
      <c r="Y12" s="259" t="s">
        <v>112</v>
      </c>
      <c r="Z12" s="259" t="s">
        <v>324</v>
      </c>
      <c r="AA12" s="259" t="s">
        <v>3</v>
      </c>
      <c r="AC12" s="6">
        <f>'Res Bill Impact'!AC16</f>
        <v>0.45649000000000001</v>
      </c>
      <c r="AD12" s="167">
        <f>Y14/100/AC12</f>
        <v>0</v>
      </c>
      <c r="AE12" s="267"/>
    </row>
    <row r="13" spans="1:31" ht="15.75">
      <c r="D13" s="118"/>
      <c r="E13" s="120"/>
      <c r="F13" s="121"/>
      <c r="G13" s="122"/>
      <c r="H13" s="1"/>
      <c r="I13" s="123"/>
      <c r="J13" s="1"/>
      <c r="K13" s="123"/>
      <c r="L13" s="117"/>
      <c r="O13" s="118"/>
      <c r="P13" s="122"/>
      <c r="Q13" s="121"/>
      <c r="R13" s="122"/>
      <c r="S13" s="1"/>
      <c r="T13" s="123"/>
      <c r="U13" s="1"/>
      <c r="V13" s="123"/>
      <c r="X13" s="6" t="s">
        <v>363</v>
      </c>
      <c r="Y13" s="296">
        <f>+Z13+AA13</f>
        <v>45.649000000000001</v>
      </c>
      <c r="Z13" s="296">
        <f>'Res Bill Impact'!Z15</f>
        <v>27.564</v>
      </c>
      <c r="AA13" s="296">
        <f>'Res Bill Impact'!AA15</f>
        <v>18.085000000000001</v>
      </c>
      <c r="AC13" s="266"/>
      <c r="AD13" s="98"/>
      <c r="AE13" s="260"/>
    </row>
    <row r="14" spans="1:31" ht="15.75">
      <c r="D14" s="118"/>
      <c r="E14" s="118" t="s">
        <v>459</v>
      </c>
      <c r="F14" s="115">
        <f>'Res Bill Impact'!F14</f>
        <v>0.79342999999999997</v>
      </c>
      <c r="G14" s="121"/>
      <c r="H14" s="172"/>
      <c r="I14" s="122"/>
      <c r="J14" s="122"/>
      <c r="K14" s="122"/>
      <c r="L14" s="117"/>
      <c r="O14" s="118"/>
      <c r="P14" s="118" t="s">
        <v>459</v>
      </c>
      <c r="Q14" s="115">
        <f>'Res Bill Impact'!Q14</f>
        <v>0.19713</v>
      </c>
      <c r="R14" s="121"/>
      <c r="S14" s="122"/>
      <c r="T14" s="122"/>
      <c r="U14" s="122"/>
      <c r="V14" s="122"/>
      <c r="X14" s="6" t="s">
        <v>262</v>
      </c>
      <c r="Y14" s="296">
        <f>+Z14+AA14</f>
        <v>0</v>
      </c>
      <c r="Z14" s="296">
        <f>+Z9/(IF('Hypothetical Summary'!$H$3=2026,'Hypothetical SAR and RAR'!$C$25,'Hypothetical SAR and RAR'!$C$35)*1000)*100</f>
        <v>0</v>
      </c>
      <c r="AA14" s="296">
        <f>+AA9/(IF('Hypothetical Summary'!$H$3=2026,'Hypothetical SAR and RAR'!$E$25,'Hypothetical SAR and RAR'!$E$35)*1000)*100</f>
        <v>0</v>
      </c>
      <c r="AD14" s="47"/>
      <c r="AE14" s="47"/>
    </row>
    <row r="15" spans="1:31" ht="15.75">
      <c r="D15" s="118"/>
      <c r="E15" s="118" t="s">
        <v>460</v>
      </c>
      <c r="F15" s="605">
        <f>F14*30</f>
        <v>23.802899999999998</v>
      </c>
      <c r="G15" s="453" t="s">
        <v>461</v>
      </c>
      <c r="I15" s="122"/>
      <c r="J15" s="236"/>
      <c r="K15" s="122"/>
      <c r="L15" s="117"/>
      <c r="O15" s="124"/>
      <c r="P15" s="118" t="s">
        <v>460</v>
      </c>
      <c r="Q15" s="605">
        <f>Q14*30</f>
        <v>5.9138999999999999</v>
      </c>
      <c r="R15" s="453" t="s">
        <v>461</v>
      </c>
      <c r="S15" s="122"/>
      <c r="T15" s="122"/>
      <c r="U15" s="122"/>
      <c r="V15" s="122"/>
      <c r="X15" s="6" t="s">
        <v>263</v>
      </c>
      <c r="Y15" s="296">
        <f>+Y14+Y13</f>
        <v>45.649000000000001</v>
      </c>
      <c r="Z15" s="296">
        <f>+Z14+Z13</f>
        <v>27.564</v>
      </c>
      <c r="AA15" s="296">
        <f>+AA14+AA13</f>
        <v>18.085000000000001</v>
      </c>
      <c r="AC15" s="47"/>
      <c r="AD15" s="47"/>
      <c r="AE15" s="47"/>
    </row>
    <row r="16" spans="1:31" ht="15.75">
      <c r="P16" s="122"/>
      <c r="Q16" s="121"/>
      <c r="R16" s="122"/>
      <c r="AC16" s="262"/>
      <c r="AD16" s="261"/>
      <c r="AE16" s="262"/>
    </row>
    <row r="17" spans="1:31" ht="15.75">
      <c r="O17" s="125"/>
      <c r="R17" s="122"/>
      <c r="Y17" s="47"/>
      <c r="Z17" s="294"/>
      <c r="AA17" s="294"/>
    </row>
    <row r="18" spans="1:31" ht="15.75">
      <c r="Y18" s="47"/>
      <c r="Z18" s="294"/>
      <c r="AA18" s="294"/>
    </row>
    <row r="19" spans="1:31">
      <c r="B19" s="7"/>
      <c r="P19" s="6" t="str">
        <f>'Res Bill Impact'!P19</f>
        <v>2025 Recorded Data - Average Monthly Usage - BASIC kWh</v>
      </c>
      <c r="AD19" s="47"/>
      <c r="AE19" s="47"/>
    </row>
    <row r="20" spans="1:31">
      <c r="B20" s="126" t="s">
        <v>211</v>
      </c>
      <c r="C20" s="126"/>
      <c r="E20" s="127"/>
      <c r="F20" s="127"/>
      <c r="H20" s="126" t="s">
        <v>271</v>
      </c>
      <c r="I20" s="126"/>
      <c r="J20" s="126"/>
      <c r="K20" s="126" t="s">
        <v>270</v>
      </c>
      <c r="L20" s="126"/>
      <c r="M20" s="126"/>
      <c r="N20" s="126"/>
      <c r="P20" s="128" t="s">
        <v>191</v>
      </c>
      <c r="Q20" s="129" t="s">
        <v>192</v>
      </c>
      <c r="R20" s="129" t="s">
        <v>193</v>
      </c>
      <c r="S20" s="129" t="s">
        <v>192</v>
      </c>
      <c r="T20" s="129" t="s">
        <v>193</v>
      </c>
      <c r="U20" s="789" t="s">
        <v>196</v>
      </c>
      <c r="V20" s="790"/>
      <c r="AD20" s="47"/>
      <c r="AE20" s="47"/>
    </row>
    <row r="21" spans="1:31">
      <c r="B21" s="130" t="s">
        <v>175</v>
      </c>
      <c r="C21" s="131" t="str">
        <f>'Res Bill Impact'!C21</f>
        <v>6/1/2026</v>
      </c>
      <c r="D21" s="131" t="str">
        <f>'Res Bill Impact'!D21</f>
        <v>8/1/2026</v>
      </c>
      <c r="E21" s="132" t="s">
        <v>174</v>
      </c>
      <c r="F21" s="127"/>
      <c r="H21" s="133" t="s">
        <v>191</v>
      </c>
      <c r="I21" s="133" t="s">
        <v>192</v>
      </c>
      <c r="J21" s="133" t="s">
        <v>193</v>
      </c>
      <c r="K21" s="133" t="s">
        <v>191</v>
      </c>
      <c r="L21" s="133" t="s">
        <v>192</v>
      </c>
      <c r="M21" s="133" t="s">
        <v>193</v>
      </c>
      <c r="P21" s="52"/>
      <c r="Q21" s="792" t="s">
        <v>149</v>
      </c>
      <c r="R21" s="793"/>
      <c r="S21" s="792" t="s">
        <v>150</v>
      </c>
      <c r="T21" s="793"/>
      <c r="U21" s="47" t="s">
        <v>149</v>
      </c>
      <c r="V21" s="47" t="s">
        <v>150</v>
      </c>
      <c r="AD21" s="267"/>
      <c r="AE21" s="267"/>
    </row>
    <row r="22" spans="1:31">
      <c r="A22" s="6" t="s">
        <v>192</v>
      </c>
      <c r="B22" s="134" t="s">
        <v>194</v>
      </c>
      <c r="C22" s="137">
        <f>'Res Bill Impact'!C22</f>
        <v>0.41150228008932016</v>
      </c>
      <c r="D22" s="137">
        <f>'Res Bill Impact'!D22</f>
        <v>0.4129875432352299</v>
      </c>
      <c r="E22" s="137">
        <f>H7</f>
        <v>0.4129875432352299</v>
      </c>
      <c r="F22" s="242"/>
      <c r="H22" s="6" t="s">
        <v>125</v>
      </c>
      <c r="I22" s="155">
        <f>'Res Bill Impact'!I22</f>
        <v>351</v>
      </c>
      <c r="J22" s="155">
        <f>'Res Bill Impact'!J22</f>
        <v>359</v>
      </c>
      <c r="K22" s="6" t="s">
        <v>125</v>
      </c>
      <c r="L22" s="155">
        <f>'Res Bill Impact'!L22</f>
        <v>235</v>
      </c>
      <c r="M22" s="155">
        <f>'Res Bill Impact'!M22</f>
        <v>343</v>
      </c>
      <c r="N22" s="119"/>
      <c r="P22" s="138" t="s">
        <v>125</v>
      </c>
      <c r="Q22" s="139">
        <f>'Res Bill Impact'!Q22</f>
        <v>334.36541599999998</v>
      </c>
      <c r="R22" s="139">
        <f>'Res Bill Impact'!R22</f>
        <v>309.27334100000002</v>
      </c>
      <c r="S22" s="139">
        <f>'Res Bill Impact'!S22</f>
        <v>329.33632999999998</v>
      </c>
      <c r="T22" s="139">
        <f>'Res Bill Impact'!T22</f>
        <v>300.562815</v>
      </c>
      <c r="U22" s="196">
        <f>'Res Bill Impact'!U22</f>
        <v>0.59302976011933228</v>
      </c>
      <c r="V22" s="196">
        <f>'Res Bill Impact'!V22</f>
        <v>0.5004157582517873</v>
      </c>
    </row>
    <row r="23" spans="1:31">
      <c r="B23" s="134" t="s">
        <v>195</v>
      </c>
      <c r="C23" s="137">
        <f>'Res Bill Impact'!C23</f>
        <v>0.51813252387405373</v>
      </c>
      <c r="D23" s="137">
        <f>'Res Bill Impact'!D23</f>
        <v>0.52000265480562546</v>
      </c>
      <c r="E23" s="137">
        <f>H9</f>
        <v>0.52000265480562546</v>
      </c>
      <c r="F23" s="242"/>
      <c r="H23" s="6" t="s">
        <v>197</v>
      </c>
      <c r="I23" s="155">
        <f>'Res Bill Impact'!I23</f>
        <v>530</v>
      </c>
      <c r="J23" s="155">
        <f>'Res Bill Impact'!J23</f>
        <v>503</v>
      </c>
      <c r="K23" s="6" t="s">
        <v>197</v>
      </c>
      <c r="L23" s="155">
        <f>'Res Bill Impact'!L23</f>
        <v>593</v>
      </c>
      <c r="M23" s="155">
        <f>'Res Bill Impact'!M23</f>
        <v>863</v>
      </c>
      <c r="N23" s="119"/>
      <c r="P23" s="141" t="s">
        <v>197</v>
      </c>
      <c r="Q23" s="139">
        <f>'Res Bill Impact'!Q23</f>
        <v>370.89176200000003</v>
      </c>
      <c r="R23" s="139">
        <f>'Res Bill Impact'!R23</f>
        <v>320.932299</v>
      </c>
      <c r="S23" s="139">
        <f>'Res Bill Impact'!S23</f>
        <v>595.62742000000003</v>
      </c>
      <c r="T23" s="139">
        <f>'Res Bill Impact'!T23</f>
        <v>535.42582900000002</v>
      </c>
      <c r="U23" s="196">
        <f>'Res Bill Impact'!U23</f>
        <v>8.43340424866614E-3</v>
      </c>
      <c r="V23" s="196">
        <f>'Res Bill Impact'!V23</f>
        <v>7.9450387872027576E-3</v>
      </c>
    </row>
    <row r="24" spans="1:31">
      <c r="B24" s="134"/>
      <c r="C24" s="137"/>
      <c r="D24" s="137"/>
      <c r="E24" s="137"/>
      <c r="F24" s="242"/>
      <c r="H24" s="6" t="s">
        <v>198</v>
      </c>
      <c r="I24" s="155">
        <f>'Res Bill Impact'!I24</f>
        <v>620</v>
      </c>
      <c r="J24" s="155">
        <f>'Res Bill Impact'!J24</f>
        <v>425</v>
      </c>
      <c r="K24" s="6" t="s">
        <v>198</v>
      </c>
      <c r="L24" s="155">
        <f>'Res Bill Impact'!L24</f>
        <v>662</v>
      </c>
      <c r="M24" s="155">
        <f>'Res Bill Impact'!M24</f>
        <v>667</v>
      </c>
      <c r="N24" s="119"/>
      <c r="P24" s="141" t="s">
        <v>198</v>
      </c>
      <c r="Q24" s="139">
        <f>'Res Bill Impact'!Q24</f>
        <v>400.96965999999998</v>
      </c>
      <c r="R24" s="139">
        <f>'Res Bill Impact'!R24</f>
        <v>153.73130499999999</v>
      </c>
      <c r="S24" s="139">
        <f>'Res Bill Impact'!S24</f>
        <v>651.39212799999996</v>
      </c>
      <c r="T24" s="139">
        <f>'Res Bill Impact'!T24</f>
        <v>320.86506100000003</v>
      </c>
      <c r="U24" s="196">
        <f>'Res Bill Impact'!U24</f>
        <v>1.1233729911021911E-3</v>
      </c>
      <c r="V24" s="196">
        <f>'Res Bill Impact'!V24</f>
        <v>1.5362774425797293E-3</v>
      </c>
    </row>
    <row r="25" spans="1:31">
      <c r="A25" s="6" t="s">
        <v>193</v>
      </c>
      <c r="B25" s="134" t="s">
        <v>194</v>
      </c>
      <c r="C25" s="136">
        <f>'Res Bill Impact'!C25</f>
        <v>0.41150228008932016</v>
      </c>
      <c r="D25" s="136">
        <f>'Res Bill Impact'!D25</f>
        <v>0.4129875432352299</v>
      </c>
      <c r="E25" s="136">
        <f>H8</f>
        <v>0.4129875432352299</v>
      </c>
      <c r="F25" s="242"/>
      <c r="H25" s="6" t="s">
        <v>199</v>
      </c>
      <c r="I25" s="155">
        <f>'Res Bill Impact'!I25</f>
        <v>406</v>
      </c>
      <c r="J25" s="155">
        <f>'Res Bill Impact'!J25</f>
        <v>374</v>
      </c>
      <c r="K25" s="6" t="s">
        <v>199</v>
      </c>
      <c r="L25" s="155">
        <f>'Res Bill Impact'!L25</f>
        <v>341</v>
      </c>
      <c r="M25" s="155">
        <f>'Res Bill Impact'!M25</f>
        <v>475</v>
      </c>
      <c r="N25" s="119"/>
      <c r="P25" s="144" t="s">
        <v>199</v>
      </c>
      <c r="Q25" s="145">
        <f>'Res Bill Impact'!Q25</f>
        <v>325.12078600000001</v>
      </c>
      <c r="R25" s="145">
        <f>'Res Bill Impact'!R25</f>
        <v>273.16046899999998</v>
      </c>
      <c r="S25" s="145">
        <f>'Res Bill Impact'!S25</f>
        <v>427.16779600000001</v>
      </c>
      <c r="T25" s="145">
        <f>'Res Bill Impact'!T25</f>
        <v>342.00768900000003</v>
      </c>
      <c r="U25" s="196">
        <f>'Res Bill Impact'!U25</f>
        <v>0.39741346264089933</v>
      </c>
      <c r="V25" s="196">
        <f>'Res Bill Impact'!V25</f>
        <v>0.49010292551843027</v>
      </c>
    </row>
    <row r="26" spans="1:31">
      <c r="B26" s="134" t="s">
        <v>195</v>
      </c>
      <c r="C26" s="136">
        <f>'Res Bill Impact'!C26</f>
        <v>0.51813252387405373</v>
      </c>
      <c r="D26" s="136">
        <f>'Res Bill Impact'!D26</f>
        <v>0.52000265480562546</v>
      </c>
      <c r="E26" s="136">
        <f>H10</f>
        <v>0.52000265480562546</v>
      </c>
      <c r="F26" s="242"/>
      <c r="I26" s="119"/>
      <c r="J26" s="119"/>
      <c r="M26" s="119"/>
      <c r="N26" s="119"/>
      <c r="Q26" s="149"/>
      <c r="R26" s="149"/>
      <c r="S26" s="149"/>
      <c r="T26" s="149"/>
      <c r="U26" s="197"/>
      <c r="V26" s="197"/>
    </row>
    <row r="27" spans="1:31">
      <c r="B27" s="134"/>
      <c r="C27" s="136"/>
      <c r="D27" s="136"/>
      <c r="E27" s="136"/>
      <c r="F27" s="242"/>
      <c r="I27" s="119"/>
      <c r="J27" s="119"/>
      <c r="M27" s="119"/>
      <c r="N27" s="119"/>
      <c r="Q27" s="149"/>
      <c r="R27" s="149"/>
      <c r="S27" s="149"/>
      <c r="T27" s="149"/>
      <c r="U27" s="197"/>
      <c r="V27" s="197"/>
    </row>
    <row r="28" spans="1:31">
      <c r="I28" s="119"/>
      <c r="J28" s="119"/>
      <c r="M28" s="119"/>
      <c r="N28" s="119"/>
      <c r="P28" s="6" t="str">
        <f>'Res Bill Impact'!P28</f>
        <v>2025 Recorded Data - Average Monthly Usage - ALL-ELECTRIC kWh</v>
      </c>
    </row>
    <row r="29" spans="1:31">
      <c r="B29" s="126" t="s">
        <v>212</v>
      </c>
      <c r="C29" s="126"/>
      <c r="D29" s="126"/>
      <c r="E29" s="127"/>
      <c r="F29" s="127"/>
      <c r="H29" s="126" t="s">
        <v>267</v>
      </c>
      <c r="I29" s="126"/>
      <c r="J29" s="126"/>
      <c r="K29" s="126" t="s">
        <v>266</v>
      </c>
      <c r="L29" s="126"/>
      <c r="M29" s="126"/>
      <c r="N29" s="119"/>
      <c r="P29" s="128" t="s">
        <v>191</v>
      </c>
      <c r="Q29" s="129" t="s">
        <v>192</v>
      </c>
      <c r="R29" s="129" t="s">
        <v>193</v>
      </c>
      <c r="S29" s="129" t="s">
        <v>192</v>
      </c>
      <c r="T29" s="129" t="s">
        <v>193</v>
      </c>
      <c r="U29" s="789" t="s">
        <v>196</v>
      </c>
      <c r="V29" s="790"/>
    </row>
    <row r="30" spans="1:31">
      <c r="B30" s="130" t="s">
        <v>175</v>
      </c>
      <c r="C30" s="131" t="str">
        <f>C21</f>
        <v>6/1/2026</v>
      </c>
      <c r="D30" s="131" t="str">
        <f>D21</f>
        <v>8/1/2026</v>
      </c>
      <c r="E30" s="132" t="s">
        <v>174</v>
      </c>
      <c r="F30" s="127"/>
      <c r="H30" s="133" t="s">
        <v>191</v>
      </c>
      <c r="I30" s="133" t="s">
        <v>192</v>
      </c>
      <c r="J30" s="133" t="s">
        <v>193</v>
      </c>
      <c r="K30" s="133" t="s">
        <v>191</v>
      </c>
      <c r="L30" s="133" t="s">
        <v>192</v>
      </c>
      <c r="M30" s="133" t="s">
        <v>193</v>
      </c>
      <c r="N30" s="119"/>
      <c r="P30" s="52"/>
      <c r="Q30" s="792" t="s">
        <v>149</v>
      </c>
      <c r="R30" s="793"/>
      <c r="S30" s="792" t="s">
        <v>150</v>
      </c>
      <c r="T30" s="793"/>
      <c r="U30" s="47" t="s">
        <v>149</v>
      </c>
      <c r="V30" s="47" t="s">
        <v>150</v>
      </c>
    </row>
    <row r="31" spans="1:31">
      <c r="A31" s="6" t="s">
        <v>192</v>
      </c>
      <c r="B31" s="134" t="s">
        <v>194</v>
      </c>
      <c r="C31" s="136">
        <f>'Res Bill Impact'!C31</f>
        <v>0.25802000000000003</v>
      </c>
      <c r="D31" s="136">
        <f>'Res Bill Impact'!D31</f>
        <v>0.25899</v>
      </c>
      <c r="E31" s="136">
        <f>S7</f>
        <v>0.25899</v>
      </c>
      <c r="F31" s="242"/>
      <c r="H31" s="6" t="s">
        <v>125</v>
      </c>
      <c r="I31" s="155">
        <f>'Res Bill Impact'!I31</f>
        <v>270</v>
      </c>
      <c r="J31" s="155">
        <f>'Res Bill Impact'!J31</f>
        <v>276</v>
      </c>
      <c r="K31" s="6" t="s">
        <v>125</v>
      </c>
      <c r="L31" s="155">
        <f>'Res Bill Impact'!L31</f>
        <v>181</v>
      </c>
      <c r="M31" s="155">
        <f>'Res Bill Impact'!M31</f>
        <v>264</v>
      </c>
      <c r="N31" s="119"/>
      <c r="P31" s="138" t="s">
        <v>125</v>
      </c>
      <c r="Q31" s="139">
        <f>'Res Bill Impact'!Q31</f>
        <v>283.425005</v>
      </c>
      <c r="R31" s="139">
        <f>'Res Bill Impact'!R31</f>
        <v>272.60744599999998</v>
      </c>
      <c r="S31" s="139">
        <f>'Res Bill Impact'!S31</f>
        <v>293.30439200000001</v>
      </c>
      <c r="T31" s="139">
        <f>'Res Bill Impact'!T31</f>
        <v>284.82109400000002</v>
      </c>
      <c r="U31" s="196">
        <f>'Res Bill Impact'!U31</f>
        <v>0.58383763710758863</v>
      </c>
      <c r="V31" s="196">
        <f>'Res Bill Impact'!V31</f>
        <v>0.44804334178157046</v>
      </c>
    </row>
    <row r="32" spans="1:31">
      <c r="B32" s="134" t="s">
        <v>195</v>
      </c>
      <c r="C32" s="136">
        <f>'Res Bill Impact'!C32</f>
        <v>0.32733000000000001</v>
      </c>
      <c r="D32" s="136">
        <f>'Res Bill Impact'!D32</f>
        <v>0.32854</v>
      </c>
      <c r="E32" s="136">
        <f>S9</f>
        <v>0.32854</v>
      </c>
      <c r="F32" s="242"/>
      <c r="H32" s="6" t="s">
        <v>197</v>
      </c>
      <c r="I32" s="155">
        <f>'Res Bill Impact'!I32</f>
        <v>408</v>
      </c>
      <c r="J32" s="155">
        <f>'Res Bill Impact'!J32</f>
        <v>387</v>
      </c>
      <c r="K32" s="6" t="s">
        <v>197</v>
      </c>
      <c r="L32" s="155">
        <f>'Res Bill Impact'!L32</f>
        <v>456</v>
      </c>
      <c r="M32" s="155">
        <f>'Res Bill Impact'!M32</f>
        <v>664</v>
      </c>
      <c r="N32" s="119"/>
      <c r="P32" s="141" t="s">
        <v>197</v>
      </c>
      <c r="Q32" s="139">
        <f>'Res Bill Impact'!Q32</f>
        <v>393.67990800000001</v>
      </c>
      <c r="R32" s="139">
        <f>'Res Bill Impact'!R32</f>
        <v>457.21679599999999</v>
      </c>
      <c r="S32" s="139">
        <f>'Res Bill Impact'!S32</f>
        <v>614.42968800000006</v>
      </c>
      <c r="T32" s="139">
        <f>'Res Bill Impact'!T32</f>
        <v>691.41233199999999</v>
      </c>
      <c r="U32" s="196">
        <f>'Res Bill Impact'!U32</f>
        <v>2.0596224598562734E-2</v>
      </c>
      <c r="V32" s="196">
        <f>'Res Bill Impact'!V32</f>
        <v>1.4334875717906388E-2</v>
      </c>
    </row>
    <row r="33" spans="1:27">
      <c r="B33" s="134"/>
      <c r="C33" s="136"/>
      <c r="D33" s="136"/>
      <c r="E33" s="136"/>
      <c r="F33" s="242"/>
      <c r="H33" s="6" t="s">
        <v>198</v>
      </c>
      <c r="I33" s="155">
        <f>'Res Bill Impact'!I33</f>
        <v>477</v>
      </c>
      <c r="J33" s="155">
        <f>'Res Bill Impact'!J33</f>
        <v>327</v>
      </c>
      <c r="K33" s="6" t="s">
        <v>198</v>
      </c>
      <c r="L33" s="155">
        <f>'Res Bill Impact'!L33</f>
        <v>509</v>
      </c>
      <c r="M33" s="155">
        <f>'Res Bill Impact'!M33</f>
        <v>513</v>
      </c>
      <c r="N33" s="119"/>
      <c r="P33" s="141" t="s">
        <v>198</v>
      </c>
      <c r="Q33" s="139">
        <f>'Res Bill Impact'!Q33</f>
        <v>347.61028700000003</v>
      </c>
      <c r="R33" s="139">
        <f>'Res Bill Impact'!R33</f>
        <v>178.718932</v>
      </c>
      <c r="S33" s="139">
        <f>'Res Bill Impact'!S33</f>
        <v>706.90564700000004</v>
      </c>
      <c r="T33" s="139">
        <f>'Res Bill Impact'!T33</f>
        <v>394.63204200000001</v>
      </c>
      <c r="U33" s="196">
        <f>'Res Bill Impact'!U33</f>
        <v>5.596052676821511E-3</v>
      </c>
      <c r="V33" s="196">
        <f>'Res Bill Impact'!V33</f>
        <v>3.7086985839514496E-3</v>
      </c>
    </row>
    <row r="34" spans="1:27">
      <c r="A34" s="6" t="s">
        <v>193</v>
      </c>
      <c r="B34" s="134" t="s">
        <v>194</v>
      </c>
      <c r="C34" s="136">
        <f>'Res Bill Impact'!C34</f>
        <v>0.25802000000000003</v>
      </c>
      <c r="D34" s="136">
        <f>'Res Bill Impact'!D34</f>
        <v>0.25899</v>
      </c>
      <c r="E34" s="136">
        <f>S8</f>
        <v>0.25899</v>
      </c>
      <c r="F34" s="242"/>
      <c r="H34" s="6" t="s">
        <v>199</v>
      </c>
      <c r="I34" s="155">
        <f>'Res Bill Impact'!I34</f>
        <v>312</v>
      </c>
      <c r="J34" s="155">
        <f>'Res Bill Impact'!J34</f>
        <v>288</v>
      </c>
      <c r="K34" s="6" t="s">
        <v>199</v>
      </c>
      <c r="L34" s="155">
        <f>'Res Bill Impact'!L34</f>
        <v>262</v>
      </c>
      <c r="M34" s="155">
        <f>'Res Bill Impact'!M34</f>
        <v>365</v>
      </c>
      <c r="N34" s="119"/>
      <c r="P34" s="144" t="s">
        <v>199</v>
      </c>
      <c r="Q34" s="145">
        <f>'Res Bill Impact'!Q34</f>
        <v>331.02294799999999</v>
      </c>
      <c r="R34" s="145">
        <f>'Res Bill Impact'!R34</f>
        <v>327.76564100000002</v>
      </c>
      <c r="S34" s="145">
        <f>'Res Bill Impact'!S34</f>
        <v>390.24194699999998</v>
      </c>
      <c r="T34" s="145">
        <f>'Res Bill Impact'!T34</f>
        <v>346.22200400000003</v>
      </c>
      <c r="U34" s="196">
        <f>'Res Bill Impact'!U34</f>
        <v>0.38997008561702712</v>
      </c>
      <c r="V34" s="196">
        <f>'Res Bill Impact'!V34</f>
        <v>0.53391308391657177</v>
      </c>
    </row>
    <row r="35" spans="1:27">
      <c r="B35" s="134" t="s">
        <v>195</v>
      </c>
      <c r="C35" s="136">
        <f>'Res Bill Impact'!C35</f>
        <v>0.32733000000000001</v>
      </c>
      <c r="D35" s="136">
        <f>'Res Bill Impact'!D35</f>
        <v>0.32854</v>
      </c>
      <c r="E35" s="136">
        <f>S10</f>
        <v>0.32854</v>
      </c>
      <c r="F35" s="242"/>
      <c r="I35" s="119"/>
      <c r="J35" s="119"/>
      <c r="M35" s="119"/>
      <c r="N35" s="119"/>
      <c r="Q35" s="149"/>
      <c r="R35" s="149"/>
      <c r="S35" s="149"/>
      <c r="T35" s="149"/>
      <c r="U35" s="197"/>
      <c r="V35" s="197"/>
    </row>
    <row r="36" spans="1:27">
      <c r="B36" s="134"/>
      <c r="C36" s="136"/>
      <c r="D36" s="136"/>
      <c r="E36" s="136"/>
      <c r="F36" s="242"/>
      <c r="I36" s="119"/>
      <c r="J36" s="119"/>
      <c r="M36" s="119"/>
      <c r="N36" s="119"/>
      <c r="Q36" s="149"/>
      <c r="R36" s="149"/>
      <c r="S36" s="149"/>
      <c r="T36" s="149"/>
      <c r="U36" s="197"/>
      <c r="V36" s="197"/>
    </row>
    <row r="37" spans="1:27">
      <c r="B37" s="7"/>
      <c r="C37" s="198"/>
      <c r="D37" s="198"/>
      <c r="E37" s="199"/>
      <c r="F37" s="199"/>
      <c r="I37" s="119"/>
      <c r="J37" s="119"/>
      <c r="M37" s="119"/>
      <c r="N37" s="119"/>
      <c r="Q37" s="149"/>
      <c r="R37" s="149"/>
      <c r="S37" s="149"/>
      <c r="T37" s="149"/>
      <c r="U37" s="197"/>
      <c r="V37" s="197"/>
    </row>
    <row r="38" spans="1:27">
      <c r="B38" s="7"/>
      <c r="C38" s="198"/>
      <c r="D38" s="198"/>
      <c r="E38" s="199"/>
      <c r="F38" s="199"/>
    </row>
    <row r="39" spans="1:27" ht="18.75">
      <c r="A39" s="234"/>
      <c r="B39" s="885" t="s">
        <v>260</v>
      </c>
      <c r="C39" s="885"/>
      <c r="D39" s="885"/>
      <c r="E39" s="885"/>
      <c r="F39" s="885"/>
      <c r="G39" s="885"/>
      <c r="H39" s="885"/>
      <c r="I39" s="234"/>
      <c r="J39" s="234"/>
      <c r="N39" s="51"/>
    </row>
    <row r="40" spans="1:27">
      <c r="B40" s="7"/>
      <c r="C40" s="462" t="str">
        <f>'Res Bill Impact'!C40</f>
        <v>2025 Recorded Average Basic Bundled Non-CARE Customer Bill</v>
      </c>
      <c r="D40" s="463"/>
      <c r="E40" s="463"/>
      <c r="F40" s="463"/>
      <c r="G40" s="463"/>
      <c r="H40" s="464"/>
      <c r="L40" s="462" t="str">
        <f>'Res Bill Impact'!N40</f>
        <v xml:space="preserve">2025 Recorded Average All-Electric Bundled Non-CARE Customer </v>
      </c>
      <c r="M40" s="463"/>
      <c r="N40" s="463"/>
      <c r="O40" s="463"/>
      <c r="P40" s="463"/>
      <c r="Q40" s="464"/>
      <c r="R40" s="440"/>
      <c r="S40" s="440"/>
      <c r="T40" s="440"/>
      <c r="U40" s="440"/>
    </row>
    <row r="41" spans="1:27">
      <c r="B41" s="7"/>
      <c r="C41" s="881" t="str">
        <f>C30</f>
        <v>6/1/2026</v>
      </c>
      <c r="D41" s="881"/>
      <c r="E41" s="880" t="str">
        <f>D30</f>
        <v>8/1/2026</v>
      </c>
      <c r="F41" s="881"/>
      <c r="G41" s="881" t="str">
        <f>E30</f>
        <v>Proposed</v>
      </c>
      <c r="H41" s="881"/>
      <c r="I41" s="880"/>
      <c r="J41" s="881"/>
      <c r="K41" s="7"/>
      <c r="L41" s="249" t="str">
        <f>C41</f>
        <v>6/1/2026</v>
      </c>
      <c r="M41" s="249"/>
      <c r="N41" s="250" t="str">
        <f>E41</f>
        <v>8/1/2026</v>
      </c>
      <c r="O41" s="249"/>
      <c r="P41" s="249" t="str">
        <f>G41</f>
        <v>Proposed</v>
      </c>
      <c r="Q41" s="249"/>
      <c r="R41" s="440"/>
      <c r="S41" s="440"/>
      <c r="T41" s="440"/>
      <c r="U41" s="440"/>
    </row>
    <row r="42" spans="1:27">
      <c r="B42" s="7"/>
      <c r="C42" s="198" t="s">
        <v>192</v>
      </c>
      <c r="D42" s="198" t="s">
        <v>193</v>
      </c>
      <c r="E42" s="198" t="s">
        <v>192</v>
      </c>
      <c r="F42" s="198" t="s">
        <v>193</v>
      </c>
      <c r="G42" s="198" t="s">
        <v>192</v>
      </c>
      <c r="H42" s="198" t="s">
        <v>193</v>
      </c>
      <c r="I42" s="198"/>
      <c r="J42" s="198"/>
      <c r="K42" s="7"/>
      <c r="L42" s="198" t="s">
        <v>192</v>
      </c>
      <c r="M42" s="198" t="s">
        <v>193</v>
      </c>
      <c r="N42" s="198" t="s">
        <v>192</v>
      </c>
      <c r="O42" s="198" t="s">
        <v>193</v>
      </c>
      <c r="P42" s="198" t="s">
        <v>192</v>
      </c>
      <c r="Q42" s="198" t="s">
        <v>193</v>
      </c>
    </row>
    <row r="43" spans="1:27">
      <c r="B43" s="138" t="s">
        <v>125</v>
      </c>
      <c r="C43" s="200">
        <f>$F$15+IF($Q22&gt;$I22,C$22*$I22+C$23*($Q22-$I22),$Q22*C$22)+('Hypothetical SAR and RAR'!$C$21*$Q22)</f>
        <v>161.72939648301403</v>
      </c>
      <c r="D43" s="200">
        <f>$F$15+IF($R22&gt;$J22,C$25*$J22+C$26*($R22-$J22),$R22*C$25)+('Hypothetical SAR and RAR'!$C$21*$R22)</f>
        <v>151.37885833334184</v>
      </c>
      <c r="E43" s="200">
        <f>$F$15+IF($Q22&gt;$I22,D$22*$I22+D$23*($Q22-$I22),$Q22*D$22)+('Hypothetical SAR and RAR'!$C$21*$Q22)</f>
        <v>162.22601711266563</v>
      </c>
      <c r="F43" s="200">
        <f>$F$15+IF($R22&gt;$J22,D$25*$J22+D$26*($R22-$J22),$R22*D$25)+('Hypothetical SAR and RAR'!$C$21*$R22)</f>
        <v>151.83821062874151</v>
      </c>
      <c r="G43" s="200">
        <f>$F$15+IF($Q22&gt;$I22,E$22*$I22+E$23*($Q22-$I22),$Q22*E$22)+('Hypothetical SAR and RAR'!$C$21*$Q22)</f>
        <v>162.22601711266563</v>
      </c>
      <c r="H43" s="200">
        <f>$F$15+IF($R22&gt;$J22,E$25*$J22+E$26*($R22-$J22),$R22*E$25)+('Hypothetical SAR and RAR'!$C$21*$R22)</f>
        <v>151.83821062874151</v>
      </c>
      <c r="I43" s="243"/>
      <c r="J43" s="243"/>
      <c r="K43" s="138" t="s">
        <v>125</v>
      </c>
      <c r="L43" s="200">
        <f>$F$15+IF($Q31&gt;$L22,C$22*$L22+C$23*($Q31-$L22),$Q31*C$22)+('Hypothetical SAR and RAR'!$C$21*$Q31)</f>
        <v>145.87993088525391</v>
      </c>
      <c r="M43" s="200">
        <f>$F$15+IF($R31&gt;$M22,C$25*$M22+C$26*($R31-$M22),$R31*C$25)+('Hypothetical SAR and RAR'!$C$21*$R31)</f>
        <v>136.2540930443262</v>
      </c>
      <c r="N43" s="200">
        <f>$F$15+IF($Q31&gt;$L22,D$22*$L22+D$23*($Q31-$L22),$Q31*D$22)+('Hypothetical SAR and RAR'!$C$21*$Q31)</f>
        <v>146.31952882425472</v>
      </c>
      <c r="O43" s="200">
        <f>$F$15+IF($R31&gt;$M22,D$22*$M22+D$23*($R31-$M22),$R31*D$22)+('Hypothetical SAR and RAR'!$C$21*$R31)</f>
        <v>136.6589868371706</v>
      </c>
      <c r="P43" s="200">
        <f>$F$15+IF($Q31&gt;$L22,E$22*$L22+E$23*($Q31-$L22),$Q31*E$22)+('Hypothetical SAR and RAR'!$C$21*$Q31)</f>
        <v>146.31952882425472</v>
      </c>
      <c r="Q43" s="200">
        <f>$F$15+IF($R31&gt;$M22,E$25*$M22+E$26*($R31-$M22),$R31*E$25)+('Hypothetical SAR and RAR'!$C$21*$R31)</f>
        <v>136.6589868371706</v>
      </c>
      <c r="R43" s="439"/>
      <c r="S43" s="439"/>
      <c r="T43" s="439"/>
      <c r="U43" s="439"/>
      <c r="W43" s="439"/>
      <c r="X43" s="439"/>
      <c r="Y43" s="439"/>
      <c r="Z43" s="439"/>
    </row>
    <row r="44" spans="1:27">
      <c r="B44" s="141" t="s">
        <v>197</v>
      </c>
      <c r="C44" s="200">
        <f>$F$15+IF($Q23&gt;$I23,C$22*$I23+C$23*($Q23-$I23),$Q23*C$22)+('Hypothetical SAR and RAR'!$C$21*$Q23)</f>
        <v>176.79659749134549</v>
      </c>
      <c r="D44" s="200">
        <f>$F$15+IF($R23&gt;$J23,C$25*$J23+C$26*($R23-$J23),$R23*C$25)+('Hypothetical SAR and RAR'!$C$21*$R23)</f>
        <v>156.18820509180742</v>
      </c>
      <c r="E44" s="200">
        <f>$F$15+IF($Q23&gt;$I23,D$22*$I23+D$23*($Q23-$I23),$Q23*D$22)+('Hypothetical SAR and RAR'!$C$21*$Q23)</f>
        <v>177.34746935656563</v>
      </c>
      <c r="F44" s="200">
        <f>$F$15+IF($R23&gt;$J23,D$25*$J23+D$26*($R23-$J23),$R23*D$25)+('Hypothetical SAR and RAR'!$C$21*$R23)</f>
        <v>156.66487400784422</v>
      </c>
      <c r="G44" s="200">
        <f>$F$15+IF($Q23&gt;$I23,E$22*$I23+E$23*($Q23-$I23),$Q23*E$22)+('Hypothetical SAR and RAR'!$C$21*$Q23)</f>
        <v>177.34746935656563</v>
      </c>
      <c r="H44" s="200">
        <f>$F$15+IF($R23&gt;$J23,E$25*$J23+E$26*($R23-$J23),$R23*E$25)+('Hypothetical SAR and RAR'!$C$21*$R23)</f>
        <v>156.66487400784422</v>
      </c>
      <c r="I44" s="243"/>
      <c r="J44" s="243"/>
      <c r="K44" s="141" t="s">
        <v>197</v>
      </c>
      <c r="L44" s="200">
        <f>$F$15+IF($Q32&gt;$L23,C$22*$L23+C$23*($Q32-$L23),$Q32*C$22)+('Hypothetical SAR and RAR'!$C$21*$Q32)</f>
        <v>186.19675967535377</v>
      </c>
      <c r="M44" s="200">
        <f>$F$15+IF($R32&gt;$M23,C$25*$M23+C$26*($R32-$M23),$R32*C$25)+('Hypothetical SAR and RAR'!$C$21*$R32)</f>
        <v>212.40587084513356</v>
      </c>
      <c r="N44" s="200">
        <f>$F$15+IF($Q32&gt;$L23,D$22*$L23+D$23*($Q32-$L23),$Q32*D$22)+('Hypothetical SAR and RAR'!$C$21*$Q32)</f>
        <v>186.78147793399131</v>
      </c>
      <c r="O44" s="200">
        <f>$F$15+IF($R32&gt;$M23,D$22*$M23+D$23*($R32-$M23),$R32*D$22)+('Hypothetical SAR and RAR'!$C$21*$R32)</f>
        <v>213.08495810192329</v>
      </c>
      <c r="P44" s="200">
        <f>$F$15+IF($Q32&gt;$L23,E$22*$L23+E$23*($Q32-$L23),$Q32*E$22)+('Hypothetical SAR and RAR'!$C$21*$Q32)</f>
        <v>186.78147793399131</v>
      </c>
      <c r="Q44" s="200">
        <f>$F$15+IF($R32&gt;$M23,E$25*$M23+E$26*($R32-$M23),$R32*E$25)+('Hypothetical SAR and RAR'!$C$21*$R32)</f>
        <v>213.08495810192329</v>
      </c>
      <c r="R44" s="439"/>
      <c r="S44" s="439"/>
      <c r="T44" s="439"/>
      <c r="U44" s="439"/>
      <c r="W44" s="439"/>
      <c r="X44" s="439"/>
      <c r="Y44" s="439"/>
      <c r="Z44" s="439"/>
    </row>
    <row r="45" spans="1:27">
      <c r="B45" s="141" t="s">
        <v>198</v>
      </c>
      <c r="C45" s="200">
        <f>$F$15+IF($Q24&gt;$I24,C$22*$I24+C$23*($Q24-$I24),$Q24*C$22)+('Hypothetical SAR and RAR'!$C$21*$Q24)</f>
        <v>189.20379899663945</v>
      </c>
      <c r="D45" s="200">
        <f>$F$15+IF($R24&gt;$J24,C$25*$J24+C$26*($R24-$J24),$R24*C$25)+('Hypothetical SAR and RAR'!$C$21*$R24)</f>
        <v>87.217413833606699</v>
      </c>
      <c r="E45" s="200">
        <f>$F$15+IF($Q24&gt;$I24,D$22*$I24+D$23*($Q24-$I24),$Q24*D$22)+('Hypothetical SAR and RAR'!$C$21*$Q24)</f>
        <v>189.79934445526541</v>
      </c>
      <c r="F45" s="200">
        <f>$F$15+IF($R24&gt;$J24,D$25*$J24+D$26*($R24-$J24),$R24*D$25)+('Hypothetical SAR and RAR'!$C$21*$R24)</f>
        <v>87.445745275295806</v>
      </c>
      <c r="G45" s="200">
        <f>$F$15+IF($Q24&gt;$I24,E$22*$I24+E$23*($Q24-$I24),$Q24*E$22)+('Hypothetical SAR and RAR'!$C$21*$Q24)</f>
        <v>189.79934445526541</v>
      </c>
      <c r="H45" s="200">
        <f>$F$15+IF($R24&gt;$J24,E$25*$J24+E$26*($R24-$J24),$R24*E$25)+('Hypothetical SAR and RAR'!$C$21*$R24)</f>
        <v>87.445745275295806</v>
      </c>
      <c r="I45" s="243"/>
      <c r="J45" s="243"/>
      <c r="K45" s="141" t="s">
        <v>198</v>
      </c>
      <c r="L45" s="200">
        <f>$F$15+IF($Q33&gt;$L24,C$22*$L24+C$23*($Q33-$L24),$Q33*C$22)+('Hypothetical SAR and RAR'!$C$21*$Q33)</f>
        <v>167.19293597000299</v>
      </c>
      <c r="M45" s="200">
        <f>$F$15+IF($R33&gt;$M24,C$25*$M24+C$26*($R33-$M24),$R33*C$25)+('Hypothetical SAR and RAR'!$C$21*$R33)</f>
        <v>97.524866945128153</v>
      </c>
      <c r="N45" s="200">
        <f>$F$15+IF($Q33&gt;$L24,D$22*$L24+D$23*($Q33-$L24),$Q33*D$22)+('Hypothetical SAR and RAR'!$C$21*$Q33)</f>
        <v>167.70922871842319</v>
      </c>
      <c r="O45" s="200">
        <f>$F$15+IF($R33&gt;$M24,D$22*$M24+D$23*($R33-$M24),$R33*D$22)+('Hypothetical SAR and RAR'!$C$21*$R33)</f>
        <v>97.790311588304107</v>
      </c>
      <c r="P45" s="200">
        <f>$F$15+IF($Q33&gt;$L24,E$22*$L24+E$23*($Q33-$L24),$Q33*E$22)+('Hypothetical SAR and RAR'!$C$21*$Q33)</f>
        <v>167.70922871842319</v>
      </c>
      <c r="Q45" s="200">
        <f>$F$15+IF($R33&gt;$M24,E$25*$M24+E$26*($R33-$M24),$R33*E$25)+('Hypothetical SAR and RAR'!$C$21*$R33)</f>
        <v>97.790311588304107</v>
      </c>
      <c r="R45" s="439"/>
      <c r="S45" s="439"/>
      <c r="T45" s="439"/>
      <c r="U45" s="439"/>
      <c r="W45" s="439"/>
      <c r="X45" s="439"/>
      <c r="Y45" s="439"/>
      <c r="Z45" s="439"/>
      <c r="AA45" s="10"/>
    </row>
    <row r="46" spans="1:27">
      <c r="B46" s="144" t="s">
        <v>199</v>
      </c>
      <c r="C46" s="200">
        <f>$F$15+IF($Q25&gt;$I25,C$22*$I25+C$23*($Q25-$I25),$Q25*C$22)+('Hypothetical SAR and RAR'!$C$21*$Q25)</f>
        <v>157.91596552943193</v>
      </c>
      <c r="D46" s="200">
        <f>$F$15+IF($R25&gt;$J25,C$25*$J25+C$26*($R25-$J25),$R25*C$25)+('Hypothetical SAR and RAR'!$C$21*$R25)</f>
        <v>136.48221629276804</v>
      </c>
      <c r="E46" s="200">
        <f>$F$15+IF($Q25&gt;$I25,D$22*$I25+D$23*($Q25-$I25),$Q25*D$22)+('Hypothetical SAR and RAR'!$C$21*$Q25)</f>
        <v>158.39885545084695</v>
      </c>
      <c r="F46" s="200">
        <f>$F$15+IF($R25&gt;$J25,D$25*$J25+D$26*($R25-$J25),$R25*D$25)+('Hypothetical SAR and RAR'!$C$21*$R25)</f>
        <v>136.88793147029318</v>
      </c>
      <c r="G46" s="200">
        <f>$F$15+IF($Q25&gt;$I25,E$22*$I25+E$23*($Q25-$I25),$Q25*E$22)+('Hypothetical SAR and RAR'!$C$21*$Q25)</f>
        <v>158.39885545084695</v>
      </c>
      <c r="H46" s="200">
        <f>$F$15+IF($R25&gt;$J25,E$25*$J25+E$26*($R25-$J25),$R25*E$25)+('Hypothetical SAR and RAR'!$C$21*$R25)</f>
        <v>136.88793147029318</v>
      </c>
      <c r="I46" s="243"/>
      <c r="J46" s="243"/>
      <c r="K46" s="144" t="s">
        <v>199</v>
      </c>
      <c r="L46" s="200">
        <f>$F$15+IF($Q34&gt;$L25,C$22*$L25+C$23*($Q34-$L25),$Q34*C$22)+('Hypothetical SAR and RAR'!$C$21*$Q34)</f>
        <v>160.35062081188846</v>
      </c>
      <c r="M46" s="200">
        <f>$F$15+IF($R34&gt;$M25,C$25*$M25+C$26*($R34-$M25),$R34*C$25)+('Hypothetical SAR and RAR'!$C$21*$R34)</f>
        <v>159.00697424743757</v>
      </c>
      <c r="N46" s="200">
        <f>$F$15+IF($Q34&gt;$L25,D$22*$L25+D$23*($Q34-$L25),$Q34*D$22)+('Hypothetical SAR and RAR'!$C$21*$Q34)</f>
        <v>160.84227699700324</v>
      </c>
      <c r="O46" s="200">
        <f>$F$15+IF($R34&gt;$M25,D$22*$M25+D$23*($R34-$M25),$R34*D$22)+('Hypothetical SAR and RAR'!$C$21*$R34)</f>
        <v>159.49379247451037</v>
      </c>
      <c r="P46" s="200">
        <f>$F$15+IF($Q34&gt;$L25,E$22*$L25+E$23*($Q34-$L25),$Q34*E$22)+('Hypothetical SAR and RAR'!$C$21*$Q34)</f>
        <v>160.84227699700324</v>
      </c>
      <c r="Q46" s="200">
        <f>$F$15+IF($R34&gt;$M25,E$25*$M25+E$26*($R34-$M25),$R34*E$25)+('Hypothetical SAR and RAR'!$C$21*$R34)</f>
        <v>159.49379247451037</v>
      </c>
      <c r="R46" s="439"/>
      <c r="S46" s="439"/>
      <c r="T46" s="439"/>
      <c r="U46" s="439"/>
      <c r="W46" s="439"/>
      <c r="X46" s="439"/>
      <c r="Y46" s="439"/>
      <c r="Z46" s="439"/>
    </row>
    <row r="47" spans="1:27" s="10" customFormat="1">
      <c r="B47" s="6" t="s">
        <v>112</v>
      </c>
      <c r="C47" s="201">
        <f t="shared" ref="C47:H47" si="4">SUMPRODUCT(C43:C46,$U$22:$U$25)</f>
        <v>160.37181948193862</v>
      </c>
      <c r="D47" s="201">
        <f t="shared" si="4"/>
        <v>145.42721416984045</v>
      </c>
      <c r="E47" s="201">
        <f t="shared" si="4"/>
        <v>160.86355199536698</v>
      </c>
      <c r="F47" s="201">
        <f t="shared" si="4"/>
        <v>145.86513686797414</v>
      </c>
      <c r="G47" s="201">
        <f>SUMPRODUCT(G43:G46,$U$22:$U$25)</f>
        <v>160.86355199536698</v>
      </c>
      <c r="H47" s="201">
        <f t="shared" si="4"/>
        <v>145.86513686797414</v>
      </c>
      <c r="I47" s="244"/>
      <c r="J47" s="244"/>
      <c r="K47" s="6" t="s">
        <v>112</v>
      </c>
      <c r="L47" s="201">
        <f t="shared" ref="L47:Q47" si="5">SUMPRODUCT(L43:L46,$U$31:$U$34)</f>
        <v>152.47271023489938</v>
      </c>
      <c r="M47" s="201">
        <f t="shared" si="5"/>
        <v>146.47874440491921</v>
      </c>
      <c r="N47" s="201">
        <f t="shared" si="5"/>
        <v>152.9360274514849</v>
      </c>
      <c r="O47" s="201">
        <f t="shared" si="5"/>
        <v>146.92045326177339</v>
      </c>
      <c r="P47" s="201">
        <f t="shared" si="5"/>
        <v>152.9360274514849</v>
      </c>
      <c r="Q47" s="201">
        <f t="shared" si="5"/>
        <v>146.92045326177339</v>
      </c>
      <c r="R47" s="439"/>
      <c r="S47" s="439"/>
      <c r="T47" s="439"/>
      <c r="U47" s="439"/>
      <c r="W47" s="439"/>
      <c r="X47" s="439"/>
      <c r="Y47" s="439"/>
      <c r="Z47" s="439"/>
      <c r="AA47" s="6"/>
    </row>
    <row r="48" spans="1:27">
      <c r="B48" s="7"/>
      <c r="C48" s="361"/>
      <c r="D48" s="361"/>
      <c r="E48" s="361"/>
      <c r="F48" s="361"/>
      <c r="G48" s="147"/>
      <c r="H48" s="147"/>
      <c r="I48" s="147"/>
      <c r="J48" s="147"/>
      <c r="K48" s="7"/>
      <c r="L48" s="198"/>
      <c r="M48" s="198"/>
      <c r="N48" s="199"/>
      <c r="O48" s="146"/>
      <c r="P48" s="147"/>
      <c r="Q48" s="147"/>
    </row>
    <row r="49" spans="2:27">
      <c r="B49" s="7"/>
      <c r="C49" s="198"/>
      <c r="D49" s="198"/>
      <c r="E49" s="199"/>
      <c r="F49" s="198"/>
      <c r="G49" s="147"/>
      <c r="H49" s="147"/>
      <c r="I49" s="147"/>
      <c r="J49" s="147"/>
      <c r="K49" s="7"/>
      <c r="L49" s="198"/>
      <c r="M49" s="198"/>
      <c r="N49" s="199"/>
      <c r="O49" s="198"/>
      <c r="P49" s="147"/>
      <c r="Q49" s="147"/>
    </row>
    <row r="50" spans="2:27">
      <c r="B50" s="7"/>
      <c r="C50" s="462" t="str">
        <f>'Res Bill Impact'!C50</f>
        <v>2025 Recorded Average Basic Bundled CARE Customer Bill</v>
      </c>
      <c r="D50" s="357"/>
      <c r="E50" s="357"/>
      <c r="F50" s="357"/>
      <c r="G50" s="357"/>
      <c r="H50" s="456"/>
      <c r="K50" s="7"/>
      <c r="L50" s="462" t="str">
        <f>'Res Bill Impact'!N50</f>
        <v xml:space="preserve">2025 Recorded Average All-Electric Bundled CARE Customer </v>
      </c>
      <c r="M50" s="463"/>
      <c r="N50" s="463"/>
      <c r="O50" s="463"/>
      <c r="P50" s="463"/>
      <c r="Q50" s="464"/>
    </row>
    <row r="51" spans="2:27">
      <c r="B51" s="7"/>
      <c r="C51" s="881" t="str">
        <f>C30</f>
        <v>6/1/2026</v>
      </c>
      <c r="D51" s="881"/>
      <c r="E51" s="880" t="str">
        <f>D30</f>
        <v>8/1/2026</v>
      </c>
      <c r="F51" s="881"/>
      <c r="G51" s="881" t="str">
        <f>E30</f>
        <v>Proposed</v>
      </c>
      <c r="H51" s="881"/>
      <c r="I51" s="883"/>
      <c r="J51" s="884"/>
      <c r="K51" s="7"/>
      <c r="L51" s="249" t="str">
        <f>L41</f>
        <v>6/1/2026</v>
      </c>
      <c r="M51" s="249"/>
      <c r="N51" s="250" t="str">
        <f>N41</f>
        <v>8/1/2026</v>
      </c>
      <c r="O51" s="249"/>
      <c r="P51" s="249" t="str">
        <f>P41</f>
        <v>Proposed</v>
      </c>
      <c r="Q51" s="249"/>
    </row>
    <row r="52" spans="2:27">
      <c r="B52" s="7"/>
      <c r="C52" s="198" t="s">
        <v>192</v>
      </c>
      <c r="D52" s="198" t="s">
        <v>193</v>
      </c>
      <c r="E52" s="198" t="s">
        <v>192</v>
      </c>
      <c r="F52" s="198" t="s">
        <v>193</v>
      </c>
      <c r="G52" s="198" t="s">
        <v>192</v>
      </c>
      <c r="H52" s="198" t="s">
        <v>193</v>
      </c>
      <c r="I52" s="243"/>
      <c r="J52" s="243"/>
      <c r="K52" s="7"/>
      <c r="L52" s="198" t="s">
        <v>192</v>
      </c>
      <c r="M52" s="198" t="s">
        <v>193</v>
      </c>
      <c r="N52" s="198" t="s">
        <v>192</v>
      </c>
      <c r="O52" s="198" t="s">
        <v>193</v>
      </c>
      <c r="P52" s="198" t="s">
        <v>192</v>
      </c>
      <c r="Q52" s="198" t="s">
        <v>193</v>
      </c>
    </row>
    <row r="53" spans="2:27">
      <c r="B53" s="138" t="s">
        <v>125</v>
      </c>
      <c r="C53" s="200">
        <f>$Q$15+IF($S22&gt;$I22,C$31*$I22+C$32*($S22-$I22),$S22*C$31)+('Hypothetical SAR and RAR'!$C$21*$S22)</f>
        <v>91.218596196600004</v>
      </c>
      <c r="D53" s="200">
        <f>$Q$15+IF($T22&gt;$J22,C$34*$J22+C$35*($T22-$J22),$T22*C$34)+('Hypothetical SAR and RAR'!$C$21*$T22)</f>
        <v>83.765680341300012</v>
      </c>
      <c r="E53" s="200">
        <f>$Q$15+IF($S22&gt;$I22,D$31*$I22+D$32*($S22-$I22),$S22*D$31)+('Hypothetical SAR and RAR'!$C$21*$S22)</f>
        <v>91.538052436699999</v>
      </c>
      <c r="F53" s="200">
        <f>$Q$15+IF($T22&gt;$J22,D$34*$J22+D$35*($T22-$J22),$T22*D$34)+('Hypothetical SAR and RAR'!$C$21*$T22)</f>
        <v>84.057226271849999</v>
      </c>
      <c r="G53" s="200">
        <f>$Q$15+IF($S22&gt;$I22,E$31*$I22+E$32*($S22-$I22),$S22*E$31)+('Hypothetical SAR and RAR'!$C$21*$S22)</f>
        <v>91.538052436699999</v>
      </c>
      <c r="H53" s="200">
        <f>$Q$15+IF($T22&gt;$J22,E$34*$J22+E$35*($T22-$J22),$T22*E$34)+('Hypothetical SAR and RAR'!$C$21*$T22)</f>
        <v>84.057226271849999</v>
      </c>
      <c r="I53" s="243"/>
      <c r="J53" s="243"/>
      <c r="K53" s="138" t="s">
        <v>125</v>
      </c>
      <c r="L53" s="200">
        <f>$Q$15+IF($S31&gt;$L22,C$31*$L22+C$32*($S31-$L22),$S31*C$31)+('Hypothetical SAR and RAR'!$C$21*$S31)</f>
        <v>85.926681025360011</v>
      </c>
      <c r="M53" s="200">
        <f>$Q$15+IF($T31&gt;$M22,C$34*$M22+C$35*($T31-$M22),$T31*C$34)+('Hypothetical SAR and RAR'!$C$21*$T31)</f>
        <v>79.688259767879998</v>
      </c>
      <c r="N53" s="200">
        <f>$Q$15+IF($S31&gt;$L22,D$31*$L22+D$32*($S31-$L22),$S31*D$31)+('Hypothetical SAR and RAR'!$C$21*$S31)</f>
        <v>86.225179339679997</v>
      </c>
      <c r="O53" s="200">
        <f>$Q$15+IF($T31&gt;$M22,D$34*$M22+D$35*($T31-$M22),$T31*D$34)+('Hypothetical SAR and RAR'!$C$21*$T31)</f>
        <v>79.964536229060002</v>
      </c>
      <c r="P53" s="200">
        <f>$Q$15+IF($S31&gt;$L22,E$31*$L22+E$32*($S31-$L22),$S31*E$31)+('Hypothetical SAR and RAR'!$C$21*$S31)</f>
        <v>86.225179339679997</v>
      </c>
      <c r="Q53" s="200">
        <f>$Q$15+IF($T31&gt;$M22,E$34*$M22+E$35*($T31-$M22),$T31*E$34)+('Hypothetical SAR and RAR'!$C$21*$T31)</f>
        <v>79.964536229060002</v>
      </c>
      <c r="R53" s="439"/>
      <c r="S53" s="439"/>
      <c r="T53" s="439"/>
      <c r="U53" s="439"/>
      <c r="W53" s="439"/>
      <c r="X53" s="439"/>
      <c r="Y53" s="439"/>
      <c r="Z53" s="439"/>
    </row>
    <row r="54" spans="2:27">
      <c r="B54" s="141" t="s">
        <v>197</v>
      </c>
      <c r="C54" s="200">
        <f>$Q$15+IF($S23&gt;$I23,C$31*$I23+C$32*($S23-$I23),$S23*C$31)+('Hypothetical SAR and RAR'!$C$21*$S23)</f>
        <v>164.74195080860005</v>
      </c>
      <c r="D54" s="200">
        <f>$Q$15+IF($T23&gt;$J23,C$34*$J23+C$35*($T23-$J23),$T23*C$34)+('Hypothetical SAR and RAR'!$C$21*$T23)</f>
        <v>146.84733243557002</v>
      </c>
      <c r="E54" s="200">
        <f>$Q$15+IF($S23&gt;$I23,D$31*$I23+D$32*($S23-$I23),$S23*D$31)+('Hypothetical SAR and RAR'!$C$21*$S23)</f>
        <v>165.33545998680003</v>
      </c>
      <c r="F54" s="200">
        <f>$Q$15+IF($T23&gt;$J23,D$34*$J23+D$35*($T23-$J23),$T23*D$34)+('Hypothetical SAR and RAR'!$C$21*$T23)</f>
        <v>147.37447768866002</v>
      </c>
      <c r="G54" s="200">
        <f>$Q$15+IF($S23&gt;$I23,E$31*$I23+E$32*($S23-$I23),$S23*E$31)+('Hypothetical SAR and RAR'!$C$21*$S23)</f>
        <v>165.33545998680003</v>
      </c>
      <c r="H54" s="200">
        <f>$Q$15+IF($T23&gt;$J23,E$34*$J23+E$35*($T23-$J23),$T23*E$34)+('Hypothetical SAR and RAR'!$C$21*$T23)</f>
        <v>147.37447768866002</v>
      </c>
      <c r="I54" s="243"/>
      <c r="J54" s="243"/>
      <c r="K54" s="141" t="s">
        <v>197</v>
      </c>
      <c r="L54" s="200">
        <f>$Q$15+IF($S32&gt;$L23,C$31*$L23+C$32*($S32-$L23),$S32*C$31)+('Hypothetical SAR and RAR'!$C$21*$S32)</f>
        <v>166.54876946104005</v>
      </c>
      <c r="M54" s="200">
        <f>$Q$15+IF($T32&gt;$M23,C$34*$M23+C$35*($T32-$M23),$T32*C$34)+('Hypothetical SAR and RAR'!$C$21*$T32)</f>
        <v>185.00352223464003</v>
      </c>
      <c r="N54" s="200">
        <f>$Q$15+IF($S32&gt;$L23,D$31*$L23+D$32*($S32-$L23),$S32*D$31)+('Hypothetical SAR and RAR'!$C$21*$S32)</f>
        <v>167.14990938352005</v>
      </c>
      <c r="O54" s="200">
        <f>$Q$15+IF($T32&gt;$M23,D$34*$M23+D$35*($T32-$M23),$T32*D$34)+('Hypothetical SAR and RAR'!$C$21*$T32)</f>
        <v>185.67419219668</v>
      </c>
      <c r="P54" s="200">
        <f>$Q$15+IF($S32&gt;$L23,E$31*$L23+E$32*($S32-$L23),$S32*E$31)+('Hypothetical SAR and RAR'!$C$21*$S32)</f>
        <v>167.14990938352005</v>
      </c>
      <c r="Q54" s="200">
        <f>$Q$15+IF($T32&gt;$M23,E$34*$M23+E$35*($T32-$M23),$T32*E$34)+('Hypothetical SAR and RAR'!$C$21*$T32)</f>
        <v>185.67419219668</v>
      </c>
      <c r="R54" s="439"/>
      <c r="S54" s="439"/>
      <c r="T54" s="439"/>
      <c r="U54" s="439"/>
      <c r="W54" s="439"/>
      <c r="X54" s="439"/>
      <c r="Y54" s="439"/>
      <c r="Z54" s="439"/>
    </row>
    <row r="55" spans="2:27">
      <c r="B55" s="141" t="s">
        <v>198</v>
      </c>
      <c r="C55" s="200">
        <f>$Q$15+IF($S24&gt;$I24,C$31*$I24+C$32*($S24-$I24),$S24*C$31)+('Hypothetical SAR and RAR'!$C$21*$S24)</f>
        <v>176.81327738624003</v>
      </c>
      <c r="D55" s="200">
        <f>$Q$15+IF($T24&gt;$J24,C$34*$J24+C$35*($T24-$J24),$T24*C$34)+('Hypothetical SAR and RAR'!$C$21*$T24)</f>
        <v>89.024368100220016</v>
      </c>
      <c r="E55" s="200">
        <f>$Q$15+IF($S24&gt;$I24,D$31*$I24+D$32*($S24-$I24),$S24*D$31)+('Hypothetical SAR and RAR'!$C$21*$S24)</f>
        <v>177.45266186111999</v>
      </c>
      <c r="F55" s="200">
        <f>$Q$15+IF($T24&gt;$J24,D$34*$J24+D$35*($T24-$J24),$T24*D$34)+('Hypothetical SAR and RAR'!$C$21*$T24)</f>
        <v>89.335607209390005</v>
      </c>
      <c r="G55" s="200">
        <f>$Q$15+IF($S24&gt;$I24,E$31*$I24+E$32*($S24-$I24),$S24*E$31)+('Hypothetical SAR and RAR'!$C$21*$S24)</f>
        <v>177.45266186111999</v>
      </c>
      <c r="H55" s="200">
        <f>$Q$15+IF($T24&gt;$J24,E$34*$J24+E$35*($T24-$J24),$T24*E$34)+('Hypothetical SAR and RAR'!$C$21*$T24)</f>
        <v>89.335607209390005</v>
      </c>
      <c r="I55" s="243"/>
      <c r="J55" s="243"/>
      <c r="K55" s="141" t="s">
        <v>198</v>
      </c>
      <c r="L55" s="200">
        <f>$Q$15+IF($S33&gt;$L24,C$31*$L24+C$32*($S33-$L24),$S33*C$31)+('Hypothetical SAR and RAR'!$C$21*$S33)</f>
        <v>192.12901107951006</v>
      </c>
      <c r="M55" s="200">
        <f>$Q$15+IF($T33&gt;$M24,C$34*$M24+C$35*($T33-$M24),$T33*C$34)+('Hypothetical SAR and RAR'!$C$21*$T33)</f>
        <v>108.13149151884001</v>
      </c>
      <c r="N55" s="200">
        <f>$Q$15+IF($S33&gt;$L24,D$31*$L24+D$32*($S33-$L24),$S33*D$31)+('Hypothetical SAR and RAR'!$C$21*$S33)</f>
        <v>192.82548691238003</v>
      </c>
      <c r="O55" s="200">
        <f>$Q$15+IF($T33&gt;$M24,D$34*$M24+D$35*($T33-$M24),$T33*D$34)+('Hypothetical SAR and RAR'!$C$21*$T33)</f>
        <v>108.51428459957999</v>
      </c>
      <c r="P55" s="200">
        <f>$Q$15+IF($S33&gt;$L24,E$31*$L24+E$32*($S33-$L24),$S33*E$31)+('Hypothetical SAR and RAR'!$C$21*$S33)</f>
        <v>192.82548691238003</v>
      </c>
      <c r="Q55" s="200">
        <f>$Q$15+IF($T33&gt;$M24,E$34*$M24+E$35*($T33-$M24),$T33*E$34)+('Hypothetical SAR and RAR'!$C$21*$T33)</f>
        <v>108.51428459957999</v>
      </c>
      <c r="R55" s="439"/>
      <c r="S55" s="439"/>
      <c r="T55" s="439"/>
      <c r="U55" s="439"/>
      <c r="W55" s="439"/>
      <c r="X55" s="439"/>
      <c r="Y55" s="439"/>
      <c r="Z55" s="439"/>
    </row>
    <row r="56" spans="2:27">
      <c r="B56" s="144" t="s">
        <v>199</v>
      </c>
      <c r="C56" s="200">
        <f>$Q$15+IF($S25&gt;$I25,C$31*$I25+C$32*($S25-$I25),$S25*C$31)+('Hypothetical SAR and RAR'!$C$21*$S25)</f>
        <v>118.02604246068002</v>
      </c>
      <c r="D56" s="200">
        <f>$Q$15+IF($T25&gt;$J25,C$34*$J25+C$35*($T25-$J25),$T25*C$34)+('Hypothetical SAR and RAR'!$C$21*$T25)</f>
        <v>94.500731604780015</v>
      </c>
      <c r="E56" s="200">
        <f>$Q$15+IF($S25&gt;$I25,D$31*$I25+D$32*($S25-$I25),$S25*D$31)+('Hypothetical SAR and RAR'!$C$21*$S25)</f>
        <v>118.44547549384001</v>
      </c>
      <c r="F56" s="200">
        <f>$Q$15+IF($T25&gt;$J25,D$34*$J25+D$35*($T25-$J25),$T25*D$34)+('Hypothetical SAR and RAR'!$C$21*$T25)</f>
        <v>94.83247906311</v>
      </c>
      <c r="G56" s="200">
        <f>$Q$15+IF($S25&gt;$I25,E$31*$I25+E$32*($S25-$I25),$S25*E$31)+('Hypothetical SAR and RAR'!$C$21*$S25)</f>
        <v>118.44547549384001</v>
      </c>
      <c r="H56" s="200">
        <f>$Q$15+IF($T25&gt;$J25,E$34*$J25+E$35*($T25-$J25),$T25*E$34)+('Hypothetical SAR and RAR'!$C$21*$T25)</f>
        <v>94.83247906311</v>
      </c>
      <c r="I56" s="243"/>
      <c r="J56" s="243"/>
      <c r="K56" s="144" t="s">
        <v>199</v>
      </c>
      <c r="L56" s="200">
        <f>$Q$15+IF($S34&gt;$L25,C$31*$L25+C$32*($S34-$L25),$S34*C$31)+('Hypothetical SAR and RAR'!$C$21*$S34)</f>
        <v>110.40732845851001</v>
      </c>
      <c r="M56" s="200">
        <f>$Q$15+IF($T34&gt;$M25,C$34*$M25+C$35*($T34-$M25),$T34*C$34)+('Hypothetical SAR and RAR'!$C$21*$T34)</f>
        <v>95.592323476080011</v>
      </c>
      <c r="N56" s="200">
        <f>$Q$15+IF($S34&gt;$L25,D$31*$L25+D$32*($S34-$L25),$S34*D$31)+('Hypothetical SAR and RAR'!$C$21*$S34)</f>
        <v>110.79768121437999</v>
      </c>
      <c r="O56" s="200">
        <f>$Q$15+IF($T34&gt;$M25,D$34*$M25+D$35*($T34-$M25),$T34*D$34)+('Hypothetical SAR and RAR'!$C$21*$T34)</f>
        <v>95.928158819960004</v>
      </c>
      <c r="P56" s="200">
        <f>$Q$15+IF($S34&gt;$L25,E$31*$L25+E$32*($S34-$L25),$S34*E$31)+('Hypothetical SAR and RAR'!$C$21*$S34)</f>
        <v>110.79768121437999</v>
      </c>
      <c r="Q56" s="200">
        <f>$Q$15+IF($T34&gt;$M25,E$34*$M25+E$35*($T34-$M25),$T34*E$34)+('Hypothetical SAR and RAR'!$C$21*$T34)</f>
        <v>95.928158819960004</v>
      </c>
      <c r="R56" s="439"/>
      <c r="S56" s="439"/>
      <c r="T56" s="439"/>
      <c r="U56" s="439"/>
      <c r="W56" s="439"/>
      <c r="X56" s="439"/>
      <c r="Y56" s="439"/>
      <c r="Z56" s="439"/>
    </row>
    <row r="57" spans="2:27">
      <c r="B57" s="6" t="s">
        <v>112</v>
      </c>
      <c r="C57" s="201">
        <f t="shared" ref="C57:H57" si="6">SUMPRODUCT(C53:C56,$V$22:$V$25)</f>
        <v>105.07264711837779</v>
      </c>
      <c r="D57" s="201">
        <f t="shared" si="6"/>
        <v>89.536225347153291</v>
      </c>
      <c r="E57" s="201">
        <f t="shared" si="6"/>
        <v>105.44377113699372</v>
      </c>
      <c r="F57" s="201">
        <f t="shared" si="6"/>
        <v>89.849376264020464</v>
      </c>
      <c r="G57" s="201">
        <f t="shared" si="6"/>
        <v>105.44377113699372</v>
      </c>
      <c r="H57" s="201">
        <f t="shared" si="6"/>
        <v>89.849376264020464</v>
      </c>
      <c r="I57" s="201"/>
      <c r="J57" s="201"/>
      <c r="K57" s="6" t="s">
        <v>112</v>
      </c>
      <c r="L57" s="201">
        <f t="shared" ref="L57:Q57" si="7">SUMPRODUCT(L53:L56,$V$31:$V$34)</f>
        <v>100.54679904159514</v>
      </c>
      <c r="M57" s="201">
        <f t="shared" si="7"/>
        <v>89.794816041108191</v>
      </c>
      <c r="N57" s="201">
        <f t="shared" si="7"/>
        <v>100.90015395257404</v>
      </c>
      <c r="O57" s="201">
        <f t="shared" si="7"/>
        <v>90.108940388880072</v>
      </c>
      <c r="P57" s="201">
        <f t="shared" si="7"/>
        <v>100.90015395257404</v>
      </c>
      <c r="Q57" s="201">
        <f t="shared" si="7"/>
        <v>90.108940388880072</v>
      </c>
      <c r="R57" s="439"/>
      <c r="S57" s="439"/>
      <c r="T57" s="439"/>
      <c r="U57" s="439"/>
      <c r="W57" s="439"/>
      <c r="X57" s="439"/>
      <c r="Y57" s="439"/>
      <c r="Z57" s="439"/>
    </row>
    <row r="58" spans="2:27">
      <c r="B58" s="7"/>
      <c r="C58" s="361"/>
      <c r="D58" s="361"/>
      <c r="E58" s="361"/>
      <c r="F58" s="361"/>
      <c r="G58" s="147"/>
      <c r="H58" s="147"/>
      <c r="I58" s="147"/>
      <c r="J58" s="147"/>
      <c r="K58" s="7"/>
      <c r="L58" s="198"/>
      <c r="M58" s="198"/>
      <c r="N58" s="199"/>
      <c r="O58" s="198"/>
      <c r="P58" s="147"/>
      <c r="Q58" s="147"/>
    </row>
    <row r="59" spans="2:27">
      <c r="B59" s="7"/>
      <c r="C59" s="198"/>
      <c r="D59" s="198"/>
      <c r="E59" s="199"/>
      <c r="G59" s="147"/>
      <c r="H59" s="147"/>
      <c r="I59" s="147"/>
      <c r="K59" s="7"/>
      <c r="L59" s="198"/>
      <c r="M59" s="198"/>
      <c r="N59" s="199"/>
      <c r="P59" s="147"/>
      <c r="Q59" s="147"/>
    </row>
    <row r="60" spans="2:27">
      <c r="B60" s="7"/>
      <c r="C60" s="865" t="s">
        <v>268</v>
      </c>
      <c r="D60" s="865"/>
      <c r="E60" s="865"/>
      <c r="F60" s="865"/>
      <c r="G60" s="865"/>
      <c r="H60" s="865"/>
      <c r="K60" s="7"/>
      <c r="L60" s="865" t="s">
        <v>273</v>
      </c>
      <c r="M60" s="865"/>
      <c r="N60" s="865"/>
      <c r="O60" s="865"/>
      <c r="P60" s="865"/>
      <c r="Q60" s="865"/>
    </row>
    <row r="61" spans="2:27">
      <c r="B61" s="7"/>
      <c r="C61" s="881" t="str">
        <f>C51</f>
        <v>6/1/2026</v>
      </c>
      <c r="D61" s="881"/>
      <c r="E61" s="880" t="str">
        <f>D30</f>
        <v>8/1/2026</v>
      </c>
      <c r="F61" s="881"/>
      <c r="G61" s="881" t="str">
        <f>G51</f>
        <v>Proposed</v>
      </c>
      <c r="H61" s="881"/>
      <c r="I61" s="883"/>
      <c r="J61" s="884"/>
      <c r="K61" s="7"/>
      <c r="L61" s="249" t="str">
        <f>L51</f>
        <v>6/1/2026</v>
      </c>
      <c r="M61" s="249"/>
      <c r="N61" s="250" t="str">
        <f>N51</f>
        <v>8/1/2026</v>
      </c>
      <c r="O61" s="249"/>
      <c r="P61" s="249" t="str">
        <f>P51</f>
        <v>Proposed</v>
      </c>
      <c r="Q61" s="249"/>
    </row>
    <row r="62" spans="2:27" ht="15" customHeight="1">
      <c r="B62" s="7"/>
      <c r="C62" s="198" t="s">
        <v>192</v>
      </c>
      <c r="D62" s="198" t="s">
        <v>193</v>
      </c>
      <c r="E62" s="198" t="s">
        <v>192</v>
      </c>
      <c r="F62" s="198" t="s">
        <v>193</v>
      </c>
      <c r="G62" s="198" t="s">
        <v>192</v>
      </c>
      <c r="H62" s="198" t="s">
        <v>193</v>
      </c>
      <c r="I62" s="243"/>
      <c r="J62" s="243"/>
      <c r="K62" s="7"/>
      <c r="L62" s="198" t="s">
        <v>192</v>
      </c>
      <c r="M62" s="198" t="s">
        <v>193</v>
      </c>
      <c r="N62" s="198" t="s">
        <v>192</v>
      </c>
      <c r="O62" s="198" t="s">
        <v>193</v>
      </c>
      <c r="P62" s="198" t="s">
        <v>192</v>
      </c>
      <c r="Q62" s="198" t="s">
        <v>193</v>
      </c>
    </row>
    <row r="63" spans="2:27" ht="15" customHeight="1">
      <c r="B63" s="138" t="s">
        <v>125</v>
      </c>
      <c r="C63" s="200">
        <f>$F$15+($C$22*$I31)+('Hypothetical SAR and RAR'!$C$21*$I31)</f>
        <v>135.17851562411644</v>
      </c>
      <c r="D63" s="200">
        <f>$F$15+($C$25*$J31)+('Hypothetical SAR and RAR'!$C$21*$J31)</f>
        <v>137.65352930465238</v>
      </c>
      <c r="E63" s="200">
        <f>$F$15+($D$22*$I31)+('Hypothetical SAR and RAR'!$C$21*$I31)</f>
        <v>135.57953667351208</v>
      </c>
      <c r="F63" s="200">
        <f>$F$15+($D$25*$J31)+('Hypothetical SAR and RAR'!$C$21*$J31)</f>
        <v>138.06346193292347</v>
      </c>
      <c r="G63" s="200">
        <f>$F$15+($E$22*$I31)+('Hypothetical SAR and RAR'!$C$21*$I31)</f>
        <v>135.57953667351208</v>
      </c>
      <c r="H63" s="200">
        <f>$F$15+($E$25*$J31)+('Hypothetical SAR and RAR'!$C$21*$J31)</f>
        <v>138.06346193292347</v>
      </c>
      <c r="I63" s="243"/>
      <c r="J63" s="243"/>
      <c r="K63" s="138" t="s">
        <v>125</v>
      </c>
      <c r="L63" s="200">
        <f>$F$15+($C$22*$L31)+('Hypothetical SAR and RAR'!$C$21*$L31)</f>
        <v>98.465812696166935</v>
      </c>
      <c r="M63" s="200">
        <f>$F$15+($C$25*$M31)+('Hypothetical SAR and RAR'!$C$21*$M31)</f>
        <v>132.70350194358053</v>
      </c>
      <c r="N63" s="200">
        <f>$F$15+($D$22*$L31)+('Hypothetical SAR and RAR'!$C$21*$L31)</f>
        <v>98.734645325576608</v>
      </c>
      <c r="O63" s="200">
        <f>$F$15+($D$25*$M31)+('Hypothetical SAR and RAR'!$C$21*$M31)</f>
        <v>133.09561141410072</v>
      </c>
      <c r="P63" s="200">
        <f>$F$15+($E$22*$L31)+('Hypothetical SAR and RAR'!$C$21*$L31)</f>
        <v>98.734645325576608</v>
      </c>
      <c r="Q63" s="200">
        <f>$F$15+($E$25*$M31)+('Hypothetical SAR and RAR'!$C$21*$M31)</f>
        <v>133.09561141410072</v>
      </c>
      <c r="R63" s="439"/>
      <c r="S63" s="439"/>
      <c r="T63" s="439"/>
      <c r="U63" s="439"/>
      <c r="W63" s="439"/>
      <c r="X63" s="439"/>
      <c r="Y63" s="439"/>
      <c r="Z63" s="439"/>
      <c r="AA63" s="10"/>
    </row>
    <row r="64" spans="2:27">
      <c r="B64" s="141" t="s">
        <v>197</v>
      </c>
      <c r="C64" s="200">
        <f>$F$15+($C$22*$I32)+('Hypothetical SAR and RAR'!$C$21*$I32)</f>
        <v>192.10383027644261</v>
      </c>
      <c r="D64" s="200">
        <f>$F$15+($C$25*$J32)+('Hypothetical SAR and RAR'!$C$21*$J32)</f>
        <v>183.44128239456688</v>
      </c>
      <c r="E64" s="200">
        <f>$F$15+($D$22*$I32)+('Hypothetical SAR and RAR'!$C$21*$I32)</f>
        <v>192.70981763997378</v>
      </c>
      <c r="F64" s="200">
        <f>$F$15+($D$25*$J32)+('Hypothetical SAR and RAR'!$C$21*$J32)</f>
        <v>184.01607923203397</v>
      </c>
      <c r="G64" s="200">
        <f>$F$15+($E$22*$I32)+('Hypothetical SAR and RAR'!$C$21*$I32)</f>
        <v>192.70981763997378</v>
      </c>
      <c r="H64" s="200">
        <f>$F$15+($E$25*$J32)+('Hypothetical SAR and RAR'!$C$21*$J32)</f>
        <v>184.01607923203397</v>
      </c>
      <c r="I64" s="243"/>
      <c r="J64" s="243"/>
      <c r="K64" s="141" t="s">
        <v>197</v>
      </c>
      <c r="L64" s="200">
        <f>$F$15+($C$22*$L32)+('Hypothetical SAR and RAR'!$C$21*$L32)</f>
        <v>211.90393972072997</v>
      </c>
      <c r="M64" s="200">
        <f>$F$15+($C$25*$M32)+('Hypothetical SAR and RAR'!$C$21*$M32)</f>
        <v>297.70441397930858</v>
      </c>
      <c r="N64" s="200">
        <f>$F$15+($D$22*$L32)+('Hypothetical SAR and RAR'!$C$21*$L32)</f>
        <v>212.58121971526481</v>
      </c>
      <c r="O64" s="200">
        <f>$F$15+($D$25*$M32)+('Hypothetical SAR and RAR'!$C$21*$M32)</f>
        <v>298.69062870819266</v>
      </c>
      <c r="P64" s="200">
        <f>$F$15+($E$22*$L32)+('Hypothetical SAR and RAR'!$C$21*$L32)</f>
        <v>212.58121971526481</v>
      </c>
      <c r="Q64" s="200">
        <f>$F$15+($E$25*$M32)+('Hypothetical SAR and RAR'!$C$21*$M32)</f>
        <v>298.69062870819266</v>
      </c>
      <c r="R64" s="439"/>
      <c r="S64" s="439"/>
      <c r="T64" s="439"/>
      <c r="U64" s="439"/>
      <c r="W64" s="439"/>
      <c r="X64" s="439"/>
      <c r="Y64" s="439"/>
      <c r="Z64" s="439"/>
    </row>
    <row r="65" spans="2:27" s="10" customFormat="1" ht="15" customHeight="1">
      <c r="B65" s="141" t="s">
        <v>198</v>
      </c>
      <c r="C65" s="200">
        <f>$F$15+($C$22*$I33)+('Hypothetical SAR and RAR'!$C$21*$I33)</f>
        <v>220.56648760260572</v>
      </c>
      <c r="D65" s="200">
        <f>$F$15+($C$25*$J33)+('Hypothetical SAR and RAR'!$C$21*$J33)</f>
        <v>158.69114558920768</v>
      </c>
      <c r="E65" s="200">
        <f>$F$15+($D$22*$I33)+('Hypothetical SAR and RAR'!$C$21*$I33)</f>
        <v>221.27495812320467</v>
      </c>
      <c r="F65" s="200">
        <f>$F$15+($D$25*$J33)+('Hypothetical SAR and RAR'!$C$21*$J33)</f>
        <v>159.17682663792016</v>
      </c>
      <c r="G65" s="200">
        <f>$F$15+($E$22*$I33)+('Hypothetical SAR and RAR'!$C$21*$I33)</f>
        <v>221.27495812320467</v>
      </c>
      <c r="H65" s="200">
        <f>$F$15+($E$25*$J33)+('Hypothetical SAR and RAR'!$C$21*$J33)</f>
        <v>159.17682663792016</v>
      </c>
      <c r="I65" s="243"/>
      <c r="J65" s="243"/>
      <c r="K65" s="141" t="s">
        <v>198</v>
      </c>
      <c r="L65" s="200">
        <f>$F$15+($C$22*$L33)+('Hypothetical SAR and RAR'!$C$21*$L33)</f>
        <v>233.76656056546395</v>
      </c>
      <c r="M65" s="200">
        <f>$F$15+($C$25*$M33)+('Hypothetical SAR and RAR'!$C$21*$M33)</f>
        <v>235.41656968582123</v>
      </c>
      <c r="N65" s="200">
        <f>$F$15+($D$22*$L33)+('Hypothetical SAR and RAR'!$C$21*$L33)</f>
        <v>234.52255950673199</v>
      </c>
      <c r="O65" s="200">
        <f>$F$15+($D$25*$M33)+('Hypothetical SAR and RAR'!$C$21*$M33)</f>
        <v>236.17850967967294</v>
      </c>
      <c r="P65" s="200">
        <f>$F$15+($E$22*$L33)+('Hypothetical SAR and RAR'!$C$21*$L33)</f>
        <v>234.52255950673199</v>
      </c>
      <c r="Q65" s="200">
        <f>$F$15+($E$25*$M33)+('Hypothetical SAR and RAR'!$C$21*$M33)</f>
        <v>236.17850967967294</v>
      </c>
      <c r="R65" s="439"/>
      <c r="S65" s="439"/>
      <c r="T65" s="439"/>
      <c r="U65" s="439"/>
      <c r="W65" s="439"/>
      <c r="X65" s="439"/>
      <c r="Y65" s="439"/>
      <c r="Z65" s="439"/>
      <c r="AA65" s="6"/>
    </row>
    <row r="66" spans="2:27">
      <c r="B66" s="144" t="s">
        <v>199</v>
      </c>
      <c r="C66" s="200">
        <f>$F$15+($C$22*$I34)+('Hypothetical SAR and RAR'!$C$21*$I34)</f>
        <v>152.50361138786789</v>
      </c>
      <c r="D66" s="200">
        <f>$F$15+($C$25*$J34)+('Hypothetical SAR and RAR'!$C$21*$J34)</f>
        <v>142.60355666572423</v>
      </c>
      <c r="E66" s="200">
        <f>$F$15+($D$22*$I34)+('Hypothetical SAR and RAR'!$C$21*$I34)</f>
        <v>152.96701348939175</v>
      </c>
      <c r="F66" s="200">
        <f>$F$15+($D$25*$J34)+('Hypothetical SAR and RAR'!$C$21*$J34)</f>
        <v>143.03131245174623</v>
      </c>
      <c r="G66" s="200">
        <f>$F$15+($E$22*$I34)+('Hypothetical SAR and RAR'!$C$21*$I34)</f>
        <v>152.96701348939175</v>
      </c>
      <c r="H66" s="200">
        <f>$F$15+($E$25*$J34)+('Hypothetical SAR and RAR'!$C$21*$J34)</f>
        <v>143.03131245174623</v>
      </c>
      <c r="I66" s="243"/>
      <c r="J66" s="243"/>
      <c r="K66" s="144" t="s">
        <v>199</v>
      </c>
      <c r="L66" s="200">
        <f>$F$15+($C$22*$L34)+('Hypothetical SAR and RAR'!$C$21*$L34)</f>
        <v>131.87849738340188</v>
      </c>
      <c r="M66" s="200">
        <f>$F$15+($C$25*$M34)+('Hypothetical SAR and RAR'!$C$21*$M34)</f>
        <v>174.36623223260187</v>
      </c>
      <c r="N66" s="200">
        <f>$F$15+($D$22*$L34)+('Hypothetical SAR and RAR'!$C$21*$L34)</f>
        <v>132.26763632763024</v>
      </c>
      <c r="O66" s="200">
        <f>$F$15+($D$25*$M34)+('Hypothetical SAR and RAR'!$C$21*$M34)</f>
        <v>174.9083532808589</v>
      </c>
      <c r="P66" s="200">
        <f>$F$15+($E$22*$L34)+('Hypothetical SAR and RAR'!$C$21*$L34)</f>
        <v>132.26763632763024</v>
      </c>
      <c r="Q66" s="200">
        <f>$F$15+($E$25*$M34)+('Hypothetical SAR and RAR'!$C$21*$M34)</f>
        <v>174.9083532808589</v>
      </c>
      <c r="R66" s="439"/>
      <c r="S66" s="439"/>
      <c r="T66" s="439"/>
      <c r="U66" s="439"/>
      <c r="W66" s="439"/>
      <c r="X66" s="439"/>
      <c r="Y66" s="439"/>
      <c r="Z66" s="439"/>
    </row>
    <row r="67" spans="2:27">
      <c r="B67" s="6" t="s">
        <v>112</v>
      </c>
      <c r="C67" s="201">
        <f t="shared" ref="C67:H67" si="8">SUMPRODUCT(C63:C66,$U$22:$U$25)</f>
        <v>142.63973865410529</v>
      </c>
      <c r="D67" s="201">
        <f t="shared" si="8"/>
        <v>140.03051653975973</v>
      </c>
      <c r="E67" s="201">
        <f t="shared" si="8"/>
        <v>143.06762471764694</v>
      </c>
      <c r="F67" s="201">
        <f t="shared" si="8"/>
        <v>140.44900779111973</v>
      </c>
      <c r="G67" s="201">
        <f t="shared" si="8"/>
        <v>143.06762471764694</v>
      </c>
      <c r="H67" s="201">
        <f t="shared" si="8"/>
        <v>140.44900779111973</v>
      </c>
      <c r="I67" s="244"/>
      <c r="J67" s="244"/>
      <c r="K67" s="6" t="s">
        <v>112</v>
      </c>
      <c r="L67" s="201">
        <f t="shared" ref="L67:Q67" si="9">SUMPRODUCT(L63:L66,$U$31:$U$34)</f>
        <v>114.58930745887079</v>
      </c>
      <c r="M67" s="201">
        <f t="shared" si="9"/>
        <v>152.92390402236836</v>
      </c>
      <c r="N67" s="201">
        <f t="shared" si="9"/>
        <v>114.91619463418292</v>
      </c>
      <c r="O67" s="201">
        <f t="shared" si="9"/>
        <v>153.38881943712863</v>
      </c>
      <c r="P67" s="201">
        <f t="shared" si="9"/>
        <v>114.91619463418292</v>
      </c>
      <c r="Q67" s="201">
        <f t="shared" si="9"/>
        <v>153.38881943712863</v>
      </c>
      <c r="R67" s="439"/>
      <c r="S67" s="439"/>
      <c r="T67" s="439"/>
      <c r="U67" s="439"/>
      <c r="W67" s="439"/>
      <c r="X67" s="439"/>
      <c r="Y67" s="439"/>
      <c r="Z67" s="439"/>
    </row>
    <row r="68" spans="2:27">
      <c r="B68" s="7"/>
      <c r="C68" s="361"/>
      <c r="D68" s="361"/>
      <c r="E68" s="361"/>
      <c r="F68" s="361"/>
      <c r="G68" s="147"/>
      <c r="H68" s="147"/>
      <c r="I68" s="147"/>
      <c r="J68" s="147"/>
      <c r="K68" s="7"/>
      <c r="L68" s="198"/>
      <c r="M68" s="198"/>
      <c r="N68" s="199"/>
      <c r="O68" s="146"/>
      <c r="P68" s="147"/>
      <c r="Q68" s="147"/>
    </row>
    <row r="69" spans="2:27">
      <c r="B69" s="7"/>
      <c r="C69" s="198"/>
      <c r="D69" s="198"/>
      <c r="E69" s="199"/>
      <c r="F69" s="198"/>
      <c r="G69" s="147"/>
      <c r="H69" s="147"/>
      <c r="I69" s="147"/>
      <c r="J69" s="147"/>
      <c r="K69" s="7"/>
      <c r="L69" s="198"/>
      <c r="M69" s="198"/>
      <c r="N69" s="199"/>
      <c r="O69" s="198"/>
      <c r="P69" s="147"/>
      <c r="Q69" s="147"/>
    </row>
    <row r="70" spans="2:27">
      <c r="B70" s="7"/>
      <c r="C70" s="865" t="s">
        <v>269</v>
      </c>
      <c r="D70" s="865"/>
      <c r="E70" s="865"/>
      <c r="F70" s="865"/>
      <c r="G70" s="865"/>
      <c r="H70" s="865"/>
      <c r="K70" s="7"/>
      <c r="L70" s="865" t="s">
        <v>274</v>
      </c>
      <c r="M70" s="865"/>
      <c r="N70" s="865"/>
      <c r="O70" s="865"/>
      <c r="P70" s="865"/>
      <c r="Q70" s="865"/>
    </row>
    <row r="71" spans="2:27">
      <c r="B71" s="7"/>
      <c r="C71" s="881" t="str">
        <f>C51</f>
        <v>6/1/2026</v>
      </c>
      <c r="D71" s="881"/>
      <c r="E71" s="880" t="str">
        <f>E61</f>
        <v>8/1/2026</v>
      </c>
      <c r="F71" s="881"/>
      <c r="G71" s="881" t="str">
        <f>G61</f>
        <v>Proposed</v>
      </c>
      <c r="H71" s="881"/>
      <c r="I71" s="880"/>
      <c r="J71" s="881"/>
      <c r="K71" s="7"/>
      <c r="L71" s="249" t="str">
        <f>L51</f>
        <v>6/1/2026</v>
      </c>
      <c r="M71" s="249"/>
      <c r="N71" s="250" t="str">
        <f>N61</f>
        <v>8/1/2026</v>
      </c>
      <c r="O71" s="249"/>
      <c r="P71" s="249" t="str">
        <f>P61</f>
        <v>Proposed</v>
      </c>
      <c r="Q71" s="249"/>
    </row>
    <row r="72" spans="2:27">
      <c r="B72" s="7"/>
      <c r="C72" s="198" t="s">
        <v>192</v>
      </c>
      <c r="D72" s="198" t="s">
        <v>193</v>
      </c>
      <c r="E72" s="198" t="s">
        <v>192</v>
      </c>
      <c r="F72" s="198" t="s">
        <v>193</v>
      </c>
      <c r="G72" s="198" t="s">
        <v>192</v>
      </c>
      <c r="H72" s="198" t="s">
        <v>193</v>
      </c>
      <c r="I72" s="198"/>
      <c r="J72" s="198"/>
      <c r="K72" s="7"/>
      <c r="L72" s="198" t="s">
        <v>192</v>
      </c>
      <c r="M72" s="198" t="s">
        <v>193</v>
      </c>
      <c r="N72" s="198" t="s">
        <v>192</v>
      </c>
      <c r="O72" s="198" t="s">
        <v>193</v>
      </c>
      <c r="P72" s="198" t="s">
        <v>192</v>
      </c>
      <c r="Q72" s="198" t="s">
        <v>193</v>
      </c>
    </row>
    <row r="73" spans="2:27">
      <c r="B73" s="138" t="s">
        <v>125</v>
      </c>
      <c r="C73" s="200">
        <f>$Q$15+($C$31*$I31)+('Hypothetical SAR and RAR'!$C$21*$I31)</f>
        <v>75.849299999999999</v>
      </c>
      <c r="D73" s="200">
        <f>$Q$15+($C$34*$J31)+('Hypothetical SAR and RAR'!$C$21*$J31)</f>
        <v>77.403419999999997</v>
      </c>
      <c r="E73" s="200">
        <f>$Q$15+($D$31*$I31)+('Hypothetical SAR and RAR'!$C$21*$I31)</f>
        <v>76.111199999999997</v>
      </c>
      <c r="F73" s="200">
        <f>$Q$15+($D$34*$J31)+('Hypothetical SAR and RAR'!$C$21*$J31)</f>
        <v>77.671139999999994</v>
      </c>
      <c r="G73" s="200">
        <f>$Q$15+($E$31*$I31)+('Hypothetical SAR and RAR'!$C$21*$I31)</f>
        <v>76.111199999999997</v>
      </c>
      <c r="H73" s="200">
        <f>$Q$15+($E$34*$J31)+('Hypothetical SAR and RAR'!$C$21*$J31)</f>
        <v>77.671139999999994</v>
      </c>
      <c r="I73" s="243"/>
      <c r="J73" s="243"/>
      <c r="K73" s="138" t="s">
        <v>125</v>
      </c>
      <c r="L73" s="200">
        <f>$Q$15+($C$31*$L31)+('Hypothetical SAR and RAR'!$C$21*$L31)</f>
        <v>52.796520000000001</v>
      </c>
      <c r="M73" s="200">
        <f>$Q$15+($C$34*$M31)+('Hypothetical SAR and RAR'!$C$21*$M31)</f>
        <v>74.295180000000002</v>
      </c>
      <c r="N73" s="200">
        <f>$Q$15+($D$31*$L31)+('Hypothetical SAR and RAR'!$C$21*$L31)</f>
        <v>52.972089999999994</v>
      </c>
      <c r="O73" s="200">
        <f>$Q$15+($D$34*$M31)+('Hypothetical SAR and RAR'!$C$21*$M31)</f>
        <v>74.551259999999999</v>
      </c>
      <c r="P73" s="200">
        <f>$Q$15+($E$31*$L31)+('Hypothetical SAR and RAR'!$C$21*$L31)</f>
        <v>52.972089999999994</v>
      </c>
      <c r="Q73" s="200">
        <f>$Q$15+($E$34*$M31)+('Hypothetical SAR and RAR'!$C$21*$M31)</f>
        <v>74.551259999999999</v>
      </c>
      <c r="R73" s="439"/>
      <c r="S73" s="439"/>
      <c r="T73" s="439"/>
      <c r="U73" s="439"/>
      <c r="W73" s="439"/>
      <c r="X73" s="439"/>
      <c r="Y73" s="439"/>
      <c r="Z73" s="439"/>
    </row>
    <row r="74" spans="2:27">
      <c r="B74" s="141" t="s">
        <v>197</v>
      </c>
      <c r="C74" s="200">
        <f>$Q$15+($C$31*$I32)+('Hypothetical SAR and RAR'!$C$21*$I32)</f>
        <v>111.59406000000001</v>
      </c>
      <c r="D74" s="200">
        <f>$Q$15+($C$34*$J32)+('Hypothetical SAR and RAR'!$C$21*$J32)</f>
        <v>106.15464000000001</v>
      </c>
      <c r="E74" s="200">
        <f>$Q$15+($D$31*$I32)+('Hypothetical SAR and RAR'!$C$21*$I32)</f>
        <v>111.98981999999999</v>
      </c>
      <c r="F74" s="200">
        <f>$Q$15+($D$34*$J32)+('Hypothetical SAR and RAR'!$C$21*$J32)</f>
        <v>106.53003</v>
      </c>
      <c r="G74" s="200">
        <f>$Q$15+($E$31*$I32)+('Hypothetical SAR and RAR'!$C$21*$I32)</f>
        <v>111.98981999999999</v>
      </c>
      <c r="H74" s="200">
        <f>$Q$15+($E$34*$J32)+('Hypothetical SAR and RAR'!$C$21*$J32)</f>
        <v>106.53003</v>
      </c>
      <c r="I74" s="243"/>
      <c r="J74" s="243"/>
      <c r="K74" s="141" t="s">
        <v>197</v>
      </c>
      <c r="L74" s="200">
        <f>$Q$15+($C$31*$L32)+('Hypothetical SAR and RAR'!$C$21*$L32)</f>
        <v>124.02702000000001</v>
      </c>
      <c r="M74" s="200">
        <f>$Q$15+($C$34*$M32)+('Hypothetical SAR and RAR'!$C$21*$M32)</f>
        <v>177.90318000000002</v>
      </c>
      <c r="N74" s="200">
        <f>$Q$15+($D$31*$L32)+('Hypothetical SAR and RAR'!$C$21*$L32)</f>
        <v>124.46934</v>
      </c>
      <c r="O74" s="200">
        <f>$Q$15+($D$34*$M32)+('Hypothetical SAR and RAR'!$C$21*$M32)</f>
        <v>178.54725999999999</v>
      </c>
      <c r="P74" s="200">
        <f>$Q$15+($E$31*$L32)+('Hypothetical SAR and RAR'!$C$21*$L32)</f>
        <v>124.46934</v>
      </c>
      <c r="Q74" s="200">
        <f>$Q$15+($E$34*$M32)+('Hypothetical SAR and RAR'!$C$21*$M32)</f>
        <v>178.54725999999999</v>
      </c>
      <c r="R74" s="439"/>
      <c r="S74" s="439"/>
      <c r="T74" s="439"/>
      <c r="U74" s="439"/>
      <c r="W74" s="439"/>
      <c r="X74" s="439"/>
      <c r="Y74" s="439"/>
      <c r="Z74" s="439"/>
    </row>
    <row r="75" spans="2:27">
      <c r="B75" s="141" t="s">
        <v>198</v>
      </c>
      <c r="C75" s="200">
        <f>$Q$15+($C$31*$I33)+('Hypothetical SAR and RAR'!$C$21*$I33)</f>
        <v>129.46644000000003</v>
      </c>
      <c r="D75" s="200">
        <f>$Q$15+($C$34*$J33)+('Hypothetical SAR and RAR'!$C$21*$J33)</f>
        <v>90.613440000000011</v>
      </c>
      <c r="E75" s="200">
        <f>$Q$15+($D$31*$I33)+('Hypothetical SAR and RAR'!$C$21*$I33)</f>
        <v>129.92913000000001</v>
      </c>
      <c r="F75" s="200">
        <f>$Q$15+($D$34*$J33)+('Hypothetical SAR and RAR'!$C$21*$J33)</f>
        <v>90.930629999999994</v>
      </c>
      <c r="G75" s="200">
        <f>$Q$15+($E$31*$I33)+('Hypothetical SAR and RAR'!$C$21*$I33)</f>
        <v>129.92913000000001</v>
      </c>
      <c r="H75" s="200">
        <f>$Q$15+($E$34*$J33)+('Hypothetical SAR and RAR'!$C$21*$J33)</f>
        <v>90.930629999999994</v>
      </c>
      <c r="I75" s="243"/>
      <c r="J75" s="243"/>
      <c r="K75" s="141" t="s">
        <v>198</v>
      </c>
      <c r="L75" s="200">
        <f>$Q$15+($C$31*$L33)+('Hypothetical SAR and RAR'!$C$21*$L33)</f>
        <v>137.75508000000002</v>
      </c>
      <c r="M75" s="200">
        <f>$Q$15+($C$34*$M33)+('Hypothetical SAR and RAR'!$C$21*$M33)</f>
        <v>138.79116000000002</v>
      </c>
      <c r="N75" s="200">
        <f>$Q$15+($D$31*$L33)+('Hypothetical SAR and RAR'!$C$21*$L33)</f>
        <v>138.24880999999999</v>
      </c>
      <c r="O75" s="200">
        <f>$Q$15+($D$34*$M33)+('Hypothetical SAR and RAR'!$C$21*$M33)</f>
        <v>139.28877000000003</v>
      </c>
      <c r="P75" s="200">
        <f>$Q$15+($E$31*$L33)+('Hypothetical SAR and RAR'!$C$21*$L33)</f>
        <v>138.24880999999999</v>
      </c>
      <c r="Q75" s="200">
        <f>$Q$15+($E$34*$M33)+('Hypothetical SAR and RAR'!$C$21*$M33)</f>
        <v>139.28877000000003</v>
      </c>
      <c r="R75" s="439"/>
      <c r="S75" s="439"/>
      <c r="T75" s="439"/>
      <c r="U75" s="439"/>
      <c r="W75" s="439"/>
      <c r="X75" s="439"/>
      <c r="Y75" s="439"/>
      <c r="Z75" s="439"/>
    </row>
    <row r="76" spans="2:27">
      <c r="B76" s="144" t="s">
        <v>199</v>
      </c>
      <c r="C76" s="200">
        <f>$Q$15+($C$31*$I34)+('Hypothetical SAR and RAR'!$C$21*$I34)</f>
        <v>86.72814000000001</v>
      </c>
      <c r="D76" s="200">
        <f>$Q$15+($C$34*$J34)+('Hypothetical SAR and RAR'!$C$21*$J34)</f>
        <v>80.511660000000006</v>
      </c>
      <c r="E76" s="200">
        <f>$Q$15+($D$31*$I34)+('Hypothetical SAR and RAR'!$C$21*$I34)</f>
        <v>87.030779999999993</v>
      </c>
      <c r="F76" s="200">
        <f>$Q$15+($D$34*$J34)+('Hypothetical SAR and RAR'!$C$21*$J34)</f>
        <v>80.791019999999989</v>
      </c>
      <c r="G76" s="200">
        <f>$Q$15+($E$31*$I34)+('Hypothetical SAR and RAR'!$C$21*$I34)</f>
        <v>87.030779999999993</v>
      </c>
      <c r="H76" s="200">
        <f>$Q$15+($E$34*$J34)+('Hypothetical SAR and RAR'!$C$21*$J34)</f>
        <v>80.791019999999989</v>
      </c>
      <c r="I76" s="243"/>
      <c r="J76" s="243"/>
      <c r="K76" s="144" t="s">
        <v>199</v>
      </c>
      <c r="L76" s="200">
        <f>$Q$15+($C$31*$L34)+('Hypothetical SAR and RAR'!$C$21*$L34)</f>
        <v>73.777140000000003</v>
      </c>
      <c r="M76" s="200">
        <f>$Q$15+($C$34*$M34)+('Hypothetical SAR and RAR'!$C$21*$M34)</f>
        <v>100.45620000000001</v>
      </c>
      <c r="N76" s="200">
        <f>$Q$15+($D$31*$L34)+('Hypothetical SAR and RAR'!$C$21*$L34)</f>
        <v>74.031279999999995</v>
      </c>
      <c r="O76" s="200">
        <f>$Q$15+($D$34*$M34)+('Hypothetical SAR and RAR'!$C$21*$M34)</f>
        <v>100.81025</v>
      </c>
      <c r="P76" s="200">
        <f>$Q$15+($E$31*$L34)+('Hypothetical SAR and RAR'!$C$21*$L34)</f>
        <v>74.031279999999995</v>
      </c>
      <c r="Q76" s="200">
        <f>$Q$15+($E$34*$M34)+('Hypothetical SAR and RAR'!$C$21*$M34)</f>
        <v>100.81025</v>
      </c>
      <c r="R76" s="439"/>
      <c r="S76" s="439"/>
      <c r="T76" s="439"/>
      <c r="U76" s="439"/>
      <c r="W76" s="439"/>
      <c r="X76" s="439"/>
      <c r="Y76" s="439"/>
      <c r="Z76" s="439"/>
    </row>
    <row r="77" spans="2:27">
      <c r="B77" s="6" t="s">
        <v>112</v>
      </c>
      <c r="C77" s="201">
        <f t="shared" ref="C77:H77" si="10">SUMPRODUCT(C73:C76,$V$22:$V$25)</f>
        <v>81.547415617603818</v>
      </c>
      <c r="D77" s="201">
        <f t="shared" si="10"/>
        <v>79.175501331034837</v>
      </c>
      <c r="E77" s="201">
        <f t="shared" si="10"/>
        <v>81.830654402829168</v>
      </c>
      <c r="F77" s="201">
        <f t="shared" si="10"/>
        <v>79.449857571059169</v>
      </c>
      <c r="G77" s="201">
        <f t="shared" si="10"/>
        <v>81.830654402829168</v>
      </c>
      <c r="H77" s="201">
        <f t="shared" si="10"/>
        <v>79.449857571059169</v>
      </c>
      <c r="I77" s="244"/>
      <c r="J77" s="244"/>
      <c r="K77" s="6" t="s">
        <v>112</v>
      </c>
      <c r="L77" s="201">
        <f t="shared" ref="L77:Q77" si="11">SUMPRODUCT(L73:L76,$V$31:$V$34)</f>
        <v>65.334513582672599</v>
      </c>
      <c r="M77" s="201">
        <f t="shared" si="11"/>
        <v>89.987294819680528</v>
      </c>
      <c r="N77" s="201">
        <f t="shared" si="11"/>
        <v>65.557036921315131</v>
      </c>
      <c r="O77" s="201">
        <f t="shared" si="11"/>
        <v>90.302139978259362</v>
      </c>
      <c r="P77" s="201">
        <f t="shared" si="11"/>
        <v>65.557036921315131</v>
      </c>
      <c r="Q77" s="201">
        <f t="shared" si="11"/>
        <v>90.302139978259362</v>
      </c>
      <c r="R77" s="439"/>
      <c r="S77" s="439"/>
      <c r="T77" s="439"/>
      <c r="U77" s="439"/>
      <c r="W77" s="439"/>
      <c r="X77" s="439"/>
      <c r="Y77" s="439"/>
      <c r="Z77" s="439"/>
    </row>
    <row r="78" spans="2:27">
      <c r="B78" s="7"/>
      <c r="C78" s="361"/>
      <c r="D78" s="361"/>
      <c r="E78" s="361"/>
      <c r="F78" s="361"/>
      <c r="G78" s="147"/>
      <c r="H78" s="147"/>
      <c r="I78" s="147"/>
      <c r="K78" s="7"/>
      <c r="L78" s="198"/>
      <c r="M78" s="198"/>
      <c r="N78" s="199"/>
      <c r="P78" s="147"/>
      <c r="Q78" s="147"/>
    </row>
    <row r="79" spans="2:27" ht="15.75" thickBot="1"/>
    <row r="80" spans="2:27" ht="15.75" thickBot="1">
      <c r="B80" s="755">
        <f>IF('Hypothetical Summary'!$H$9="",400,'Hypothetical Summary'!$H$9)</f>
        <v>400</v>
      </c>
      <c r="C80" s="882" t="s">
        <v>275</v>
      </c>
      <c r="D80" s="865"/>
      <c r="E80" s="865"/>
      <c r="F80" s="865"/>
      <c r="G80" s="865"/>
      <c r="H80" s="865"/>
      <c r="K80" s="755">
        <f>IF('Hypothetical Summary'!$H$9="",400,'Hypothetical Summary'!$H$9)</f>
        <v>400</v>
      </c>
      <c r="L80" s="882" t="s">
        <v>277</v>
      </c>
      <c r="M80" s="865"/>
      <c r="N80" s="865"/>
      <c r="O80" s="865"/>
      <c r="P80" s="865"/>
      <c r="Q80" s="865"/>
    </row>
    <row r="81" spans="2:26">
      <c r="B81" s="7"/>
      <c r="C81" s="881" t="str">
        <f>C71</f>
        <v>6/1/2026</v>
      </c>
      <c r="D81" s="881"/>
      <c r="E81" s="880" t="str">
        <f>E71</f>
        <v>8/1/2026</v>
      </c>
      <c r="F81" s="881"/>
      <c r="G81" s="881" t="str">
        <f>G71</f>
        <v>Proposed</v>
      </c>
      <c r="H81" s="881"/>
      <c r="I81" s="883"/>
      <c r="J81" s="884"/>
      <c r="K81" s="7"/>
      <c r="L81" s="249" t="str">
        <f>L71</f>
        <v>6/1/2026</v>
      </c>
      <c r="M81" s="249"/>
      <c r="N81" s="250" t="str">
        <f>N71</f>
        <v>8/1/2026</v>
      </c>
      <c r="O81" s="249"/>
      <c r="P81" s="249" t="str">
        <f>P71</f>
        <v>Proposed</v>
      </c>
      <c r="Q81" s="249"/>
    </row>
    <row r="82" spans="2:26">
      <c r="B82" s="7"/>
      <c r="C82" s="198" t="s">
        <v>192</v>
      </c>
      <c r="D82" s="198" t="s">
        <v>193</v>
      </c>
      <c r="E82" s="198" t="s">
        <v>192</v>
      </c>
      <c r="F82" s="198" t="s">
        <v>193</v>
      </c>
      <c r="G82" s="198" t="s">
        <v>192</v>
      </c>
      <c r="H82" s="198" t="s">
        <v>193</v>
      </c>
      <c r="I82" s="243"/>
      <c r="J82" s="243"/>
      <c r="K82" s="7"/>
      <c r="L82" s="198" t="s">
        <v>192</v>
      </c>
      <c r="M82" s="198" t="s">
        <v>193</v>
      </c>
      <c r="N82" s="198" t="s">
        <v>192</v>
      </c>
      <c r="O82" s="198" t="s">
        <v>193</v>
      </c>
      <c r="P82" s="198" t="s">
        <v>192</v>
      </c>
      <c r="Q82" s="198" t="s">
        <v>193</v>
      </c>
    </row>
    <row r="83" spans="2:26">
      <c r="B83" s="138" t="s">
        <v>125</v>
      </c>
      <c r="C83" s="200">
        <f>$F$15+$C$22*MIN(I22,$B$80)+IF($B$80-I22&gt;0,$C$23*($B$80-I22))+('Hypothetical SAR and RAR'!$C$21*$B$80)</f>
        <v>194.02869398118</v>
      </c>
      <c r="D83" s="200">
        <f>$F$15+$C$25*MIN(J22,$B$80)+IF($B$80-J22&gt;0,$C$26*($B$80-J22))+('Hypothetical SAR and RAR'!$C$21*$B$80)</f>
        <v>193.17565203090214</v>
      </c>
      <c r="E83" s="200">
        <f>$F$15+$D$22*MIN(I22,$B$80)+IF($B$80-I22&gt;0,$D$23*($B$80-I22))+('Hypothetical SAR and RAR'!$C$21*$B$80)</f>
        <v>194.64165776104136</v>
      </c>
      <c r="F83" s="200">
        <f>$F$15+$D$25*MIN(J22,$B$80)+IF($B$80-J22&gt;0,$D$26*($B$80-J22))+('Hypothetical SAR and RAR'!$C$21*$B$80)</f>
        <v>193.78553686847818</v>
      </c>
      <c r="G83" s="200">
        <f>$F$15+$E$22*MIN(I22,$B$80)+IF($B$80-I22&gt;0,$E$23*($B$80-I22))+('Hypothetical SAR and RAR'!$C$21*$B$80)</f>
        <v>194.64165776104136</v>
      </c>
      <c r="H83" s="200">
        <f>$F$15+$E$25*MIN(J22,$B$80)+IF($B$80-J22&gt;0,$E$26*($B$80-J22))+('Hypothetical SAR and RAR'!$C$21*$B$80)</f>
        <v>193.78553686847818</v>
      </c>
      <c r="I83" s="243"/>
      <c r="J83" s="243"/>
      <c r="K83" s="138" t="s">
        <v>125</v>
      </c>
      <c r="L83" s="200">
        <f>$F$15+$C$22*MIN($L22,$K$80)+IF($K$80-$L22&gt;0,$C$23*($K$80-$L22))+('Hypothetical SAR and RAR'!$C$21*$K$80)</f>
        <v>206.39780226020909</v>
      </c>
      <c r="M83" s="200">
        <f>$F$15+$C$25*MIN($M22,$K$80)+IF($K$80-$M22&gt;0,$C$26*($K$80-$M22))+('Hypothetical SAR and RAR'!$C$21*$K$80)</f>
        <v>194.88173593145788</v>
      </c>
      <c r="N83" s="200">
        <f>$F$15+$D$22*MIN($L22,$B$80)+IF($B$80-$L22&gt;0,$D$23*($B$80-$L22))+('Hypothetical SAR and RAR'!$C$21*$B$80)</f>
        <v>207.05541070320723</v>
      </c>
      <c r="O83" s="200">
        <f>$F$15+$D$25*MIN($M22,$B$80)+IF($B$80-$M22&gt;0,$D$26*($B$80-$M22))+('Hypothetical SAR and RAR'!$C$21*$B$80)</f>
        <v>195.49777865360451</v>
      </c>
      <c r="P83" s="200">
        <f>$F$15+$E$22*MIN($L22,$K$80)+IF($K$80-$L22&gt;0,$E$23*($K$80-$L22))+('Hypothetical SAR and RAR'!$C$21*$K$80)</f>
        <v>207.05541070320723</v>
      </c>
      <c r="Q83" s="200">
        <f>$F$15+$E$25*MIN($M22,$K$80)+IF($K$80-$M22&gt;0,$E$26*($K$80-$M22))+('Hypothetical SAR and RAR'!$C$21*$K$80)</f>
        <v>195.49777865360451</v>
      </c>
      <c r="R83" s="439"/>
      <c r="S83" s="439"/>
      <c r="T83" s="439"/>
      <c r="U83" s="439"/>
      <c r="W83" s="439"/>
      <c r="X83" s="439"/>
      <c r="Y83" s="439"/>
      <c r="Z83" s="439"/>
    </row>
    <row r="84" spans="2:26">
      <c r="B84" s="141" t="s">
        <v>197</v>
      </c>
      <c r="C84" s="200">
        <f>$F$15+$C$22*MIN(I23,$B$80)+IF($B$80-I23&gt;0,$C$23*($B$80-I23))+('Hypothetical SAR and RAR'!$C$21*$B$80)</f>
        <v>188.80381203572807</v>
      </c>
      <c r="D84" s="200">
        <f>$F$15+$C$25*MIN(J23,$B$80)+IF($B$80-J23&gt;0,$C$26*($B$80-J23))+('Hypothetical SAR and RAR'!$C$21*$B$80)</f>
        <v>188.80381203572807</v>
      </c>
      <c r="E84" s="200">
        <f>$F$15+$D$22*MIN(I23,$B$80)+IF($B$80-I23&gt;0,$D$23*($B$80-I23))+('Hypothetical SAR and RAR'!$C$21*$B$80)</f>
        <v>189.39791729409197</v>
      </c>
      <c r="F84" s="200">
        <f>$F$15+$D$25*MIN(J23,$B$80)+IF($B$80-J23&gt;0,$D$26*($B$80-J23))+('Hypothetical SAR and RAR'!$C$21*$B$80)</f>
        <v>189.39791729409197</v>
      </c>
      <c r="G84" s="200">
        <f>$F$15+$E$22*MIN(I23,$B$80)+IF($B$80-I23&gt;0,$E$23*($B$80-I23))+('Hypothetical SAR and RAR'!$C$21*$B$80)</f>
        <v>189.39791729409197</v>
      </c>
      <c r="H84" s="200">
        <f>$F$15+$E$25*MIN(J23,$B$80)+IF($B$80-J23&gt;0,$E$26*($B$80-J23))+('Hypothetical SAR and RAR'!$C$21*$B$80)</f>
        <v>189.39791729409197</v>
      </c>
      <c r="I84" s="243"/>
      <c r="J84" s="243"/>
      <c r="K84" s="141" t="s">
        <v>197</v>
      </c>
      <c r="L84" s="200">
        <f>$F$15+$C$22*MIN($L23,$K$80)+IF($K$80-$L23&gt;0,$C$23*($K$80-$L23))+('Hypothetical SAR and RAR'!$C$21*$K$80)</f>
        <v>188.80381203572807</v>
      </c>
      <c r="M84" s="200">
        <f>$F$15+$C$25*MIN($M23,$K$80)+IF($K$80-$M23&gt;0,$C$26*($K$80-$M23))+('Hypothetical SAR and RAR'!$C$21*$K$80)</f>
        <v>188.80381203572807</v>
      </c>
      <c r="N84" s="200">
        <f>$F$15+$D$22*MIN($L23,$B$80)+IF($B$80-$L23&gt;0,$D$23*($B$80-$L23))+('Hypothetical SAR and RAR'!$C$21*$B$80)</f>
        <v>189.39791729409197</v>
      </c>
      <c r="O84" s="200">
        <f>$F$15+$D$25*MIN($M23,$B$80)+IF($B$80-$M23&gt;0,$D$26*($B$80-$M23))+('Hypothetical SAR and RAR'!$C$21*$B$80)</f>
        <v>189.39791729409197</v>
      </c>
      <c r="P84" s="200">
        <f>$F$15+$E$22*MIN($L23,$K$80)+IF($K$80-$L23&gt;0,$E$23*($K$80-$L23))+('Hypothetical SAR and RAR'!$C$21*$K$80)</f>
        <v>189.39791729409197</v>
      </c>
      <c r="Q84" s="200">
        <f>$F$15+$E$25*MIN($M23,$K$80)+IF($K$80-$M23&gt;0,$E$26*($K$80-$M23))+('Hypothetical SAR and RAR'!$C$21*$K$80)</f>
        <v>189.39791729409197</v>
      </c>
      <c r="R84" s="439"/>
      <c r="S84" s="439"/>
      <c r="T84" s="439"/>
      <c r="U84" s="439"/>
      <c r="W84" s="439"/>
      <c r="X84" s="439"/>
      <c r="Y84" s="439"/>
      <c r="Z84" s="439"/>
    </row>
    <row r="85" spans="2:26">
      <c r="B85" s="141" t="s">
        <v>198</v>
      </c>
      <c r="C85" s="200">
        <f>$F$15+$C$22*MIN(I24,$B$80)+IF($B$80-I24&gt;0,$C$23*($B$80-I24))+('Hypothetical SAR and RAR'!$C$21*$B$80)</f>
        <v>188.80381203572807</v>
      </c>
      <c r="D85" s="200">
        <f>$F$15+$C$25*MIN(J24,$B$80)+IF($B$80-J24&gt;0,$C$26*($B$80-J24))+('Hypothetical SAR and RAR'!$C$21*$B$80)</f>
        <v>188.80381203572807</v>
      </c>
      <c r="E85" s="200">
        <f>$F$15+$D$22*MIN(I24,$B$80)+IF($B$80-I24&gt;0,$D$23*($B$80-I24))+('Hypothetical SAR and RAR'!$C$21*$B$80)</f>
        <v>189.39791729409197</v>
      </c>
      <c r="F85" s="200">
        <f>$F$15+$D$25*MIN(J24,$B$80)+IF($B$80-J24&gt;0,$D$26*($B$80-J24))+('Hypothetical SAR and RAR'!$C$21*$B$80)</f>
        <v>189.39791729409197</v>
      </c>
      <c r="G85" s="200">
        <f>$F$15+$E$22*MIN(I24,$B$80)+IF($B$80-I24&gt;0,$E$23*($B$80-I24))+('Hypothetical SAR and RAR'!$C$21*$B$80)</f>
        <v>189.39791729409197</v>
      </c>
      <c r="H85" s="200">
        <f>$F$15+$E$25*MIN(J24,$B$80)+IF($B$80-J24&gt;0,$E$26*($B$80-J24))+('Hypothetical SAR and RAR'!$C$21*$B$80)</f>
        <v>189.39791729409197</v>
      </c>
      <c r="I85" s="243"/>
      <c r="J85" s="243"/>
      <c r="K85" s="141" t="s">
        <v>198</v>
      </c>
      <c r="L85" s="200">
        <f>$F$15+$C$22*MIN($L24,$K$80)+IF($K$80-$L24&gt;0,$C$23*($K$80-$L24))+('Hypothetical SAR and RAR'!$C$21*$K$80)</f>
        <v>188.80381203572807</v>
      </c>
      <c r="M85" s="200">
        <f>$F$15+$C$25*MIN($M24,$K$80)+IF($K$80-$M24&gt;0,$C$26*($K$80-$M24))+('Hypothetical SAR and RAR'!$C$21*$K$80)</f>
        <v>188.80381203572807</v>
      </c>
      <c r="N85" s="200">
        <f>$F$15+$D$22*MIN($L24,$B$80)+IF($B$80-$L24&gt;0,$D$23*($B$80-$L24))+('Hypothetical SAR and RAR'!$C$21*$B$80)</f>
        <v>189.39791729409197</v>
      </c>
      <c r="O85" s="200">
        <f>$F$15+$D$25*MIN($M24,$B$80)+IF($B$80-$M24&gt;0,$D$26*($B$80-$M24))+('Hypothetical SAR and RAR'!$C$21*$B$80)</f>
        <v>189.39791729409197</v>
      </c>
      <c r="P85" s="200">
        <f>$F$15+$E$22*MIN($L24,$K$80)+IF($K$80-$L24&gt;0,$E$23*($K$80-$L24))+('Hypothetical SAR and RAR'!$C$21*$K$80)</f>
        <v>189.39791729409197</v>
      </c>
      <c r="Q85" s="200">
        <f>$F$15+$E$25*MIN($M24,$K$80)+IF($K$80-$M24&gt;0,$E$26*($K$80-$M24))+('Hypothetical SAR and RAR'!$C$21*$K$80)</f>
        <v>189.39791729409197</v>
      </c>
      <c r="R85" s="439"/>
      <c r="S85" s="439"/>
      <c r="T85" s="439"/>
      <c r="U85" s="439"/>
      <c r="W85" s="439"/>
      <c r="X85" s="439"/>
      <c r="Y85" s="439"/>
      <c r="Z85" s="439"/>
    </row>
    <row r="86" spans="2:26">
      <c r="B86" s="144" t="s">
        <v>199</v>
      </c>
      <c r="C86" s="200">
        <f>$F$15+$C$22*MIN(I25,$B$80)+IF($B$80-I25&gt;0,$C$23*($B$80-I25))+('Hypothetical SAR and RAR'!$C$21*$B$80)</f>
        <v>188.80381203572807</v>
      </c>
      <c r="D86" s="200">
        <f>$F$15+$C$25*MIN(J25,$B$80)+IF($B$80-J25&gt;0,$C$26*($B$80-J25))+('Hypothetical SAR and RAR'!$C$21*$B$80)</f>
        <v>191.57619837413114</v>
      </c>
      <c r="E86" s="200">
        <f>$F$15+$D$22*MIN(I25,$B$80)+IF($B$80-I25&gt;0,$D$23*($B$80-I25))+('Hypothetical SAR and RAR'!$C$21*$B$80)</f>
        <v>189.39791729409197</v>
      </c>
      <c r="F86" s="200">
        <f>$F$15+$D$25*MIN(J25,$B$80)+IF($B$80-J25&gt;0,$D$26*($B$80-J25))+('Hypothetical SAR and RAR'!$C$21*$B$80)</f>
        <v>192.18031019492224</v>
      </c>
      <c r="G86" s="200">
        <f>$F$15+$E$22*MIN(I25,$B$80)+IF($B$80-I25&gt;0,$E$23*($B$80-I25))+('Hypothetical SAR and RAR'!$C$21*$B$80)</f>
        <v>189.39791729409197</v>
      </c>
      <c r="H86" s="200">
        <f>$F$15+$E$25*MIN(J25,$B$80)+IF($B$80-J25&gt;0,$E$26*($B$80-J25))+('Hypothetical SAR and RAR'!$C$21*$B$80)</f>
        <v>192.18031019492224</v>
      </c>
      <c r="I86" s="243"/>
      <c r="J86" s="243"/>
      <c r="K86" s="144" t="s">
        <v>199</v>
      </c>
      <c r="L86" s="200">
        <f>$F$15+$C$22*MIN($L25,$K$80)+IF($K$80-$L25&gt;0,$C$23*($K$80-$L25))+('Hypothetical SAR and RAR'!$C$21*$K$80)</f>
        <v>195.09499641902735</v>
      </c>
      <c r="M86" s="200">
        <f>$F$15+$C$25*MIN($M25,$K$80)+IF($K$80-$M25&gt;0,$C$26*($K$80-$M25))+('Hypothetical SAR and RAR'!$C$21*$K$80)</f>
        <v>188.80381203572807</v>
      </c>
      <c r="N86" s="200">
        <f>$F$15+$D$22*MIN($L25,$B$80)+IF($B$80-$L25&gt;0,$D$23*($B$80-$L25))+('Hypothetical SAR and RAR'!$C$21*$B$80)</f>
        <v>195.71180887674529</v>
      </c>
      <c r="O86" s="200">
        <f>$F$15+$D$25*MIN($M25,$B$80)+IF($B$80-$M25&gt;0,$D$26*($B$80-$M25))+('Hypothetical SAR and RAR'!$C$21*$B$80)</f>
        <v>189.39791729409197</v>
      </c>
      <c r="P86" s="200">
        <f>$F$15+$E$22*MIN($L25,$K$80)+IF($K$80-$L25&gt;0,$E$23*($K$80-$L25))+('Hypothetical SAR and RAR'!$C$21*$K$80)</f>
        <v>195.71180887674529</v>
      </c>
      <c r="Q86" s="200">
        <f>$F$15+$E$25*MIN($M25,$K$80)+IF($K$80-$M25&gt;0,$E$26*($K$80-$M25))+('Hypothetical SAR and RAR'!$C$21*$K$80)</f>
        <v>189.39791729409197</v>
      </c>
      <c r="R86" s="439"/>
      <c r="S86" s="439"/>
      <c r="T86" s="439"/>
      <c r="U86" s="439"/>
      <c r="W86" s="439"/>
      <c r="X86" s="439"/>
      <c r="Y86" s="439"/>
      <c r="Z86" s="439"/>
    </row>
    <row r="87" spans="2:26">
      <c r="B87" s="6" t="s">
        <v>112</v>
      </c>
      <c r="C87" s="201">
        <f t="shared" ref="C87:H87" si="12">SUMPRODUCT(C83:C86,$U$22:$U$25)</f>
        <v>191.90232252249126</v>
      </c>
      <c r="D87" s="201">
        <f t="shared" si="12"/>
        <v>192.49822691386933</v>
      </c>
      <c r="E87" s="201">
        <f t="shared" si="12"/>
        <v>192.50761144533499</v>
      </c>
      <c r="F87" s="201">
        <f t="shared" si="12"/>
        <v>193.10566667493151</v>
      </c>
      <c r="G87" s="201">
        <f t="shared" si="12"/>
        <v>192.50761144533499</v>
      </c>
      <c r="H87" s="201">
        <f t="shared" si="12"/>
        <v>193.10566667493151</v>
      </c>
      <c r="I87" s="244"/>
      <c r="J87" s="244"/>
      <c r="K87" s="6" t="s">
        <v>112</v>
      </c>
      <c r="L87" s="201">
        <f t="shared" ref="L87:Q87" si="13">SUMPRODUCT(L83:L86,$U$31:$U$34)</f>
        <v>201.52921942827084</v>
      </c>
      <c r="M87" s="201">
        <f t="shared" si="13"/>
        <v>192.3523327615307</v>
      </c>
      <c r="N87" s="201">
        <f t="shared" si="13"/>
        <v>202.16925536437657</v>
      </c>
      <c r="O87" s="201">
        <f t="shared" si="13"/>
        <v>192.95924593691365</v>
      </c>
      <c r="P87" s="201">
        <f t="shared" si="13"/>
        <v>202.16925536437657</v>
      </c>
      <c r="Q87" s="201">
        <f t="shared" si="13"/>
        <v>192.95924593691365</v>
      </c>
      <c r="R87" s="439"/>
      <c r="S87" s="439"/>
      <c r="T87" s="439"/>
      <c r="U87" s="439"/>
      <c r="W87" s="439"/>
      <c r="X87" s="439"/>
      <c r="Y87" s="439"/>
      <c r="Z87" s="439"/>
    </row>
    <row r="88" spans="2:26">
      <c r="C88" s="361"/>
      <c r="D88" s="361"/>
      <c r="E88" s="361"/>
      <c r="F88" s="361"/>
      <c r="G88" s="201"/>
      <c r="H88" s="201"/>
      <c r="I88" s="201"/>
      <c r="J88" s="201"/>
      <c r="L88" s="201"/>
      <c r="M88" s="201"/>
      <c r="N88" s="201"/>
      <c r="O88" s="201"/>
      <c r="P88" s="201"/>
      <c r="Q88" s="201"/>
    </row>
    <row r="89" spans="2:26" ht="15.75" thickBot="1">
      <c r="B89" s="7"/>
      <c r="C89" s="198"/>
      <c r="D89" s="198"/>
      <c r="E89" s="199"/>
      <c r="F89" s="146"/>
      <c r="G89" s="147"/>
      <c r="H89" s="147"/>
      <c r="I89" s="147"/>
      <c r="J89" s="147"/>
      <c r="K89" s="7"/>
      <c r="L89" s="198"/>
      <c r="M89" s="198"/>
      <c r="N89" s="199"/>
      <c r="O89" s="146"/>
      <c r="P89" s="147"/>
      <c r="Q89" s="147"/>
    </row>
    <row r="90" spans="2:26" ht="15.75" thickBot="1">
      <c r="B90" s="755">
        <f>IF('Hypothetical Summary'!$H$9="",400,'Hypothetical Summary'!$H$9)</f>
        <v>400</v>
      </c>
      <c r="C90" s="882" t="s">
        <v>276</v>
      </c>
      <c r="D90" s="865"/>
      <c r="E90" s="865"/>
      <c r="F90" s="865"/>
      <c r="G90" s="865"/>
      <c r="H90" s="865"/>
      <c r="K90" s="755">
        <f>IF('Hypothetical Summary'!$H$9="",400,'Hypothetical Summary'!$H$9)</f>
        <v>400</v>
      </c>
      <c r="L90" s="882" t="s">
        <v>278</v>
      </c>
      <c r="M90" s="865"/>
      <c r="N90" s="865"/>
      <c r="O90" s="865"/>
      <c r="P90" s="865"/>
      <c r="Q90" s="865"/>
    </row>
    <row r="91" spans="2:26">
      <c r="B91" s="7"/>
      <c r="C91" s="881" t="str">
        <f>C81</f>
        <v>6/1/2026</v>
      </c>
      <c r="D91" s="881"/>
      <c r="E91" s="880" t="str">
        <f>E81</f>
        <v>8/1/2026</v>
      </c>
      <c r="F91" s="881"/>
      <c r="G91" s="881" t="str">
        <f>G81</f>
        <v>Proposed</v>
      </c>
      <c r="H91" s="881"/>
      <c r="I91" s="883"/>
      <c r="J91" s="884"/>
      <c r="K91" s="7"/>
      <c r="L91" s="249" t="str">
        <f>L81</f>
        <v>6/1/2026</v>
      </c>
      <c r="M91" s="249"/>
      <c r="N91" s="250" t="str">
        <f>N81</f>
        <v>8/1/2026</v>
      </c>
      <c r="O91" s="249"/>
      <c r="P91" s="249" t="str">
        <f>P81</f>
        <v>Proposed</v>
      </c>
      <c r="Q91" s="249"/>
    </row>
    <row r="92" spans="2:26">
      <c r="B92" s="7"/>
      <c r="C92" s="198" t="s">
        <v>192</v>
      </c>
      <c r="D92" s="198" t="s">
        <v>193</v>
      </c>
      <c r="E92" s="198" t="s">
        <v>192</v>
      </c>
      <c r="F92" s="198" t="s">
        <v>193</v>
      </c>
      <c r="G92" s="198" t="s">
        <v>192</v>
      </c>
      <c r="H92" s="198" t="s">
        <v>193</v>
      </c>
      <c r="I92" s="243"/>
      <c r="J92" s="243"/>
      <c r="K92" s="7"/>
      <c r="L92" s="198" t="s">
        <v>192</v>
      </c>
      <c r="M92" s="198" t="s">
        <v>193</v>
      </c>
      <c r="N92" s="198" t="s">
        <v>192</v>
      </c>
      <c r="O92" s="198" t="s">
        <v>193</v>
      </c>
      <c r="P92" s="198" t="s">
        <v>192</v>
      </c>
      <c r="Q92" s="198" t="s">
        <v>193</v>
      </c>
    </row>
    <row r="93" spans="2:26">
      <c r="B93" s="138" t="s">
        <v>125</v>
      </c>
      <c r="C93" s="200">
        <f>$Q$15+$C$31*MIN(I22,$B$90)+IF($B$90-I22&gt;0,$C$32*($B$90-I22))+('Hypothetical SAR and RAR'!$C$21*$B$90)</f>
        <v>112.91809000000001</v>
      </c>
      <c r="D93" s="200">
        <f>$Q$15+$C$34*MIN(J22,$B$90)+IF($B$90-J22&gt;0,$C$35*($B$90-J22))+('Hypothetical SAR and RAR'!$C$21*$B$90)</f>
        <v>112.36361000000001</v>
      </c>
      <c r="E93" s="200">
        <f>$Q$15+$D$31*MIN(I22,$B$90)+IF($B$90-I22&gt;0,$D$32*($B$90-I22))+('Hypothetical SAR and RAR'!$C$21*$B$90)</f>
        <v>113.31785000000001</v>
      </c>
      <c r="F93" s="200">
        <f>$Q$15+$D$34*MIN(J22,$B$90)+IF($B$90-J22&gt;0,$D$35*($B$90-J22))+('Hypothetical SAR and RAR'!$C$21*$B$90)</f>
        <v>112.76145000000001</v>
      </c>
      <c r="G93" s="200">
        <f>$Q$15+$E$31*MIN(I22,$B$90)+IF($B$90-I22&gt;0,$E$32*($B$90-I22))+('Hypothetical SAR and RAR'!$C$21*$B$90)</f>
        <v>113.31785000000001</v>
      </c>
      <c r="H93" s="200">
        <f>$Q$15+$E$34*MIN(J22,$B$90)+IF($B$90-J22&gt;0,$E$35*($B$90-J22))+('Hypothetical SAR and RAR'!$C$21*$B$90)</f>
        <v>112.76145000000001</v>
      </c>
      <c r="I93" s="243"/>
      <c r="J93" s="243"/>
      <c r="K93" s="138" t="s">
        <v>125</v>
      </c>
      <c r="L93" s="200">
        <f>$Q$15+$C$31*MIN($L22,$K$90)+IF($K$90-$L22&gt;0,$C$32*($K$90-$L22))+('Hypothetical SAR and RAR'!$C$21*$K$90)</f>
        <v>120.95805000000001</v>
      </c>
      <c r="M93" s="200">
        <f>$Q$15+$C$34*MIN($M22,$K$90)+IF($K$90-$M22&gt;0,$C$35*($K$90-$M22))+('Hypothetical SAR and RAR'!$C$21*$K$90)</f>
        <v>113.47257</v>
      </c>
      <c r="N93" s="200">
        <f>$Q$15+$D$31*MIN($L22,$B$90)+IF($B$90-$L22&gt;0,$D$32*($B$90-$L22))+('Hypothetical SAR and RAR'!$C$21*$B$90)</f>
        <v>121.38565</v>
      </c>
      <c r="O93" s="200">
        <f>$Q$15+$D$34*MIN($M22,$B$90)+IF($B$90-$M22&gt;0,$D$35*($B$90-$M22))+('Hypothetical SAR and RAR'!$C$21*$B$90)</f>
        <v>113.87425</v>
      </c>
      <c r="P93" s="200">
        <f>$Q$15+$E$31*MIN($L22,$B$90)+IF($B$90-$L22&gt;0,$E$32*($B$90-$L22))+('Hypothetical SAR and RAR'!$C$21*$B$90)</f>
        <v>121.38565</v>
      </c>
      <c r="Q93" s="200">
        <f>$Q$15+$E$34*MIN($M22,$B$90)+IF($B$90-$M22&gt;0,$E$35*($B$90-$M22))+('Hypothetical SAR and RAR'!$C$21*$B$90)</f>
        <v>113.87425</v>
      </c>
      <c r="R93" s="439"/>
      <c r="S93" s="439"/>
      <c r="T93" s="439"/>
      <c r="U93" s="439"/>
      <c r="W93" s="439"/>
      <c r="X93" s="439"/>
      <c r="Y93" s="439"/>
      <c r="Z93" s="439"/>
    </row>
    <row r="94" spans="2:26">
      <c r="B94" s="141" t="s">
        <v>197</v>
      </c>
      <c r="C94" s="200">
        <f>$Q$15+$C$31*MIN(I23,$B$90)+IF($B$90-I23&gt;0,$C$32*($B$90-I23))+('Hypothetical SAR and RAR'!$C$21*$B$90)</f>
        <v>109.52190000000002</v>
      </c>
      <c r="D94" s="200">
        <f>$Q$15+$C$34*MIN(J23,$B$90)+IF($B$90-J23&gt;0,$C$35*($B$90-J23))+('Hypothetical SAR and RAR'!$C$21*$B$90)</f>
        <v>109.52190000000002</v>
      </c>
      <c r="E94" s="200">
        <f>$Q$15+$D$31*MIN(I23,$B$90)+IF($B$90-I23&gt;0,$D$32*($B$90-I23))+('Hypothetical SAR and RAR'!$C$21*$B$90)</f>
        <v>109.90990000000001</v>
      </c>
      <c r="F94" s="200">
        <f>$Q$15+$D$34*MIN(J23,$B$90)+IF($B$90-J23&gt;0,$D$35*($B$90-J23))+('Hypothetical SAR and RAR'!$C$21*$B$90)</f>
        <v>109.90990000000001</v>
      </c>
      <c r="G94" s="200">
        <f>$Q$15+$E$31*MIN(I23,$B$90)+IF($B$90-I23&gt;0,$E$32*($B$90-I23))+('Hypothetical SAR and RAR'!$C$21*$B$90)</f>
        <v>109.90990000000001</v>
      </c>
      <c r="H94" s="200">
        <f>$Q$15+$E$34*MIN(J23,$B$90)+IF($B$90-J23&gt;0,$E$35*($B$90-J23))+('Hypothetical SAR and RAR'!$C$21*$B$90)</f>
        <v>109.90990000000001</v>
      </c>
      <c r="I94" s="243"/>
      <c r="J94" s="243"/>
      <c r="K94" s="141" t="s">
        <v>197</v>
      </c>
      <c r="L94" s="200">
        <f>$Q$15+$C$31*MIN($L23,$K$90)+IF($K$90-$L23&gt;0,$C$32*($K$90-$L23))+('Hypothetical SAR and RAR'!$C$21*$K$90)</f>
        <v>109.52190000000002</v>
      </c>
      <c r="M94" s="200">
        <f>$Q$15+$C$34*MIN($M23,$K$90)+IF($K$90-$M23&gt;0,$C$35*($K$90-$M23))+('Hypothetical SAR and RAR'!$C$21*$K$90)</f>
        <v>109.52190000000002</v>
      </c>
      <c r="N94" s="200">
        <f>$Q$15+$D$31*MIN($L23,$B$90)+IF($B$90-$L23&gt;0,$D$32*($B$90-$L23))+('Hypothetical SAR and RAR'!$C$21*$B$90)</f>
        <v>109.90990000000001</v>
      </c>
      <c r="O94" s="200">
        <f>$Q$15+$D$34*MIN($M23,$B$90)+IF($B$90-$M23&gt;0,$D$35*($B$90-$M23))+('Hypothetical SAR and RAR'!$C$21*$B$90)</f>
        <v>109.90990000000001</v>
      </c>
      <c r="P94" s="200">
        <f>$Q$15+$E$31*MIN($L23,$B$90)+IF($B$90-$L23&gt;0,$E$32*($B$90-$L23))+('Hypothetical SAR and RAR'!$C$21*$B$90)</f>
        <v>109.90990000000001</v>
      </c>
      <c r="Q94" s="200">
        <f>$Q$15+$E$34*MIN($M23,$B$90)+IF($B$90-$M23&gt;0,$E$35*($B$90-$M23))+('Hypothetical SAR and RAR'!$C$21*$B$90)</f>
        <v>109.90990000000001</v>
      </c>
      <c r="R94" s="439"/>
      <c r="S94" s="439"/>
      <c r="T94" s="439"/>
      <c r="U94" s="439"/>
      <c r="W94" s="439"/>
      <c r="X94" s="439"/>
      <c r="Y94" s="439"/>
      <c r="Z94" s="439"/>
    </row>
    <row r="95" spans="2:26">
      <c r="B95" s="141" t="s">
        <v>198</v>
      </c>
      <c r="C95" s="200">
        <f>$Q$15+$C$31*MIN(I24,$B$90)+IF($B$90-I24&gt;0,$C$32*($B$90-I24))+('Hypothetical SAR and RAR'!$C$21*$B$90)</f>
        <v>109.52190000000002</v>
      </c>
      <c r="D95" s="200">
        <f>$Q$15+$C$34*MIN(J24,$B$90)+IF($B$90-J24&gt;0,$C$35*($B$90-J24))+('Hypothetical SAR and RAR'!$C$21*$B$90)</f>
        <v>109.52190000000002</v>
      </c>
      <c r="E95" s="200">
        <f>$Q$15+$D$31*MIN(I24,$B$90)+IF($B$90-I24&gt;0,$D$32*($B$90-I24))+('Hypothetical SAR and RAR'!$C$21*$B$90)</f>
        <v>109.90990000000001</v>
      </c>
      <c r="F95" s="200">
        <f>$Q$15+$D$34*MIN(J24,$B$90)+IF($B$90-J24&gt;0,$D$35*($B$90-J24))+('Hypothetical SAR and RAR'!$C$21*$B$90)</f>
        <v>109.90990000000001</v>
      </c>
      <c r="G95" s="200">
        <f>$Q$15+$E$31*MIN(I24,$B$90)+IF($B$90-I24&gt;0,$E$32*($B$90-I24))+('Hypothetical SAR and RAR'!$C$21*$B$90)</f>
        <v>109.90990000000001</v>
      </c>
      <c r="H95" s="200">
        <f>$Q$15+$E$34*MIN(J24,$B$90)+IF($B$90-J24&gt;0,$E$35*($B$90-J24))+('Hypothetical SAR and RAR'!$C$21*$B$90)</f>
        <v>109.90990000000001</v>
      </c>
      <c r="I95" s="243"/>
      <c r="J95" s="243"/>
      <c r="K95" s="141" t="s">
        <v>198</v>
      </c>
      <c r="L95" s="200">
        <f>$Q$15+$C$31*MIN($L24,$K$90)+IF($K$90-$L24&gt;0,$C$32*($K$90-$L24))+('Hypothetical SAR and RAR'!$C$21*$K$90)</f>
        <v>109.52190000000002</v>
      </c>
      <c r="M95" s="200">
        <f>$Q$15+$C$34*MIN($M24,$K$90)+IF($K$90-$M24&gt;0,$C$35*($K$90-$M24))+('Hypothetical SAR and RAR'!$C$21*$K$90)</f>
        <v>109.52190000000002</v>
      </c>
      <c r="N95" s="200">
        <f>$Q$15+$D$31*MIN($L24,$B$90)+IF($B$90-$L24&gt;0,$D$32*($B$90-$L24))+('Hypothetical SAR and RAR'!$C$21*$B$90)</f>
        <v>109.90990000000001</v>
      </c>
      <c r="O95" s="200">
        <f>$Q$15+$D$34*MIN($M24,$B$90)+IF($B$90-$M24&gt;0,$D$35*($B$90-$M24))+('Hypothetical SAR and RAR'!$C$21*$B$90)</f>
        <v>109.90990000000001</v>
      </c>
      <c r="P95" s="200">
        <f>$Q$15+$E$31*MIN($L24,$B$90)+IF($B$90-$L24&gt;0,$E$32*($B$90-$L24))+('Hypothetical SAR and RAR'!$C$21*$B$90)</f>
        <v>109.90990000000001</v>
      </c>
      <c r="Q95" s="200">
        <f>$Q$15+$E$34*MIN($M24,$B$90)+IF($B$90-$M24&gt;0,$E$35*($B$90-$M24))+('Hypothetical SAR and RAR'!$C$21*$B$90)</f>
        <v>109.90990000000001</v>
      </c>
      <c r="R95" s="439"/>
      <c r="S95" s="439"/>
      <c r="T95" s="439"/>
      <c r="U95" s="439"/>
      <c r="W95" s="439"/>
      <c r="X95" s="439"/>
      <c r="Y95" s="439"/>
      <c r="Z95" s="439"/>
    </row>
    <row r="96" spans="2:26">
      <c r="B96" s="144" t="s">
        <v>199</v>
      </c>
      <c r="C96" s="200">
        <f>$Q$15+$C$31*MIN(I25,$B$90)+IF($B$90-I25&gt;0,$C$32*($B$90-I25))+('Hypothetical SAR and RAR'!$C$21*$B$90)</f>
        <v>109.52190000000002</v>
      </c>
      <c r="D96" s="200">
        <f>$Q$15+$C$34*MIN(J25,$B$90)+IF($B$90-J25&gt;0,$C$35*($B$90-J25))+('Hypothetical SAR and RAR'!$C$21*$B$90)</f>
        <v>111.32396000000001</v>
      </c>
      <c r="E96" s="200">
        <f>$Q$15+$D$31*MIN(I25,$B$90)+IF($B$90-I25&gt;0,$D$32*($B$90-I25))+('Hypothetical SAR and RAR'!$C$21*$B$90)</f>
        <v>109.90990000000001</v>
      </c>
      <c r="F96" s="200">
        <f>$Q$15+$D$34*MIN(J25,$B$90)+IF($B$90-J25&gt;0,$D$35*($B$90-J25))+('Hypothetical SAR and RAR'!$C$21*$B$90)</f>
        <v>111.71820000000001</v>
      </c>
      <c r="G96" s="200">
        <f>$Q$15+$E$31*MIN(I25,$B$90)+IF($B$90-I25&gt;0,$E$32*($B$90-I25))+('Hypothetical SAR and RAR'!$C$21*$B$90)</f>
        <v>109.90990000000001</v>
      </c>
      <c r="H96" s="200">
        <f>$Q$15+$E$34*MIN(J25,$B$90)+IF($B$90-J25&gt;0,$E$35*($B$90-J25))+('Hypothetical SAR and RAR'!$C$21*$B$90)</f>
        <v>111.71820000000001</v>
      </c>
      <c r="I96" s="243"/>
      <c r="J96" s="243"/>
      <c r="K96" s="144" t="s">
        <v>199</v>
      </c>
      <c r="L96" s="200">
        <f>$Q$15+$C$31*MIN($L25,$K$90)+IF($K$90-$L25&gt;0,$C$32*($K$90-$L25))+('Hypothetical SAR and RAR'!$C$21*$K$90)</f>
        <v>113.61119000000002</v>
      </c>
      <c r="M96" s="200">
        <f>$Q$15+$C$34*MIN($M25,$K$90)+IF($K$90-$M25&gt;0,$C$35*($K$90-$M25))+('Hypothetical SAR and RAR'!$C$21*$K$90)</f>
        <v>109.52190000000002</v>
      </c>
      <c r="N96" s="200">
        <f>$Q$15+$D$31*MIN($L25,$B$90)+IF($B$90-$L25&gt;0,$D$32*($B$90-$L25))+('Hypothetical SAR and RAR'!$C$21*$B$90)</f>
        <v>114.01335</v>
      </c>
      <c r="O96" s="200">
        <f>$Q$15+$D$34*MIN($M25,$B$90)+IF($B$90-$M25&gt;0,$D$35*($B$90-$M25))+('Hypothetical SAR and RAR'!$C$21*$B$90)</f>
        <v>109.90990000000001</v>
      </c>
      <c r="P96" s="200">
        <f>$Q$15+$E$31*MIN($L25,$B$90)+IF($B$90-$L25&gt;0,$E$32*($B$90-$L25))+('Hypothetical SAR and RAR'!$C$21*$B$90)</f>
        <v>114.01335</v>
      </c>
      <c r="Q96" s="200">
        <f>$Q$15+$E$34*MIN($M25,$B$90)+IF($B$90-$M25&gt;0,$E$35*($B$90-$M25))+('Hypothetical SAR and RAR'!$C$21*$B$90)</f>
        <v>109.90990000000001</v>
      </c>
      <c r="R96" s="439"/>
      <c r="S96" s="439"/>
      <c r="T96" s="439"/>
      <c r="U96" s="439"/>
      <c r="W96" s="439"/>
      <c r="X96" s="439"/>
      <c r="Y96" s="439"/>
      <c r="Z96" s="439"/>
    </row>
    <row r="97" spans="2:26">
      <c r="B97" s="6" t="s">
        <v>112</v>
      </c>
      <c r="C97" s="201">
        <f t="shared" ref="C97:H97" si="14">SUMPRODUCT(C93:C96,$V$22:$V$25)</f>
        <v>111.22140699401714</v>
      </c>
      <c r="D97" s="201">
        <f t="shared" si="14"/>
        <v>111.82713134234145</v>
      </c>
      <c r="E97" s="201">
        <f t="shared" si="14"/>
        <v>111.61529188333418</v>
      </c>
      <c r="F97" s="201">
        <f t="shared" si="14"/>
        <v>112.22311367565788</v>
      </c>
      <c r="G97" s="201">
        <f t="shared" si="14"/>
        <v>111.61529188333418</v>
      </c>
      <c r="H97" s="201">
        <f t="shared" si="14"/>
        <v>112.22311367565788</v>
      </c>
      <c r="I97" s="244"/>
      <c r="J97" s="244"/>
      <c r="K97" s="6" t="s">
        <v>112</v>
      </c>
      <c r="L97" s="201">
        <f t="shared" ref="L97:Q97" si="15">SUMPRODUCT(L93:L96,$V$31:$V$34)</f>
        <v>116.82911629804454</v>
      </c>
      <c r="M97" s="201">
        <f t="shared" si="15"/>
        <v>111.29197138907622</v>
      </c>
      <c r="N97" s="201">
        <f t="shared" si="15"/>
        <v>117.24241902364733</v>
      </c>
      <c r="O97" s="201">
        <f t="shared" si="15"/>
        <v>111.68610062199178</v>
      </c>
      <c r="P97" s="201">
        <f t="shared" si="15"/>
        <v>117.24241902364733</v>
      </c>
      <c r="Q97" s="201">
        <f t="shared" si="15"/>
        <v>111.68610062199178</v>
      </c>
      <c r="R97" s="439"/>
      <c r="S97" s="439"/>
      <c r="T97" s="439"/>
      <c r="U97" s="439"/>
      <c r="W97" s="439"/>
      <c r="X97" s="439"/>
      <c r="Y97" s="439"/>
      <c r="Z97" s="439"/>
    </row>
  </sheetData>
  <mergeCells count="42">
    <mergeCell ref="P3:T3"/>
    <mergeCell ref="I51:J51"/>
    <mergeCell ref="I61:J61"/>
    <mergeCell ref="C60:H60"/>
    <mergeCell ref="C41:D41"/>
    <mergeCell ref="E41:F41"/>
    <mergeCell ref="G41:H41"/>
    <mergeCell ref="I41:J41"/>
    <mergeCell ref="C61:D61"/>
    <mergeCell ref="E61:F61"/>
    <mergeCell ref="G61:H61"/>
    <mergeCell ref="C51:D51"/>
    <mergeCell ref="B2:D2"/>
    <mergeCell ref="E51:F51"/>
    <mergeCell ref="G51:H51"/>
    <mergeCell ref="C71:D71"/>
    <mergeCell ref="E71:F71"/>
    <mergeCell ref="G71:H71"/>
    <mergeCell ref="B39:H39"/>
    <mergeCell ref="E3:I3"/>
    <mergeCell ref="L80:Q80"/>
    <mergeCell ref="L90:Q90"/>
    <mergeCell ref="C91:D91"/>
    <mergeCell ref="E91:F91"/>
    <mergeCell ref="G91:H91"/>
    <mergeCell ref="I91:J91"/>
    <mergeCell ref="C90:H90"/>
    <mergeCell ref="C81:D81"/>
    <mergeCell ref="E81:F81"/>
    <mergeCell ref="G81:H81"/>
    <mergeCell ref="I81:J81"/>
    <mergeCell ref="C80:H80"/>
    <mergeCell ref="U20:V20"/>
    <mergeCell ref="Q21:R21"/>
    <mergeCell ref="S21:T21"/>
    <mergeCell ref="I71:J71"/>
    <mergeCell ref="C70:H70"/>
    <mergeCell ref="U29:V29"/>
    <mergeCell ref="Q30:R30"/>
    <mergeCell ref="S30:T30"/>
    <mergeCell ref="L60:Q60"/>
    <mergeCell ref="L70:Q70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DEC72-8C8A-492B-95E6-F8CE67F7445C}">
  <sheetPr>
    <tabColor rgb="FF92D050"/>
  </sheetPr>
  <dimension ref="A1:AE169"/>
  <sheetViews>
    <sheetView zoomScale="85" zoomScaleNormal="85" workbookViewId="0"/>
  </sheetViews>
  <sheetFormatPr defaultColWidth="8.85546875" defaultRowHeight="15"/>
  <cols>
    <col min="1" max="1" width="7.42578125" style="6" customWidth="1"/>
    <col min="2" max="2" width="14.42578125" style="6" customWidth="1"/>
    <col min="3" max="4" width="13" style="6" customWidth="1"/>
    <col min="5" max="5" width="18" style="6" bestFit="1" customWidth="1"/>
    <col min="6" max="6" width="13.5703125" style="6" customWidth="1"/>
    <col min="7" max="7" width="15" style="6" bestFit="1" customWidth="1"/>
    <col min="8" max="8" width="14.140625" style="6" customWidth="1"/>
    <col min="9" max="10" width="15.5703125" style="6" customWidth="1"/>
    <col min="11" max="11" width="15" style="6" bestFit="1" customWidth="1"/>
    <col min="12" max="17" width="15.5703125" style="6" customWidth="1"/>
    <col min="18" max="18" width="15" style="6" customWidth="1"/>
    <col min="19" max="19" width="14" style="6" customWidth="1"/>
    <col min="20" max="20" width="15.5703125" style="6" customWidth="1"/>
    <col min="21" max="21" width="16.5703125" style="6" customWidth="1"/>
    <col min="22" max="23" width="14" style="6" customWidth="1"/>
    <col min="24" max="24" width="29.140625" style="6" bestFit="1" customWidth="1"/>
    <col min="25" max="25" width="14.85546875" style="6" bestFit="1" customWidth="1"/>
    <col min="26" max="26" width="12.85546875" style="6" customWidth="1"/>
    <col min="27" max="27" width="14.5703125" style="6" customWidth="1"/>
    <col min="28" max="28" width="8.85546875" style="6"/>
    <col min="29" max="31" width="16.42578125" style="6" customWidth="1"/>
    <col min="32" max="16384" width="8.85546875" style="6"/>
  </cols>
  <sheetData>
    <row r="1" spans="1:31" s="170" customFormat="1" ht="25.5" customHeight="1">
      <c r="A1" s="385"/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5"/>
      <c r="AA1" s="385"/>
    </row>
    <row r="2" spans="1:31">
      <c r="A2" s="87"/>
      <c r="B2" s="858"/>
      <c r="C2" s="858"/>
      <c r="D2" s="858"/>
      <c r="F2" s="87"/>
    </row>
    <row r="3" spans="1:31">
      <c r="E3" s="859" t="s">
        <v>518</v>
      </c>
      <c r="F3" s="859"/>
      <c r="G3" s="859"/>
      <c r="H3" s="859"/>
      <c r="I3" s="859"/>
      <c r="J3" s="241"/>
      <c r="K3" s="241"/>
      <c r="M3" s="110"/>
      <c r="N3" s="110"/>
      <c r="O3" s="110"/>
      <c r="P3" s="859" t="s">
        <v>519</v>
      </c>
      <c r="Q3" s="859"/>
      <c r="R3" s="859"/>
      <c r="S3" s="859"/>
      <c r="T3" s="859"/>
      <c r="U3" s="241"/>
      <c r="V3" s="241"/>
    </row>
    <row r="4" spans="1:31" ht="15.75" customHeight="1">
      <c r="D4" s="1"/>
      <c r="E4" s="148">
        <f>'Res Bill Impact (TOU-DR1)'!E4</f>
        <v>2026</v>
      </c>
      <c r="F4" s="175">
        <f>'Res Bill Impact (TOU-DR1)'!F4</f>
        <v>46174</v>
      </c>
      <c r="G4" s="175">
        <f>'Res Bill Impact (TOU-DR1)'!G4</f>
        <v>46174</v>
      </c>
      <c r="H4" s="111" t="s">
        <v>174</v>
      </c>
      <c r="I4" s="111" t="s">
        <v>174</v>
      </c>
      <c r="J4" s="111"/>
      <c r="K4" s="111"/>
      <c r="L4" s="20"/>
      <c r="O4" s="1"/>
      <c r="P4" s="148">
        <f>'Res Bill Impact (TOU-DR1)'!P4</f>
        <v>2026</v>
      </c>
      <c r="Q4" s="175">
        <f>'Res Bill Impact (TOU-DR1)'!Q4</f>
        <v>46174</v>
      </c>
      <c r="R4" s="175">
        <f>'Res Bill Impact (TOU-DR1)'!R4</f>
        <v>46174</v>
      </c>
      <c r="S4" s="111" t="s">
        <v>174</v>
      </c>
      <c r="T4" s="111" t="s">
        <v>174</v>
      </c>
      <c r="U4" s="111"/>
      <c r="V4" s="111"/>
    </row>
    <row r="5" spans="1:31" ht="30.75" customHeight="1">
      <c r="D5" s="1"/>
      <c r="E5" s="111" t="s">
        <v>126</v>
      </c>
      <c r="F5" s="111" t="s">
        <v>175</v>
      </c>
      <c r="G5" s="111" t="s">
        <v>176</v>
      </c>
      <c r="H5" s="111" t="s">
        <v>175</v>
      </c>
      <c r="I5" s="111" t="s">
        <v>176</v>
      </c>
      <c r="J5" s="111"/>
      <c r="K5" s="111"/>
      <c r="L5" s="83"/>
      <c r="M5" s="112"/>
      <c r="N5" s="112"/>
      <c r="O5" s="83"/>
      <c r="P5" s="111" t="s">
        <v>126</v>
      </c>
      <c r="Q5" s="111" t="s">
        <v>175</v>
      </c>
      <c r="R5" s="111" t="s">
        <v>176</v>
      </c>
      <c r="S5" s="111" t="s">
        <v>175</v>
      </c>
      <c r="T5" s="111" t="s">
        <v>176</v>
      </c>
      <c r="U5" s="111"/>
      <c r="V5" s="111"/>
      <c r="AD5" s="47"/>
      <c r="AE5" s="47"/>
    </row>
    <row r="6" spans="1:31" ht="42" customHeight="1">
      <c r="B6" s="113"/>
      <c r="D6" s="113"/>
      <c r="E6" s="1"/>
      <c r="F6" s="1"/>
      <c r="G6" s="1"/>
      <c r="J6" s="20"/>
      <c r="K6" s="20"/>
      <c r="L6" s="20"/>
      <c r="O6" s="113"/>
      <c r="P6" s="1"/>
      <c r="Q6" s="1"/>
      <c r="R6" s="1"/>
      <c r="U6" s="20"/>
      <c r="V6" s="20"/>
      <c r="Y6" s="259" t="s">
        <v>112</v>
      </c>
      <c r="Z6" s="259" t="s">
        <v>324</v>
      </c>
      <c r="AA6" s="259" t="s">
        <v>3</v>
      </c>
      <c r="AC6" s="112"/>
      <c r="AD6" s="112"/>
      <c r="AE6" s="112"/>
    </row>
    <row r="7" spans="1:31" ht="15.75">
      <c r="C7" s="501" t="s">
        <v>192</v>
      </c>
      <c r="D7" s="502" t="s">
        <v>390</v>
      </c>
      <c r="E7" s="238">
        <f>'Res Bill Impact (TOU-DR1)'!E7</f>
        <v>379043295.13798183</v>
      </c>
      <c r="F7" s="115">
        <f>'Res Bill Impact (TOU-DR1)'!F7</f>
        <v>0.69135000000000002</v>
      </c>
      <c r="G7" s="116">
        <f t="shared" ref="G7:G15" si="0">F7*E7</f>
        <v>262051582.09364375</v>
      </c>
      <c r="H7" s="172">
        <f>F7+(F7*$AD$12)</f>
        <v>0.69135000000000002</v>
      </c>
      <c r="I7" s="116">
        <f t="shared" ref="I7:I15" si="1">E7*H7</f>
        <v>262051582.09364375</v>
      </c>
      <c r="J7" s="172"/>
      <c r="K7" s="264"/>
      <c r="L7" s="117"/>
      <c r="N7" s="501" t="s">
        <v>192</v>
      </c>
      <c r="O7" s="502" t="s">
        <v>390</v>
      </c>
      <c r="P7" s="238">
        <f>'Res Bill Impact (TOU-DR1)'!P7</f>
        <v>108249773.83043668</v>
      </c>
      <c r="Q7" s="115">
        <f>'Res Bill Impact (TOU-DR1)'!Q7</f>
        <v>0.43991999999999998</v>
      </c>
      <c r="R7" s="116">
        <f t="shared" ref="R7:R15" si="2">Q7*P7</f>
        <v>47621240.503485702</v>
      </c>
      <c r="S7" s="172">
        <f t="shared" ref="S7:S12" si="3">H7*(1+(Q7/F7-1))</f>
        <v>0.43991999999999998</v>
      </c>
      <c r="T7" s="116">
        <f t="shared" ref="T7:T12" si="4">P7*S7</f>
        <v>47621240.503485702</v>
      </c>
      <c r="U7" s="172"/>
      <c r="V7" s="264"/>
      <c r="W7" s="117"/>
      <c r="X7" s="6" t="s">
        <v>182</v>
      </c>
      <c r="AC7" s="299"/>
      <c r="AD7" s="270"/>
      <c r="AE7" s="270"/>
    </row>
    <row r="8" spans="1:31" ht="15.75">
      <c r="D8" s="118" t="s">
        <v>391</v>
      </c>
      <c r="E8" s="238">
        <f>'Res Bill Impact (TOU-DR1)'!E8</f>
        <v>404043826.57948077</v>
      </c>
      <c r="F8" s="115">
        <f>'Res Bill Impact (TOU-DR1)'!F8</f>
        <v>0.46421000000000001</v>
      </c>
      <c r="G8" s="116">
        <f t="shared" si="0"/>
        <v>187561184.73646078</v>
      </c>
      <c r="H8" s="172">
        <f t="shared" ref="H8:H15" si="5">F8+(F8*$AD$12)</f>
        <v>0.46421000000000001</v>
      </c>
      <c r="I8" s="116">
        <f t="shared" si="1"/>
        <v>187561184.73646078</v>
      </c>
      <c r="J8" s="172"/>
      <c r="K8" s="264"/>
      <c r="L8" s="117"/>
      <c r="O8" s="118" t="s">
        <v>391</v>
      </c>
      <c r="P8" s="238">
        <f>'Res Bill Impact (TOU-DR1)'!P8</f>
        <v>125446804.73852286</v>
      </c>
      <c r="Q8" s="115">
        <f>'Res Bill Impact (TOU-DR1)'!Q8</f>
        <v>0.29227999999999998</v>
      </c>
      <c r="R8" s="116">
        <f t="shared" si="2"/>
        <v>36665592.088975459</v>
      </c>
      <c r="S8" s="172">
        <f t="shared" si="3"/>
        <v>0.29227999999999998</v>
      </c>
      <c r="T8" s="116">
        <f t="shared" si="4"/>
        <v>36665592.088975459</v>
      </c>
      <c r="U8" s="172"/>
      <c r="V8" s="264"/>
      <c r="W8" s="117"/>
      <c r="X8" s="6" t="s">
        <v>184</v>
      </c>
      <c r="Y8" s="119">
        <f>'Res Bill Impact (TOU-DR1)'!Y8</f>
        <v>1660098559</v>
      </c>
      <c r="Z8" s="119">
        <f>'Res Bill Impact (TOU-DR1)'!Z8</f>
        <v>1422569805</v>
      </c>
      <c r="AA8" s="119">
        <f>'Res Bill Impact (TOU-DR1)'!AA8</f>
        <v>237528754</v>
      </c>
    </row>
    <row r="9" spans="1:31" ht="15.75">
      <c r="D9" s="118" t="s">
        <v>520</v>
      </c>
      <c r="E9" s="238">
        <f>'Res Bill Impact (TOU-DR1)'!E9</f>
        <v>427204947.6000455</v>
      </c>
      <c r="F9" s="115">
        <f>'Res Bill Impact (TOU-DR1)'!F9</f>
        <v>0.37433</v>
      </c>
      <c r="G9" s="116">
        <f t="shared" si="0"/>
        <v>159915628.03512502</v>
      </c>
      <c r="H9" s="172">
        <f t="shared" si="5"/>
        <v>0.37433</v>
      </c>
      <c r="I9" s="116">
        <f t="shared" si="1"/>
        <v>159915628.03512502</v>
      </c>
      <c r="J9" s="172"/>
      <c r="K9" s="264"/>
      <c r="L9" s="117"/>
      <c r="O9" s="118" t="s">
        <v>520</v>
      </c>
      <c r="P9" s="238">
        <f>'Res Bill Impact (TOU-DR1)'!P9</f>
        <v>142224544.76875436</v>
      </c>
      <c r="Q9" s="115">
        <f>'Res Bill Impact (TOU-DR1)'!Q9</f>
        <v>0.23386000000000001</v>
      </c>
      <c r="R9" s="116">
        <f t="shared" si="2"/>
        <v>33260632.039620899</v>
      </c>
      <c r="S9" s="172">
        <f t="shared" si="3"/>
        <v>0.23386000000000001</v>
      </c>
      <c r="T9" s="116">
        <f t="shared" si="4"/>
        <v>33260632.039620899</v>
      </c>
      <c r="U9" s="172"/>
      <c r="V9" s="264"/>
      <c r="W9" s="117"/>
      <c r="X9" s="6" t="s">
        <v>262</v>
      </c>
      <c r="Y9" s="195">
        <f>('Hypothetical SAR and RAR'!V20+'Hypothetical SAR and RAR'!X20)*1000</f>
        <v>0</v>
      </c>
      <c r="Z9" s="195">
        <f>('Hypothetical SAR and RAR'!V20)*1000</f>
        <v>0</v>
      </c>
      <c r="AA9" s="171">
        <f>('Hypothetical SAR and RAR'!X20)*1000</f>
        <v>0</v>
      </c>
    </row>
    <row r="10" spans="1:31" ht="15.75">
      <c r="D10" s="118" t="s">
        <v>521</v>
      </c>
      <c r="E10" s="238">
        <f>'Res Bill Impact (TOU-DR1)'!E10</f>
        <v>649456518.82908928</v>
      </c>
      <c r="F10" s="115">
        <f>'Res Bill Impact (TOU-DR1)'!F10</f>
        <v>-0.10702</v>
      </c>
      <c r="G10" s="116">
        <f t="shared" si="0"/>
        <v>-69504836.645089135</v>
      </c>
      <c r="H10" s="172">
        <f t="shared" si="5"/>
        <v>-0.10702</v>
      </c>
      <c r="I10" s="116">
        <f t="shared" si="1"/>
        <v>-69504836.645089135</v>
      </c>
      <c r="J10" s="172"/>
      <c r="K10" s="264"/>
      <c r="L10" s="117"/>
      <c r="O10" s="118" t="s">
        <v>521</v>
      </c>
      <c r="P10" s="238">
        <f>'Res Bill Impact (TOU-DR1)'!P10</f>
        <v>231919441.18433508</v>
      </c>
      <c r="Q10" s="115">
        <f>'Res Bill Impact (TOU-DR1)'!Q10</f>
        <v>-6.9559999999999997E-2</v>
      </c>
      <c r="R10" s="116">
        <f t="shared" si="2"/>
        <v>-16132316.328782348</v>
      </c>
      <c r="S10" s="172">
        <f t="shared" si="3"/>
        <v>-6.9559999999999997E-2</v>
      </c>
      <c r="T10" s="116">
        <f t="shared" si="4"/>
        <v>-16132316.328782348</v>
      </c>
      <c r="U10" s="172"/>
      <c r="V10" s="264"/>
      <c r="W10" s="117"/>
      <c r="X10" s="6" t="s">
        <v>263</v>
      </c>
      <c r="Y10" s="119">
        <f>Y8+Y9</f>
        <v>1660098559</v>
      </c>
      <c r="Z10" s="119">
        <f>Z8+Z9</f>
        <v>1422569805</v>
      </c>
      <c r="AA10" s="119">
        <f>AA8+AA9</f>
        <v>237528754</v>
      </c>
      <c r="AD10" s="47" t="s">
        <v>326</v>
      </c>
      <c r="AE10" s="47"/>
    </row>
    <row r="11" spans="1:31" ht="15.75">
      <c r="D11" s="118"/>
      <c r="E11" s="238"/>
      <c r="F11" s="121"/>
      <c r="G11" s="116"/>
      <c r="H11" s="172"/>
      <c r="I11" s="116"/>
      <c r="J11" s="172"/>
      <c r="K11" s="264"/>
      <c r="L11" s="117"/>
      <c r="O11" s="118"/>
      <c r="P11" s="238"/>
      <c r="Q11" s="121"/>
      <c r="R11" s="116"/>
      <c r="S11" s="172"/>
      <c r="T11" s="506"/>
      <c r="U11" s="172"/>
      <c r="V11" s="264"/>
      <c r="W11" s="117"/>
      <c r="Y11" s="119"/>
      <c r="AC11" s="133" t="s">
        <v>325</v>
      </c>
      <c r="AD11" s="259" t="s">
        <v>327</v>
      </c>
      <c r="AE11" s="47"/>
    </row>
    <row r="12" spans="1:31" ht="15.75">
      <c r="C12" s="501" t="s">
        <v>193</v>
      </c>
      <c r="D12" s="502" t="s">
        <v>390</v>
      </c>
      <c r="E12" s="238">
        <f>'Res Bill Impact (TOU-DR1)'!E12</f>
        <v>438275700.07140857</v>
      </c>
      <c r="F12" s="115">
        <f>'Res Bill Impact (TOU-DR1)'!F12</f>
        <v>0.61470999999999998</v>
      </c>
      <c r="G12" s="116">
        <f t="shared" si="0"/>
        <v>269412455.59089553</v>
      </c>
      <c r="H12" s="172">
        <f t="shared" si="5"/>
        <v>0.61470999999999998</v>
      </c>
      <c r="I12" s="116">
        <f t="shared" si="1"/>
        <v>269412455.59089553</v>
      </c>
      <c r="J12" s="172"/>
      <c r="K12" s="264"/>
      <c r="L12" s="117"/>
      <c r="N12" s="501" t="s">
        <v>193</v>
      </c>
      <c r="O12" s="502" t="s">
        <v>390</v>
      </c>
      <c r="P12" s="238">
        <f>'Res Bill Impact (TOU-DR1)'!P12</f>
        <v>122190139.22050184</v>
      </c>
      <c r="Q12" s="115">
        <f>'Res Bill Impact (TOU-DR1)'!Q12</f>
        <v>0.3901</v>
      </c>
      <c r="R12" s="116">
        <f t="shared" si="2"/>
        <v>47666373.30991777</v>
      </c>
      <c r="S12" s="172">
        <f t="shared" si="3"/>
        <v>0.39009999999999995</v>
      </c>
      <c r="T12" s="116">
        <f t="shared" si="4"/>
        <v>47666373.309917763</v>
      </c>
      <c r="U12" s="172"/>
      <c r="V12" s="264"/>
      <c r="W12" s="117"/>
      <c r="X12" s="6" t="s">
        <v>362</v>
      </c>
      <c r="Y12" s="259" t="s">
        <v>112</v>
      </c>
      <c r="Z12" s="259" t="s">
        <v>324</v>
      </c>
      <c r="AA12" s="259" t="s">
        <v>3</v>
      </c>
      <c r="AC12" s="6">
        <f>'Res Bill Impact (TOU-DR1)'!AC18</f>
        <v>0.45649000000000001</v>
      </c>
      <c r="AD12" s="167">
        <f>Y14/100/AC12</f>
        <v>0</v>
      </c>
      <c r="AE12" s="267"/>
    </row>
    <row r="13" spans="1:31" ht="15.75">
      <c r="D13" s="118" t="s">
        <v>391</v>
      </c>
      <c r="E13" s="238">
        <f>'Res Bill Impact (TOU-DR1)'!E13</f>
        <v>480644180.56269532</v>
      </c>
      <c r="F13" s="115">
        <f>'Res Bill Impact (TOU-DR1)'!F13</f>
        <v>0.53059999999999996</v>
      </c>
      <c r="G13" s="116">
        <f t="shared" si="0"/>
        <v>255029802.20656613</v>
      </c>
      <c r="H13" s="172">
        <f t="shared" si="5"/>
        <v>0.53059999999999996</v>
      </c>
      <c r="I13" s="116">
        <f t="shared" si="1"/>
        <v>255029802.20656613</v>
      </c>
      <c r="J13" s="1"/>
      <c r="K13" s="123"/>
      <c r="L13" s="117"/>
      <c r="O13" s="118" t="s">
        <v>391</v>
      </c>
      <c r="P13" s="238">
        <f>'Res Bill Impact (TOU-DR1)'!P13</f>
        <v>148207747.67935795</v>
      </c>
      <c r="Q13" s="115">
        <f>'Res Bill Impact (TOU-DR1)'!Q13</f>
        <v>0.33543000000000001</v>
      </c>
      <c r="R13" s="116">
        <f t="shared" si="2"/>
        <v>49713324.804087035</v>
      </c>
      <c r="S13" s="172">
        <f t="shared" ref="S13:S15" si="6">H13*(1+(Q13/F13-1))</f>
        <v>0.33543000000000001</v>
      </c>
      <c r="T13" s="116">
        <f t="shared" ref="T13:T15" si="7">P13*S13</f>
        <v>49713324.804087035</v>
      </c>
      <c r="U13" s="1"/>
      <c r="V13" s="123"/>
      <c r="X13" s="6" t="s">
        <v>363</v>
      </c>
      <c r="Y13" s="296">
        <f>+Z13+AA13</f>
        <v>45.649000000000001</v>
      </c>
      <c r="Z13" s="296">
        <f>'Res Bill Impact (TOU-DR1)'!Z18</f>
        <v>27.564</v>
      </c>
      <c r="AA13" s="296">
        <f>'Res Bill Impact (TOU-DR1)'!AA18</f>
        <v>18.085000000000001</v>
      </c>
      <c r="AC13" s="266"/>
      <c r="AD13" s="98"/>
      <c r="AE13" s="260"/>
    </row>
    <row r="14" spans="1:31" ht="15.75">
      <c r="D14" s="118" t="s">
        <v>520</v>
      </c>
      <c r="E14" s="238">
        <f>'Res Bill Impact (TOU-DR1)'!E14</f>
        <v>525340192.49439591</v>
      </c>
      <c r="F14" s="115">
        <f>'Res Bill Impact (TOU-DR1)'!F14</f>
        <v>0.43718999999999997</v>
      </c>
      <c r="G14" s="116">
        <f t="shared" si="0"/>
        <v>229673478.75662494</v>
      </c>
      <c r="H14" s="172">
        <f t="shared" si="5"/>
        <v>0.43718999999999997</v>
      </c>
      <c r="I14" s="116">
        <f t="shared" si="1"/>
        <v>229673478.75662494</v>
      </c>
      <c r="J14" s="1"/>
      <c r="K14" s="123"/>
      <c r="L14" s="117"/>
      <c r="O14" s="118" t="s">
        <v>520</v>
      </c>
      <c r="P14" s="238">
        <f>'Res Bill Impact (TOU-DR1)'!P14</f>
        <v>172069640.66619059</v>
      </c>
      <c r="Q14" s="115">
        <f>'Res Bill Impact (TOU-DR1)'!Q14</f>
        <v>0.27472000000000002</v>
      </c>
      <c r="R14" s="116">
        <f t="shared" si="2"/>
        <v>47270971.683815882</v>
      </c>
      <c r="S14" s="172">
        <f t="shared" si="6"/>
        <v>0.27472000000000002</v>
      </c>
      <c r="T14" s="116">
        <f t="shared" si="7"/>
        <v>47270971.683815882</v>
      </c>
      <c r="U14" s="1"/>
      <c r="V14" s="123"/>
      <c r="X14" s="6" t="s">
        <v>262</v>
      </c>
      <c r="Y14" s="296">
        <f>+Z14+AA14</f>
        <v>0</v>
      </c>
      <c r="Z14" s="296">
        <f>+Z9/(IF('Hypothetical Summary'!$H$3=2026,'Hypothetical SAR and RAR'!$C$25,'Hypothetical SAR and RAR'!$C$35)*1000)*100</f>
        <v>0</v>
      </c>
      <c r="AA14" s="296">
        <f>+AA9/(IF('Hypothetical Summary'!$H$3=2026,'Hypothetical SAR and RAR'!$E$25,'Hypothetical SAR and RAR'!$E$35)*1000)*100</f>
        <v>0</v>
      </c>
      <c r="AC14" s="266"/>
      <c r="AD14" s="98"/>
      <c r="AE14" s="260"/>
    </row>
    <row r="15" spans="1:31" ht="15.75">
      <c r="D15" s="118" t="s">
        <v>521</v>
      </c>
      <c r="E15" s="238">
        <f>'Res Bill Impact (TOU-DR1)'!E15</f>
        <v>893595074.5783267</v>
      </c>
      <c r="F15" s="115">
        <f>'Res Bill Impact (TOU-DR1)'!F15</f>
        <v>-0.10702</v>
      </c>
      <c r="G15" s="116">
        <f t="shared" si="0"/>
        <v>-95632544.881372526</v>
      </c>
      <c r="H15" s="172">
        <f t="shared" si="5"/>
        <v>-0.10702</v>
      </c>
      <c r="I15" s="116">
        <f t="shared" si="1"/>
        <v>-95632544.881372526</v>
      </c>
      <c r="J15" s="1"/>
      <c r="K15" s="123"/>
      <c r="L15" s="117"/>
      <c r="O15" s="118" t="s">
        <v>521</v>
      </c>
      <c r="P15" s="238">
        <f>'Res Bill Impact (TOU-DR1)'!P15</f>
        <v>311451292.19018537</v>
      </c>
      <c r="Q15" s="115">
        <f>'Res Bill Impact (TOU-DR1)'!Q15</f>
        <v>-6.9559999999999997E-2</v>
      </c>
      <c r="R15" s="116">
        <f t="shared" si="2"/>
        <v>-21664551.884749293</v>
      </c>
      <c r="S15" s="172">
        <f t="shared" si="6"/>
        <v>-6.9559999999999997E-2</v>
      </c>
      <c r="T15" s="116">
        <f t="shared" si="7"/>
        <v>-21664551.884749293</v>
      </c>
      <c r="U15" s="1"/>
      <c r="V15" s="123"/>
      <c r="X15" s="6" t="s">
        <v>263</v>
      </c>
      <c r="Y15" s="296">
        <f>+Y14+Y13</f>
        <v>45.649000000000001</v>
      </c>
      <c r="Z15" s="296">
        <f>+Z14+Z13</f>
        <v>27.564</v>
      </c>
      <c r="AA15" s="296">
        <f>+AA14+AA13</f>
        <v>18.085000000000001</v>
      </c>
      <c r="AC15" s="266"/>
      <c r="AD15" s="98"/>
      <c r="AE15" s="260"/>
    </row>
    <row r="16" spans="1:31" ht="15.75">
      <c r="D16" s="118"/>
      <c r="E16" s="120"/>
      <c r="F16" s="121"/>
      <c r="G16" s="122"/>
      <c r="H16" s="1"/>
      <c r="I16" s="123"/>
      <c r="J16" s="1"/>
      <c r="K16" s="123"/>
      <c r="L16" s="117"/>
      <c r="O16" s="118"/>
      <c r="P16" s="122"/>
      <c r="Q16" s="121"/>
      <c r="R16" s="122"/>
      <c r="S16" s="1"/>
      <c r="T16" s="123"/>
      <c r="U16" s="1"/>
      <c r="V16" s="123"/>
      <c r="Y16" s="296"/>
      <c r="Z16" s="296"/>
      <c r="AA16" s="296"/>
      <c r="AC16" s="266"/>
      <c r="AD16" s="98"/>
      <c r="AE16" s="260"/>
    </row>
    <row r="17" spans="1:31" ht="15.75">
      <c r="D17" s="118"/>
      <c r="E17" s="118" t="s">
        <v>459</v>
      </c>
      <c r="F17" s="115">
        <f>'Res Bill Impact (TOU-DR1)'!F17</f>
        <v>0.79342999999999997</v>
      </c>
      <c r="G17" s="121"/>
      <c r="H17" s="172"/>
      <c r="I17" s="122"/>
      <c r="J17" s="122"/>
      <c r="K17" s="122"/>
      <c r="L17" s="117"/>
      <c r="O17" s="118"/>
      <c r="P17" s="118" t="s">
        <v>459</v>
      </c>
      <c r="Q17" s="115">
        <f>'Res Bill Impact (TOU-DR1)'!Q17</f>
        <v>0.19713</v>
      </c>
      <c r="R17" s="121"/>
      <c r="S17" s="122"/>
      <c r="T17" s="122"/>
      <c r="U17" s="122"/>
      <c r="V17" s="122"/>
      <c r="AD17" s="47"/>
      <c r="AE17" s="47"/>
    </row>
    <row r="18" spans="1:31" ht="15.75">
      <c r="D18" s="118"/>
      <c r="E18" s="118" t="s">
        <v>460</v>
      </c>
      <c r="F18" s="605">
        <f>F17*30</f>
        <v>23.802899999999998</v>
      </c>
      <c r="G18" s="453" t="s">
        <v>461</v>
      </c>
      <c r="I18" s="122"/>
      <c r="J18" s="236"/>
      <c r="K18" s="122"/>
      <c r="L18" s="117"/>
      <c r="O18" s="124"/>
      <c r="P18" s="118" t="s">
        <v>460</v>
      </c>
      <c r="Q18" s="605">
        <f>Q17*30</f>
        <v>5.9138999999999999</v>
      </c>
      <c r="R18" s="453" t="s">
        <v>461</v>
      </c>
      <c r="S18" s="122"/>
      <c r="T18" s="122"/>
      <c r="U18" s="122"/>
      <c r="V18" s="122"/>
      <c r="AC18" s="47"/>
      <c r="AD18" s="47"/>
      <c r="AE18" s="47"/>
    </row>
    <row r="19" spans="1:31" ht="15.75">
      <c r="P19" s="122"/>
      <c r="Q19" s="121"/>
      <c r="R19" s="122"/>
      <c r="AC19" s="262"/>
      <c r="AD19" s="261"/>
      <c r="AE19" s="262"/>
    </row>
    <row r="20" spans="1:31" ht="15.75">
      <c r="O20" s="125"/>
      <c r="R20" s="122"/>
      <c r="Y20" s="47"/>
      <c r="Z20" s="294"/>
      <c r="AA20" s="294"/>
    </row>
    <row r="21" spans="1:31" ht="15.75">
      <c r="Y21" s="47"/>
      <c r="Z21" s="294"/>
      <c r="AA21" s="294"/>
    </row>
    <row r="22" spans="1:31">
      <c r="B22" s="7"/>
      <c r="AD22" s="47"/>
      <c r="AE22" s="47"/>
    </row>
    <row r="23" spans="1:31">
      <c r="B23" s="126" t="s">
        <v>522</v>
      </c>
      <c r="C23" s="126"/>
      <c r="E23" s="127"/>
      <c r="F23" s="127"/>
      <c r="H23" s="126" t="s">
        <v>271</v>
      </c>
      <c r="I23" s="126"/>
      <c r="J23" s="126"/>
      <c r="K23" s="126" t="s">
        <v>270</v>
      </c>
      <c r="L23" s="126"/>
      <c r="M23" s="126"/>
      <c r="N23" s="126"/>
      <c r="P23" s="6" t="str">
        <f>'Res Bill Impact (TOU-DR1)'!P23</f>
        <v>2025 Recorded Data - Average Monthly Usage - BASIC kWh</v>
      </c>
      <c r="AD23" s="47"/>
      <c r="AE23" s="47"/>
    </row>
    <row r="24" spans="1:31">
      <c r="B24" s="130" t="s">
        <v>175</v>
      </c>
      <c r="C24" s="131" t="str">
        <f>'Res Bill Impact (TOU-DR1)'!C24</f>
        <v>6/1/2026</v>
      </c>
      <c r="D24" s="315" t="str">
        <f>'Res Bill Impact (TOU-DR1)'!D24</f>
        <v>8/1/2026</v>
      </c>
      <c r="E24" s="132" t="s">
        <v>174</v>
      </c>
      <c r="F24" s="127"/>
      <c r="H24" s="133" t="s">
        <v>191</v>
      </c>
      <c r="I24" s="133" t="s">
        <v>192</v>
      </c>
      <c r="J24" s="133" t="s">
        <v>193</v>
      </c>
      <c r="K24" s="133" t="s">
        <v>191</v>
      </c>
      <c r="L24" s="133" t="s">
        <v>192</v>
      </c>
      <c r="M24" s="133" t="s">
        <v>193</v>
      </c>
      <c r="P24" s="128" t="s">
        <v>191</v>
      </c>
      <c r="Q24" s="129" t="s">
        <v>192</v>
      </c>
      <c r="R24" s="129" t="s">
        <v>193</v>
      </c>
      <c r="S24" s="129" t="s">
        <v>192</v>
      </c>
      <c r="T24" s="129" t="s">
        <v>193</v>
      </c>
      <c r="U24" s="789" t="s">
        <v>196</v>
      </c>
      <c r="V24" s="790"/>
      <c r="AD24" s="267"/>
      <c r="AE24" s="267"/>
    </row>
    <row r="25" spans="1:31">
      <c r="A25" s="501" t="s">
        <v>192</v>
      </c>
      <c r="B25" s="134" t="s">
        <v>390</v>
      </c>
      <c r="C25" s="137">
        <f>'Res Bill Impact (TOU-DR1)'!C25</f>
        <v>0.68459000000000003</v>
      </c>
      <c r="D25" s="137">
        <f>'Res Bill Impact (TOU-DR1)'!D25</f>
        <v>0.69135000000000002</v>
      </c>
      <c r="E25" s="137">
        <f>H7</f>
        <v>0.69135000000000002</v>
      </c>
      <c r="F25" s="242"/>
      <c r="H25" s="6" t="s">
        <v>125</v>
      </c>
      <c r="I25" s="155">
        <f>'Res Bill Impact (TOU-DR1)'!I25</f>
        <v>351</v>
      </c>
      <c r="J25" s="155">
        <f>'Res Bill Impact (TOU-DR1)'!J25</f>
        <v>359</v>
      </c>
      <c r="K25" s="6" t="s">
        <v>125</v>
      </c>
      <c r="L25" s="155">
        <f>'Res Bill Impact (TOU-DR1)'!L25</f>
        <v>235</v>
      </c>
      <c r="M25" s="155">
        <f>'Res Bill Impact (TOU-DR1)'!M25</f>
        <v>343</v>
      </c>
      <c r="N25" s="119"/>
      <c r="P25" s="52"/>
      <c r="Q25" s="792" t="s">
        <v>149</v>
      </c>
      <c r="R25" s="793"/>
      <c r="S25" s="792" t="s">
        <v>150</v>
      </c>
      <c r="T25" s="793"/>
      <c r="U25" s="47" t="s">
        <v>149</v>
      </c>
      <c r="V25" s="47" t="s">
        <v>150</v>
      </c>
    </row>
    <row r="26" spans="1:31">
      <c r="B26" s="134" t="s">
        <v>391</v>
      </c>
      <c r="C26" s="137">
        <f>'Res Bill Impact (TOU-DR1)'!C26</f>
        <v>0.46392</v>
      </c>
      <c r="D26" s="137">
        <f>'Res Bill Impact (TOU-DR1)'!D26</f>
        <v>0.46421000000000001</v>
      </c>
      <c r="E26" s="137">
        <f t="shared" ref="E26:E33" si="8">H8</f>
        <v>0.46421000000000001</v>
      </c>
      <c r="F26" s="242"/>
      <c r="H26" s="6" t="s">
        <v>197</v>
      </c>
      <c r="I26" s="155">
        <f>'Res Bill Impact (TOU-DR1)'!I26</f>
        <v>530</v>
      </c>
      <c r="J26" s="155">
        <f>'Res Bill Impact (TOU-DR1)'!J26</f>
        <v>503</v>
      </c>
      <c r="K26" s="6" t="s">
        <v>197</v>
      </c>
      <c r="L26" s="155">
        <f>'Res Bill Impact (TOU-DR1)'!L26</f>
        <v>593</v>
      </c>
      <c r="M26" s="155">
        <f>'Res Bill Impact (TOU-DR1)'!M26</f>
        <v>863</v>
      </c>
      <c r="N26" s="119"/>
      <c r="P26" s="138" t="s">
        <v>125</v>
      </c>
      <c r="Q26" s="139">
        <f>'Res Bill Impact (TOU-DR1)'!Q26</f>
        <v>334.36541599999998</v>
      </c>
      <c r="R26" s="139">
        <f>'Res Bill Impact (TOU-DR1)'!R26</f>
        <v>309.27334100000002</v>
      </c>
      <c r="S26" s="139">
        <f>'Res Bill Impact (TOU-DR1)'!S26</f>
        <v>329.33632999999998</v>
      </c>
      <c r="T26" s="139">
        <f>'Res Bill Impact (TOU-DR1)'!T26</f>
        <v>300.562815</v>
      </c>
      <c r="U26" s="196">
        <f>'Res Bill Impact (TOU-DR1)'!U26</f>
        <v>0.59302976011933228</v>
      </c>
      <c r="V26" s="196">
        <f>'Res Bill Impact (TOU-DR1)'!V26</f>
        <v>0.5004157582517873</v>
      </c>
    </row>
    <row r="27" spans="1:31">
      <c r="B27" s="134" t="s">
        <v>520</v>
      </c>
      <c r="C27" s="137">
        <f>'Res Bill Impact (TOU-DR1)'!C27</f>
        <v>0.37659999999999993</v>
      </c>
      <c r="D27" s="137">
        <f>'Res Bill Impact (TOU-DR1)'!D27</f>
        <v>0.37433</v>
      </c>
      <c r="E27" s="137">
        <f t="shared" si="8"/>
        <v>0.37433</v>
      </c>
      <c r="F27" s="242"/>
      <c r="H27" s="6" t="s">
        <v>198</v>
      </c>
      <c r="I27" s="155">
        <f>'Res Bill Impact (TOU-DR1)'!I27</f>
        <v>620</v>
      </c>
      <c r="J27" s="155">
        <f>'Res Bill Impact (TOU-DR1)'!J27</f>
        <v>425</v>
      </c>
      <c r="K27" s="6" t="s">
        <v>198</v>
      </c>
      <c r="L27" s="155">
        <f>'Res Bill Impact (TOU-DR1)'!L27</f>
        <v>662</v>
      </c>
      <c r="M27" s="155">
        <f>'Res Bill Impact (TOU-DR1)'!M27</f>
        <v>667</v>
      </c>
      <c r="N27" s="119"/>
      <c r="P27" s="141" t="s">
        <v>197</v>
      </c>
      <c r="Q27" s="139">
        <f>'Res Bill Impact (TOU-DR1)'!Q27</f>
        <v>370.89176200000003</v>
      </c>
      <c r="R27" s="139">
        <f>'Res Bill Impact (TOU-DR1)'!R27</f>
        <v>320.932299</v>
      </c>
      <c r="S27" s="139">
        <f>'Res Bill Impact (TOU-DR1)'!S27</f>
        <v>595.62742000000003</v>
      </c>
      <c r="T27" s="139">
        <f>'Res Bill Impact (TOU-DR1)'!T27</f>
        <v>535.42582900000002</v>
      </c>
      <c r="U27" s="196">
        <f>'Res Bill Impact (TOU-DR1)'!U27</f>
        <v>8.43340424866614E-3</v>
      </c>
      <c r="V27" s="196">
        <f>'Res Bill Impact (TOU-DR1)'!V27</f>
        <v>7.9450387872027576E-3</v>
      </c>
    </row>
    <row r="28" spans="1:31">
      <c r="B28" s="134" t="s">
        <v>521</v>
      </c>
      <c r="C28" s="137">
        <f>'Res Bill Impact (TOU-DR1)'!C28</f>
        <v>-0.10663</v>
      </c>
      <c r="D28" s="137">
        <f>'Res Bill Impact (TOU-DR1)'!D28</f>
        <v>-0.10702</v>
      </c>
      <c r="E28" s="137">
        <f t="shared" si="8"/>
        <v>-0.10702</v>
      </c>
      <c r="F28" s="242"/>
      <c r="H28" s="6" t="s">
        <v>199</v>
      </c>
      <c r="I28" s="155">
        <f>'Res Bill Impact (TOU-DR1)'!I28</f>
        <v>406</v>
      </c>
      <c r="J28" s="155">
        <f>'Res Bill Impact (TOU-DR1)'!J28</f>
        <v>374</v>
      </c>
      <c r="K28" s="6" t="s">
        <v>199</v>
      </c>
      <c r="L28" s="155">
        <f>'Res Bill Impact (TOU-DR1)'!L28</f>
        <v>341</v>
      </c>
      <c r="M28" s="155">
        <f>'Res Bill Impact (TOU-DR1)'!M28</f>
        <v>475</v>
      </c>
      <c r="N28" s="119"/>
      <c r="P28" s="141" t="s">
        <v>198</v>
      </c>
      <c r="Q28" s="139">
        <f>'Res Bill Impact (TOU-DR1)'!Q28</f>
        <v>400.96965999999998</v>
      </c>
      <c r="R28" s="139">
        <f>'Res Bill Impact (TOU-DR1)'!R28</f>
        <v>153.73130499999999</v>
      </c>
      <c r="S28" s="139">
        <f>'Res Bill Impact (TOU-DR1)'!S28</f>
        <v>651.39212799999996</v>
      </c>
      <c r="T28" s="139">
        <f>'Res Bill Impact (TOU-DR1)'!T28</f>
        <v>320.86506100000003</v>
      </c>
      <c r="U28" s="196">
        <f>'Res Bill Impact (TOU-DR1)'!U28</f>
        <v>1.1233729911021911E-3</v>
      </c>
      <c r="V28" s="196">
        <f>'Res Bill Impact (TOU-DR1)'!V28</f>
        <v>1.5362774425797293E-3</v>
      </c>
    </row>
    <row r="29" spans="1:31">
      <c r="B29" s="134"/>
      <c r="C29" s="137"/>
      <c r="D29" s="137"/>
      <c r="E29" s="137"/>
      <c r="F29" s="242"/>
      <c r="I29" s="119"/>
      <c r="J29" s="119"/>
      <c r="L29" s="119"/>
      <c r="M29" s="119"/>
      <c r="N29" s="119"/>
      <c r="P29" s="144" t="s">
        <v>199</v>
      </c>
      <c r="Q29" s="145">
        <f>'Res Bill Impact (TOU-DR1)'!Q29</f>
        <v>325.12078600000001</v>
      </c>
      <c r="R29" s="145">
        <f>'Res Bill Impact (TOU-DR1)'!R29</f>
        <v>273.16046899999998</v>
      </c>
      <c r="S29" s="145">
        <f>'Res Bill Impact (TOU-DR1)'!S29</f>
        <v>427.16779600000001</v>
      </c>
      <c r="T29" s="145">
        <f>'Res Bill Impact (TOU-DR1)'!T29</f>
        <v>342.00768900000003</v>
      </c>
      <c r="U29" s="196">
        <f>'Res Bill Impact (TOU-DR1)'!U29</f>
        <v>0.39741346264089933</v>
      </c>
      <c r="V29" s="196">
        <f>'Res Bill Impact (TOU-DR1)'!V29</f>
        <v>0.49010292551843027</v>
      </c>
    </row>
    <row r="30" spans="1:31">
      <c r="A30" s="501" t="s">
        <v>193</v>
      </c>
      <c r="B30" s="134" t="s">
        <v>390</v>
      </c>
      <c r="C30" s="136">
        <f>'Res Bill Impact (TOU-DR1)'!C30</f>
        <v>0.6101399999999999</v>
      </c>
      <c r="D30" s="136">
        <f>'Res Bill Impact (TOU-DR1)'!D30</f>
        <v>0.61470999999999998</v>
      </c>
      <c r="E30" s="136">
        <f t="shared" si="8"/>
        <v>0.61470999999999998</v>
      </c>
      <c r="F30" s="242"/>
      <c r="N30" s="119"/>
    </row>
    <row r="31" spans="1:31">
      <c r="B31" s="134" t="s">
        <v>391</v>
      </c>
      <c r="C31" s="136">
        <f>'Res Bill Impact (TOU-DR1)'!C31</f>
        <v>0.52842999999999996</v>
      </c>
      <c r="D31" s="136">
        <f>'Res Bill Impact (TOU-DR1)'!D31</f>
        <v>0.53059999999999996</v>
      </c>
      <c r="E31" s="136">
        <f t="shared" si="8"/>
        <v>0.53059999999999996</v>
      </c>
      <c r="F31" s="242"/>
      <c r="H31" s="126" t="s">
        <v>267</v>
      </c>
      <c r="I31" s="126"/>
      <c r="J31" s="126"/>
      <c r="K31" s="126" t="s">
        <v>266</v>
      </c>
      <c r="L31" s="126"/>
      <c r="M31" s="126"/>
      <c r="N31" s="119"/>
      <c r="P31" s="6" t="str">
        <f>'Res Bill Impact (TOU-DR1)'!P31</f>
        <v>2025 Recorded Data - Average Monthly Usage - ALL-ELECTRIC kWh</v>
      </c>
    </row>
    <row r="32" spans="1:31" ht="14.1" customHeight="1">
      <c r="B32" s="134" t="s">
        <v>520</v>
      </c>
      <c r="C32" s="136">
        <f>'Res Bill Impact (TOU-DR1)'!C32</f>
        <v>0.43766999999999995</v>
      </c>
      <c r="D32" s="136">
        <f>'Res Bill Impact (TOU-DR1)'!D32</f>
        <v>0.43718999999999997</v>
      </c>
      <c r="E32" s="136">
        <f t="shared" si="8"/>
        <v>0.43718999999999997</v>
      </c>
      <c r="F32" s="242"/>
      <c r="H32" s="133" t="s">
        <v>191</v>
      </c>
      <c r="I32" s="133" t="s">
        <v>192</v>
      </c>
      <c r="J32" s="133" t="s">
        <v>193</v>
      </c>
      <c r="K32" s="133" t="s">
        <v>191</v>
      </c>
      <c r="L32" s="133" t="s">
        <v>192</v>
      </c>
      <c r="M32" s="133" t="s">
        <v>193</v>
      </c>
      <c r="N32" s="119"/>
      <c r="P32" s="128" t="s">
        <v>191</v>
      </c>
      <c r="Q32" s="129" t="s">
        <v>192</v>
      </c>
      <c r="R32" s="129" t="s">
        <v>193</v>
      </c>
      <c r="S32" s="129" t="s">
        <v>192</v>
      </c>
      <c r="T32" s="129" t="s">
        <v>193</v>
      </c>
      <c r="U32" s="789" t="s">
        <v>196</v>
      </c>
      <c r="V32" s="790"/>
    </row>
    <row r="33" spans="1:23" ht="14.1" customHeight="1">
      <c r="B33" s="134" t="s">
        <v>521</v>
      </c>
      <c r="C33" s="136">
        <f>'Res Bill Impact (TOU-DR1)'!C33</f>
        <v>-0.10663</v>
      </c>
      <c r="D33" s="136">
        <f>'Res Bill Impact (TOU-DR1)'!D33</f>
        <v>-0.10702</v>
      </c>
      <c r="E33" s="136">
        <f t="shared" si="8"/>
        <v>-0.10702</v>
      </c>
      <c r="F33" s="242"/>
      <c r="H33" s="6" t="s">
        <v>125</v>
      </c>
      <c r="I33" s="155">
        <f>'Res Bill Impact (TOU-DR1)'!I33</f>
        <v>270</v>
      </c>
      <c r="J33" s="155">
        <f>'Res Bill Impact (TOU-DR1)'!J33</f>
        <v>276</v>
      </c>
      <c r="K33" s="6" t="s">
        <v>125</v>
      </c>
      <c r="L33" s="155">
        <f>'Res Bill Impact (TOU-DR1)'!L33</f>
        <v>181</v>
      </c>
      <c r="M33" s="155">
        <f>'Res Bill Impact (TOU-DR1)'!M33</f>
        <v>264</v>
      </c>
      <c r="N33" s="119"/>
      <c r="P33" s="52"/>
      <c r="Q33" s="792" t="s">
        <v>149</v>
      </c>
      <c r="R33" s="793"/>
      <c r="S33" s="792" t="s">
        <v>150</v>
      </c>
      <c r="T33" s="793"/>
      <c r="U33" s="47" t="s">
        <v>149</v>
      </c>
      <c r="V33" s="47" t="s">
        <v>150</v>
      </c>
    </row>
    <row r="34" spans="1:23">
      <c r="H34" s="6" t="s">
        <v>197</v>
      </c>
      <c r="I34" s="155">
        <f>'Res Bill Impact (TOU-DR1)'!I34</f>
        <v>408</v>
      </c>
      <c r="J34" s="155">
        <f>'Res Bill Impact (TOU-DR1)'!J34</f>
        <v>387</v>
      </c>
      <c r="K34" s="6" t="s">
        <v>197</v>
      </c>
      <c r="L34" s="155">
        <f>'Res Bill Impact (TOU-DR1)'!L34</f>
        <v>456</v>
      </c>
      <c r="M34" s="155">
        <f>'Res Bill Impact (TOU-DR1)'!M34</f>
        <v>664</v>
      </c>
      <c r="N34" s="119"/>
      <c r="P34" s="138" t="s">
        <v>125</v>
      </c>
      <c r="Q34" s="139">
        <f>'Res Bill Impact (TOU-DR1)'!Q34</f>
        <v>283.425005</v>
      </c>
      <c r="R34" s="139">
        <f>'Res Bill Impact (TOU-DR1)'!R34</f>
        <v>272.60744599999998</v>
      </c>
      <c r="S34" s="139">
        <f>'Res Bill Impact (TOU-DR1)'!S34</f>
        <v>293.30439200000001</v>
      </c>
      <c r="T34" s="139">
        <f>'Res Bill Impact (TOU-DR1)'!T34</f>
        <v>284.82109400000002</v>
      </c>
      <c r="U34" s="196">
        <f>'Res Bill Impact (TOU-DR1)'!U34</f>
        <v>0.58383763710758863</v>
      </c>
      <c r="V34" s="196">
        <f>'Res Bill Impact (TOU-DR1)'!V34</f>
        <v>0.44804334178157046</v>
      </c>
    </row>
    <row r="35" spans="1:23">
      <c r="B35" s="126" t="s">
        <v>527</v>
      </c>
      <c r="C35" s="126"/>
      <c r="D35" s="126"/>
      <c r="E35" s="127"/>
      <c r="F35" s="127"/>
      <c r="H35" s="6" t="s">
        <v>198</v>
      </c>
      <c r="I35" s="155">
        <f>'Res Bill Impact (TOU-DR1)'!I35</f>
        <v>477</v>
      </c>
      <c r="J35" s="155">
        <f>'Res Bill Impact (TOU-DR1)'!J35</f>
        <v>327</v>
      </c>
      <c r="K35" s="6" t="s">
        <v>198</v>
      </c>
      <c r="L35" s="155">
        <f>'Res Bill Impact (TOU-DR1)'!L35</f>
        <v>509</v>
      </c>
      <c r="M35" s="155">
        <f>'Res Bill Impact (TOU-DR1)'!M35</f>
        <v>513</v>
      </c>
      <c r="N35" s="119"/>
      <c r="P35" s="141" t="s">
        <v>197</v>
      </c>
      <c r="Q35" s="139">
        <f>'Res Bill Impact (TOU-DR1)'!Q35</f>
        <v>393.67990800000001</v>
      </c>
      <c r="R35" s="139">
        <f>'Res Bill Impact (TOU-DR1)'!R35</f>
        <v>457.21679599999999</v>
      </c>
      <c r="S35" s="139">
        <f>'Res Bill Impact (TOU-DR1)'!S35</f>
        <v>614.42968800000006</v>
      </c>
      <c r="T35" s="139">
        <f>'Res Bill Impact (TOU-DR1)'!T35</f>
        <v>691.41233199999999</v>
      </c>
      <c r="U35" s="196">
        <f>'Res Bill Impact (TOU-DR1)'!U35</f>
        <v>2.0596224598562734E-2</v>
      </c>
      <c r="V35" s="196">
        <f>'Res Bill Impact (TOU-DR1)'!V35</f>
        <v>1.4334875717906388E-2</v>
      </c>
    </row>
    <row r="36" spans="1:23">
      <c r="B36" s="130" t="s">
        <v>175</v>
      </c>
      <c r="C36" s="131" t="str">
        <f>C24</f>
        <v>6/1/2026</v>
      </c>
      <c r="D36" s="131" t="str">
        <f>D24</f>
        <v>8/1/2026</v>
      </c>
      <c r="E36" s="132" t="s">
        <v>174</v>
      </c>
      <c r="F36" s="127"/>
      <c r="H36" s="6" t="s">
        <v>199</v>
      </c>
      <c r="I36" s="155">
        <f>'Res Bill Impact (TOU-DR1)'!I36</f>
        <v>312</v>
      </c>
      <c r="J36" s="155">
        <f>'Res Bill Impact (TOU-DR1)'!J36</f>
        <v>288</v>
      </c>
      <c r="K36" s="6" t="s">
        <v>199</v>
      </c>
      <c r="L36" s="155">
        <f>'Res Bill Impact (TOU-DR1)'!L36</f>
        <v>262</v>
      </c>
      <c r="M36" s="155">
        <f>'Res Bill Impact (TOU-DR1)'!M36</f>
        <v>365</v>
      </c>
      <c r="N36" s="119"/>
      <c r="P36" s="141" t="s">
        <v>198</v>
      </c>
      <c r="Q36" s="139">
        <f>'Res Bill Impact (TOU-DR1)'!Q36</f>
        <v>347.61028700000003</v>
      </c>
      <c r="R36" s="139">
        <f>'Res Bill Impact (TOU-DR1)'!R36</f>
        <v>178.718932</v>
      </c>
      <c r="S36" s="139">
        <f>'Res Bill Impact (TOU-DR1)'!S36</f>
        <v>706.90564700000004</v>
      </c>
      <c r="T36" s="139">
        <f>'Res Bill Impact (TOU-DR1)'!T36</f>
        <v>394.63204200000001</v>
      </c>
      <c r="U36" s="196">
        <f>'Res Bill Impact (TOU-DR1)'!U36</f>
        <v>5.596052676821511E-3</v>
      </c>
      <c r="V36" s="196">
        <f>'Res Bill Impact (TOU-DR1)'!V36</f>
        <v>3.7086985839514496E-3</v>
      </c>
    </row>
    <row r="37" spans="1:23">
      <c r="A37" s="501" t="s">
        <v>192</v>
      </c>
      <c r="B37" s="134" t="s">
        <v>390</v>
      </c>
      <c r="C37" s="136">
        <f>'Res Bill Impact (TOU-DR1)'!C37</f>
        <v>0.43552999999999997</v>
      </c>
      <c r="D37" s="136">
        <f>'Res Bill Impact (TOU-DR1)'!D37</f>
        <v>0.43991999999999998</v>
      </c>
      <c r="E37" s="136">
        <f>S7</f>
        <v>0.43991999999999998</v>
      </c>
      <c r="F37" s="242"/>
      <c r="I37" s="119"/>
      <c r="J37" s="119"/>
      <c r="L37" s="119"/>
      <c r="M37" s="119"/>
      <c r="N37" s="119"/>
      <c r="P37" s="144" t="s">
        <v>199</v>
      </c>
      <c r="Q37" s="145">
        <f>'Res Bill Impact (TOU-DR1)'!Q37</f>
        <v>331.02294799999999</v>
      </c>
      <c r="R37" s="145">
        <f>'Res Bill Impact (TOU-DR1)'!R37</f>
        <v>327.76564100000002</v>
      </c>
      <c r="S37" s="145">
        <f>'Res Bill Impact (TOU-DR1)'!S37</f>
        <v>390.24194699999998</v>
      </c>
      <c r="T37" s="145">
        <f>'Res Bill Impact (TOU-DR1)'!T37</f>
        <v>346.22200400000003</v>
      </c>
      <c r="U37" s="196">
        <f>'Res Bill Impact (TOU-DR1)'!U37</f>
        <v>0.38997008561702712</v>
      </c>
      <c r="V37" s="196">
        <f>'Res Bill Impact (TOU-DR1)'!V37</f>
        <v>0.53391308391657177</v>
      </c>
    </row>
    <row r="38" spans="1:23">
      <c r="B38" s="134" t="s">
        <v>391</v>
      </c>
      <c r="C38" s="136">
        <f>'Res Bill Impact (TOU-DR1)'!C38</f>
        <v>0.29209000000000002</v>
      </c>
      <c r="D38" s="136">
        <f>'Res Bill Impact (TOU-DR1)'!D38</f>
        <v>0.29227999999999998</v>
      </c>
      <c r="E38" s="136">
        <f t="shared" ref="E38:E45" si="9">S8</f>
        <v>0.29227999999999998</v>
      </c>
      <c r="F38" s="242"/>
      <c r="N38" s="119"/>
    </row>
    <row r="39" spans="1:23">
      <c r="B39" s="134" t="s">
        <v>520</v>
      </c>
      <c r="C39" s="136">
        <f>'Res Bill Impact (TOU-DR1)'!C39</f>
        <v>0.23533000000000001</v>
      </c>
      <c r="D39" s="136">
        <f>'Res Bill Impact (TOU-DR1)'!D39</f>
        <v>0.23386000000000001</v>
      </c>
      <c r="E39" s="136">
        <f t="shared" si="9"/>
        <v>0.23386000000000001</v>
      </c>
      <c r="F39" s="242"/>
      <c r="H39" s="503" t="s">
        <v>524</v>
      </c>
      <c r="N39" s="119"/>
      <c r="P39" s="503" t="s">
        <v>526</v>
      </c>
    </row>
    <row r="40" spans="1:23">
      <c r="B40" s="134" t="s">
        <v>521</v>
      </c>
      <c r="C40" s="136">
        <f>'Res Bill Impact (TOU-DR1)'!C40</f>
        <v>-6.9309999999999997E-2</v>
      </c>
      <c r="D40" s="136">
        <f>'Res Bill Impact (TOU-DR1)'!D40</f>
        <v>-6.9559999999999997E-2</v>
      </c>
      <c r="E40" s="136">
        <f t="shared" si="9"/>
        <v>-6.9559999999999997E-2</v>
      </c>
      <c r="F40" s="242"/>
      <c r="I40" s="866" t="str">
        <f>C24</f>
        <v>6/1/2026</v>
      </c>
      <c r="J40" s="866"/>
      <c r="L40" s="867" t="str">
        <f>D24</f>
        <v>8/1/2026</v>
      </c>
      <c r="M40" s="867"/>
      <c r="N40" s="119"/>
      <c r="Q40" s="866" t="str">
        <f>C24</f>
        <v>6/1/2026</v>
      </c>
      <c r="R40" s="866"/>
      <c r="T40" s="867" t="str">
        <f>D24</f>
        <v>8/1/2026</v>
      </c>
      <c r="U40" s="868"/>
    </row>
    <row r="41" spans="1:23">
      <c r="B41" s="134"/>
      <c r="C41" s="136"/>
      <c r="D41" s="136"/>
      <c r="E41" s="136"/>
      <c r="F41" s="242"/>
      <c r="H41" s="259" t="s">
        <v>525</v>
      </c>
      <c r="I41" s="259" t="s">
        <v>192</v>
      </c>
      <c r="J41" s="259" t="s">
        <v>193</v>
      </c>
      <c r="K41" s="259" t="s">
        <v>525</v>
      </c>
      <c r="L41" s="259" t="s">
        <v>192</v>
      </c>
      <c r="M41" s="259" t="s">
        <v>193</v>
      </c>
      <c r="N41" s="119"/>
      <c r="P41" s="259" t="s">
        <v>525</v>
      </c>
      <c r="Q41" s="259" t="s">
        <v>192</v>
      </c>
      <c r="R41" s="259" t="s">
        <v>193</v>
      </c>
      <c r="S41" s="259" t="s">
        <v>525</v>
      </c>
      <c r="T41" s="259" t="s">
        <v>192</v>
      </c>
      <c r="U41" s="259" t="s">
        <v>193</v>
      </c>
      <c r="V41" s="196"/>
    </row>
    <row r="42" spans="1:23">
      <c r="A42" s="501" t="s">
        <v>193</v>
      </c>
      <c r="B42" s="134" t="s">
        <v>390</v>
      </c>
      <c r="C42" s="136">
        <f>'Res Bill Impact (TOU-DR1)'!C42</f>
        <v>0.38712999999999997</v>
      </c>
      <c r="D42" s="136">
        <f>'Res Bill Impact (TOU-DR1)'!D42</f>
        <v>0.3901</v>
      </c>
      <c r="E42" s="136">
        <f t="shared" si="9"/>
        <v>0.39009999999999995</v>
      </c>
      <c r="F42" s="242"/>
      <c r="H42" s="134" t="s">
        <v>390</v>
      </c>
      <c r="I42" s="504">
        <f>'Res Bill Impact (TOU-DR1)'!I42</f>
        <v>0.31318332553540318</v>
      </c>
      <c r="J42" s="504">
        <f>'Res Bill Impact (TOU-DR1)'!J42</f>
        <v>0.30346037270284215</v>
      </c>
      <c r="K42" s="134" t="s">
        <v>390</v>
      </c>
      <c r="L42" s="504">
        <f>'Res Bill Impact (TOU-DR1)'!L42</f>
        <v>0.31318332553540318</v>
      </c>
      <c r="M42" s="504">
        <f>'Res Bill Impact (TOU-DR1)'!M42</f>
        <v>0.30346037270284215</v>
      </c>
      <c r="N42" s="119"/>
      <c r="P42" s="134" t="s">
        <v>390</v>
      </c>
      <c r="Q42" s="504">
        <f>'Res Bill Impact (TOU-DR1)'!Q42</f>
        <v>0.28795874216727374</v>
      </c>
      <c r="R42" s="504">
        <f>'Res Bill Impact (TOU-DR1)'!R42</f>
        <v>0.2761561732962689</v>
      </c>
      <c r="S42" s="134" t="s">
        <v>390</v>
      </c>
      <c r="T42" s="504">
        <f>'Res Bill Impact (TOU-DR1)'!T42</f>
        <v>0.28795874216727374</v>
      </c>
      <c r="U42" s="504">
        <f>'Res Bill Impact (TOU-DR1)'!U42</f>
        <v>0.2761561732962689</v>
      </c>
    </row>
    <row r="43" spans="1:23">
      <c r="B43" s="134" t="s">
        <v>391</v>
      </c>
      <c r="C43" s="136">
        <f>'Res Bill Impact (TOU-DR1)'!C43</f>
        <v>0.33401999999999998</v>
      </c>
      <c r="D43" s="136">
        <f>'Res Bill Impact (TOU-DR1)'!D43</f>
        <v>0.33543000000000001</v>
      </c>
      <c r="E43" s="136">
        <f t="shared" si="9"/>
        <v>0.33543000000000001</v>
      </c>
      <c r="F43" s="242"/>
      <c r="H43" s="134" t="s">
        <v>391</v>
      </c>
      <c r="I43" s="504">
        <f>'Res Bill Impact (TOU-DR1)'!I43</f>
        <v>0.33383993568372622</v>
      </c>
      <c r="J43" s="504">
        <f>'Res Bill Impact (TOU-DR1)'!J43</f>
        <v>0.33279614212524944</v>
      </c>
      <c r="K43" s="134" t="s">
        <v>391</v>
      </c>
      <c r="L43" s="504">
        <f>'Res Bill Impact (TOU-DR1)'!L43</f>
        <v>0.33383993568372622</v>
      </c>
      <c r="M43" s="504">
        <f>'Res Bill Impact (TOU-DR1)'!M43</f>
        <v>0.33279614212524944</v>
      </c>
      <c r="N43" s="119"/>
      <c r="P43" s="134" t="s">
        <v>391</v>
      </c>
      <c r="Q43" s="504">
        <f>'Res Bill Impact (TOU-DR1)'!Q43</f>
        <v>0.3337051230979271</v>
      </c>
      <c r="R43" s="504">
        <f>'Res Bill Impact (TOU-DR1)'!R43</f>
        <v>0.33495734363745799</v>
      </c>
      <c r="S43" s="134" t="s">
        <v>391</v>
      </c>
      <c r="T43" s="504">
        <f>'Res Bill Impact (TOU-DR1)'!T43</f>
        <v>0.3337051230979271</v>
      </c>
      <c r="U43" s="504">
        <f>'Res Bill Impact (TOU-DR1)'!U43</f>
        <v>0.33495734363745799</v>
      </c>
      <c r="V43" s="197"/>
    </row>
    <row r="44" spans="1:23">
      <c r="B44" s="134" t="s">
        <v>520</v>
      </c>
      <c r="C44" s="136">
        <f>'Res Bill Impact (TOU-DR1)'!C44</f>
        <v>0.27503</v>
      </c>
      <c r="D44" s="136">
        <f>'Res Bill Impact (TOU-DR1)'!D44</f>
        <v>0.27472000000000002</v>
      </c>
      <c r="E44" s="136">
        <f t="shared" si="9"/>
        <v>0.27472000000000002</v>
      </c>
      <c r="F44" s="242"/>
      <c r="H44" s="134" t="s">
        <v>520</v>
      </c>
      <c r="I44" s="504">
        <f>'Res Bill Impact (TOU-DR1)'!I44</f>
        <v>0.35297673878087071</v>
      </c>
      <c r="J44" s="504">
        <f>'Res Bill Impact (TOU-DR1)'!J44</f>
        <v>0.36374348517190846</v>
      </c>
      <c r="K44" s="134" t="s">
        <v>520</v>
      </c>
      <c r="L44" s="504">
        <f>'Res Bill Impact (TOU-DR1)'!L44</f>
        <v>0.35297673878087071</v>
      </c>
      <c r="M44" s="504">
        <f>'Res Bill Impact (TOU-DR1)'!M44</f>
        <v>0.36374348517190846</v>
      </c>
      <c r="N44" s="119"/>
      <c r="P44" s="134" t="s">
        <v>520</v>
      </c>
      <c r="Q44" s="504">
        <f>'Res Bill Impact (TOU-DR1)'!Q44</f>
        <v>0.3783361347347991</v>
      </c>
      <c r="R44" s="504">
        <f>'Res Bill Impact (TOU-DR1)'!R44</f>
        <v>0.38888648306627316</v>
      </c>
      <c r="S44" s="134" t="s">
        <v>520</v>
      </c>
      <c r="T44" s="504">
        <f>'Res Bill Impact (TOU-DR1)'!T44</f>
        <v>0.3783361347347991</v>
      </c>
      <c r="U44" s="504">
        <f>'Res Bill Impact (TOU-DR1)'!U44</f>
        <v>0.38888648306627316</v>
      </c>
      <c r="V44" s="197"/>
    </row>
    <row r="45" spans="1:23">
      <c r="B45" s="134" t="s">
        <v>521</v>
      </c>
      <c r="C45" s="136">
        <f>'Res Bill Impact (TOU-DR1)'!C45</f>
        <v>-6.9309999999999997E-2</v>
      </c>
      <c r="D45" s="136">
        <f>'Res Bill Impact (TOU-DR1)'!D45</f>
        <v>-6.9559999999999997E-2</v>
      </c>
      <c r="E45" s="136">
        <f t="shared" si="9"/>
        <v>-6.9559999999999997E-2</v>
      </c>
      <c r="F45" s="199"/>
      <c r="I45" s="505">
        <f>SUM(I42:I44)</f>
        <v>1</v>
      </c>
      <c r="J45" s="505">
        <f>SUM(J42:J44)</f>
        <v>1</v>
      </c>
      <c r="L45" s="505">
        <f>SUM(L42:L44)</f>
        <v>1</v>
      </c>
      <c r="M45" s="505">
        <f>SUM(M42:M44)</f>
        <v>1</v>
      </c>
      <c r="N45" s="119"/>
      <c r="Q45" s="505">
        <f>SUM(Q42:Q44)</f>
        <v>1</v>
      </c>
      <c r="R45" s="505">
        <f>SUM(R42:R44)</f>
        <v>1</v>
      </c>
      <c r="T45" s="505">
        <f>SUM(T42:T44)</f>
        <v>1</v>
      </c>
      <c r="U45" s="505">
        <f>SUM(U42:U44)</f>
        <v>1</v>
      </c>
      <c r="V45" s="197"/>
    </row>
    <row r="46" spans="1:23">
      <c r="B46" s="7"/>
      <c r="C46" s="198"/>
      <c r="D46" s="198"/>
      <c r="E46" s="199"/>
      <c r="F46" s="199"/>
    </row>
    <row r="47" spans="1:23" ht="18.75">
      <c r="A47" s="234"/>
      <c r="B47" s="885" t="s">
        <v>260</v>
      </c>
      <c r="C47" s="885"/>
      <c r="D47" s="885"/>
      <c r="E47" s="885"/>
      <c r="F47" s="885"/>
      <c r="G47" s="885"/>
      <c r="H47" s="885"/>
      <c r="I47" s="234"/>
      <c r="J47" s="234"/>
      <c r="N47" s="51"/>
    </row>
    <row r="48" spans="1:23">
      <c r="B48" s="7"/>
      <c r="C48" s="462" t="str">
        <f>'Res Bill Impact (TOU-DR1)'!C48</f>
        <v>2025 Recorded Average Basic Bundled Non-CARE Customer Bill</v>
      </c>
      <c r="D48" s="463"/>
      <c r="E48" s="463"/>
      <c r="F48" s="463"/>
      <c r="G48" s="463"/>
      <c r="H48" s="464"/>
      <c r="N48" s="462" t="str">
        <f>'Res Bill Impact (TOU-DR1)'!N48</f>
        <v xml:space="preserve">2025 Recorded Average All-Electric Bundled Non-CARE Customer </v>
      </c>
      <c r="O48" s="463"/>
      <c r="P48" s="463"/>
      <c r="Q48" s="463"/>
      <c r="R48" s="463"/>
      <c r="S48" s="464"/>
      <c r="T48" s="440"/>
      <c r="U48" s="440"/>
      <c r="V48" s="440"/>
      <c r="W48" s="440"/>
    </row>
    <row r="49" spans="2:29">
      <c r="B49" s="7"/>
      <c r="C49" s="881" t="str">
        <f>C36</f>
        <v>6/1/2026</v>
      </c>
      <c r="D49" s="881"/>
      <c r="E49" s="880" t="str">
        <f>D36</f>
        <v>8/1/2026</v>
      </c>
      <c r="F49" s="881"/>
      <c r="G49" s="881" t="str">
        <f>E36</f>
        <v>Proposed</v>
      </c>
      <c r="H49" s="881"/>
      <c r="I49" s="507"/>
      <c r="J49" s="507"/>
      <c r="K49" s="507"/>
      <c r="L49" s="508"/>
      <c r="M49" s="7"/>
      <c r="N49" s="249" t="str">
        <f>C49</f>
        <v>6/1/2026</v>
      </c>
      <c r="O49" s="249"/>
      <c r="P49" s="250" t="str">
        <f>E49</f>
        <v>8/1/2026</v>
      </c>
      <c r="Q49" s="249"/>
      <c r="R49" s="249" t="str">
        <f>G49</f>
        <v>Proposed</v>
      </c>
      <c r="S49" s="249"/>
      <c r="T49" s="440"/>
      <c r="U49" s="440"/>
      <c r="V49" s="440"/>
      <c r="W49" s="440"/>
    </row>
    <row r="50" spans="2:29">
      <c r="B50" s="7"/>
      <c r="C50" s="198" t="s">
        <v>192</v>
      </c>
      <c r="D50" s="198" t="s">
        <v>193</v>
      </c>
      <c r="E50" s="198" t="s">
        <v>192</v>
      </c>
      <c r="F50" s="198" t="s">
        <v>193</v>
      </c>
      <c r="G50" s="198" t="s">
        <v>192</v>
      </c>
      <c r="H50" s="198" t="s">
        <v>193</v>
      </c>
      <c r="I50" s="198"/>
      <c r="J50" s="198"/>
      <c r="K50" s="198"/>
      <c r="L50" s="198"/>
      <c r="M50" s="7"/>
      <c r="N50" s="198" t="s">
        <v>192</v>
      </c>
      <c r="O50" s="198" t="s">
        <v>193</v>
      </c>
      <c r="P50" s="198" t="s">
        <v>192</v>
      </c>
      <c r="Q50" s="198" t="s">
        <v>193</v>
      </c>
      <c r="R50" s="198" t="s">
        <v>192</v>
      </c>
      <c r="S50" s="198" t="s">
        <v>193</v>
      </c>
    </row>
    <row r="51" spans="2:29">
      <c r="B51" s="138" t="s">
        <v>125</v>
      </c>
      <c r="C51" s="159">
        <f>$F$18+(SUMPRODUCT($C$25:$C$27,$I$42:$I$44)*$Q26)+(MIN($I25,$Q26)*$C$28)+('Incremental Rev Req'!$F$87*$Q26)</f>
        <v>156.40494672813998</v>
      </c>
      <c r="D51" s="159">
        <f>$F$18+(SUMPRODUCT($C$30:$C$32,$J$42:$J$44)*$R26)+(MIN($J25,$R26)*$C$33)+('Incremental Rev Req'!$F$87*$R26)</f>
        <v>152.02218036146922</v>
      </c>
      <c r="E51" s="159">
        <f>$F$18+(SUMPRODUCT($D$25:$D$27,$L$42:$L$44)*$Q26)+(MIN($I25,$Q26)*$D$28)+('Incremental Rev Req'!$F$87*$Q26)</f>
        <v>156.7468941022791</v>
      </c>
      <c r="F51" s="159">
        <f>$F$18+(SUMPRODUCT($D$30:$D$32,$M$42:$M$44)*$R26)+(MIN($J25,$R26)*$D$33)+('Incremental Rev Req'!$F$87*$R26)</f>
        <v>152.49981736467964</v>
      </c>
      <c r="G51" s="159">
        <f>$F$18+(SUMPRODUCT($E$25:$E$27,$L$42:$L$44)*$Q26)+(MIN($I25,$Q26)*$E$28)+('Incremental Rev Req'!$F$87*$Q26)</f>
        <v>156.7468941022791</v>
      </c>
      <c r="H51" s="159">
        <f>$F$18+(SUMPRODUCT($E$30:$E$32,$M$42:$M$44)*$R26)+(MIN($J25,$R26)*$E$33)+('Incremental Rev Req'!$F$87*$R26)</f>
        <v>152.49981736467964</v>
      </c>
      <c r="I51" s="439"/>
      <c r="J51" s="439"/>
      <c r="K51" s="439"/>
      <c r="L51" s="439"/>
      <c r="M51" s="138" t="s">
        <v>125</v>
      </c>
      <c r="N51" s="159">
        <f>$F$18+(SUMPRODUCT($C$25:$C$27,$I$42:$I$44)*$Q34)+(MIN($L25,$Q34)*$C$28)+('Incremental Rev Req'!$F$87*$Q34)</f>
        <v>141.36664669537893</v>
      </c>
      <c r="O51" s="159">
        <f>$F$18+(SUMPRODUCT($C$30:$C$32,$J$42:$J$44)*$R34)+(MIN($M25,$R34)*$C$33)+('Incremental Rev Req'!$F$87*$R34)</f>
        <v>136.82114604176951</v>
      </c>
      <c r="P51" s="159">
        <f>$F$18+(SUMPRODUCT($D$25:$D$27,$L$42:$L$44)*$Q34)+(MIN($L25,$Q34)*$D$28)+('Incremental Rev Req'!$F$87*$Q34)</f>
        <v>141.67538430277656</v>
      </c>
      <c r="Q51" s="159">
        <f>$F$18+(SUMPRODUCT($D$30:$D$32,$M$42:$M$44)*$R34)+(MIN($M25,$R34)*$D$33)+('Incremental Rev Req'!$F$87*$R34)</f>
        <v>137.24215679924143</v>
      </c>
      <c r="R51" s="159">
        <f>$F$18+(SUMPRODUCT($E$25:$E$27,$L$42:$L$44)*$Q34)+(MIN($L25,$Q34)*$E$28)+('Incremental Rev Req'!$F$87*$Q34)</f>
        <v>141.67538430277656</v>
      </c>
      <c r="S51" s="159">
        <f>$F$18+(SUMPRODUCT($E$30:$E$32,$M$42:$M$44)*$R34)+(MIN($M25,$R34)*$E$33)+('Incremental Rev Req'!$F$87*$R34)</f>
        <v>137.24215679924143</v>
      </c>
      <c r="T51" s="439"/>
      <c r="U51" s="439"/>
      <c r="V51" s="439"/>
      <c r="W51" s="439"/>
    </row>
    <row r="52" spans="2:29">
      <c r="B52" s="141" t="s">
        <v>197</v>
      </c>
      <c r="C52" s="159">
        <f>$F$18+(SUMPRODUCT($C$25:$C$27,$I$42:$I$44)*$Q27)+(MIN($I26,$Q27)*$C$28)+('Incremental Rev Req'!$F$87*$Q27)</f>
        <v>170.89050057830318</v>
      </c>
      <c r="D52" s="159">
        <f>$F$18+(SUMPRODUCT($C$30:$C$32,$J$42:$J$44)*$R27)+(MIN($J26,$R27)*$C$33)+('Incremental Rev Req'!$F$87*$R27)</f>
        <v>156.85577901465734</v>
      </c>
      <c r="E52" s="159">
        <f>$F$18+(SUMPRODUCT($D$25:$D$27,$L$42:$L$44)*$Q27)+(MIN($I26,$Q27)*$D$28)+('Incremental Rev Req'!$F$87*$Q27)</f>
        <v>171.26980255762547</v>
      </c>
      <c r="F52" s="159">
        <f>$F$18+(SUMPRODUCT($D$30:$D$32,$M$42:$M$44)*$R27)+(MIN($J26,$R27)*$D$33)+('Incremental Rev Req'!$F$87*$R27)</f>
        <v>157.35142193374037</v>
      </c>
      <c r="G52" s="159">
        <f>$F$18+(SUMPRODUCT($E$25:$E$27,$L$42:$L$44)*$Q27)+(MIN($I26,$Q27)*$E$28)+('Incremental Rev Req'!$F$87*$Q27)</f>
        <v>171.26980255762547</v>
      </c>
      <c r="H52" s="159">
        <f>$F$18+(SUMPRODUCT($E$30:$E$32,$M$42:$M$44)*$R27)+(MIN($J26,$R27)*$E$33)+('Incremental Rev Req'!$F$87*$R27)</f>
        <v>157.35142193374037</v>
      </c>
      <c r="I52" s="439"/>
      <c r="J52" s="439"/>
      <c r="K52" s="439"/>
      <c r="L52" s="439"/>
      <c r="M52" s="141" t="s">
        <v>197</v>
      </c>
      <c r="N52" s="159">
        <f>$F$18+(SUMPRODUCT($C$25:$C$27,$I$42:$I$44)*$Q35)+(MIN($L26,$Q35)*$C$28)+('Incremental Rev Req'!$F$87*$Q35)</f>
        <v>179.92778331193276</v>
      </c>
      <c r="O52" s="159">
        <f>$F$18+(SUMPRODUCT($C$30:$C$32,$J$42:$J$44)*$R35)+(MIN($M26,$R35)*$C$33)+('Incremental Rev Req'!$F$87*$R35)</f>
        <v>213.35693127454391</v>
      </c>
      <c r="P52" s="159">
        <f>$F$18+(SUMPRODUCT($D$25:$D$27,$L$42:$L$44)*$Q35)+(MIN($L26,$Q35)*$D$28)+('Incremental Rev Req'!$F$87*$Q35)</f>
        <v>180.33039017361827</v>
      </c>
      <c r="Q52" s="159">
        <f>$F$18+(SUMPRODUCT($D$30:$D$32,$M$42:$M$44)*$R35)+(MIN($M26,$R35)*$D$33)+('Incremental Rev Req'!$F$87*$R35)</f>
        <v>214.06304988002344</v>
      </c>
      <c r="R52" s="159">
        <f>$F$18+(SUMPRODUCT($E$25:$E$27,$L$42:$L$44)*$Q35)+(MIN($L26,$Q35)*$E$28)+('Incremental Rev Req'!$F$87*$Q35)</f>
        <v>180.33039017361827</v>
      </c>
      <c r="S52" s="159">
        <f>$F$18+(SUMPRODUCT($E$30:$E$32,$M$42:$M$44)*$R35)+(MIN($M26,$R35)*$E$33)+('Incremental Rev Req'!$F$87*$R35)</f>
        <v>214.06304988002344</v>
      </c>
      <c r="T52" s="439"/>
      <c r="U52" s="439"/>
      <c r="V52" s="439"/>
      <c r="W52" s="439"/>
    </row>
    <row r="53" spans="2:29">
      <c r="B53" s="141" t="s">
        <v>198</v>
      </c>
      <c r="C53" s="159">
        <f>$F$18+(SUMPRODUCT($C$25:$C$27,$I$42:$I$44)*$Q28)+(MIN($I27,$Q28)*$C$28)+('Incremental Rev Req'!$F$87*$Q28)</f>
        <v>182.81874029816768</v>
      </c>
      <c r="D53" s="159">
        <f>$F$18+(SUMPRODUCT($C$30:$C$32,$J$42:$J$44)*$R28)+(MIN($J27,$R28)*$C$33)+('Incremental Rev Req'!$F$87*$R28)</f>
        <v>87.537191589424552</v>
      </c>
      <c r="E53" s="159">
        <f>$F$18+(SUMPRODUCT($D$25:$D$27,$L$42:$L$44)*$Q28)+(MIN($I27,$Q28)*$D$28)+('Incremental Rev Req'!$F$87*$Q28)</f>
        <v>183.22880221182697</v>
      </c>
      <c r="F53" s="159">
        <f>$F$18+(SUMPRODUCT($D$30:$D$32,$M$42:$M$44)*$R28)+(MIN($J27,$R28)*$D$33)+('Incremental Rev Req'!$F$87*$R28)</f>
        <v>87.774611858440963</v>
      </c>
      <c r="G53" s="159">
        <f>$F$18+(SUMPRODUCT($E$25:$E$27,$L$42:$L$44)*$Q28)+(MIN($I27,$Q28)*$E$28)+('Incremental Rev Req'!$F$87*$Q28)</f>
        <v>183.22880221182697</v>
      </c>
      <c r="H53" s="159">
        <f>$F$18+(SUMPRODUCT($E$30:$E$32,$M$42:$M$44)*$R28)+(MIN($J27,$R28)*$E$33)+('Incremental Rev Req'!$F$87*$R28)</f>
        <v>87.774611858440963</v>
      </c>
      <c r="I53" s="439"/>
      <c r="J53" s="439"/>
      <c r="K53" s="439"/>
      <c r="L53" s="439"/>
      <c r="M53" s="141" t="s">
        <v>198</v>
      </c>
      <c r="N53" s="159">
        <f>$F$18+(SUMPRODUCT($C$25:$C$27,$I$42:$I$44)*$Q36)+(MIN($L27,$Q36)*$C$28)+('Incremental Rev Req'!$F$87*$Q36)</f>
        <v>161.6575743002756</v>
      </c>
      <c r="O53" s="159">
        <f>$F$18+(SUMPRODUCT($C$30:$C$32,$J$42:$J$44)*$R36)+(MIN($M27,$R36)*$C$33)+('Incremental Rev Req'!$F$87*$R36)</f>
        <v>97.896621670017296</v>
      </c>
      <c r="P53" s="159">
        <f>$F$18+(SUMPRODUCT($D$25:$D$27,$L$42:$L$44)*$Q36)+(MIN($L27,$Q36)*$D$28)+('Incremental Rev Req'!$F$87*$Q36)</f>
        <v>162.01306688167162</v>
      </c>
      <c r="Q53" s="159">
        <f>$F$18+(SUMPRODUCT($D$30:$D$32,$M$42:$M$44)*$R36)+(MIN($M27,$R36)*$D$33)+('Incremental Rev Req'!$F$87*$R36)</f>
        <v>98.172632446831884</v>
      </c>
      <c r="R53" s="159">
        <f>$F$18+(SUMPRODUCT($E$25:$E$27,$L$42:$L$44)*$Q36)+(MIN($L27,$Q36)*$E$28)+('Incremental Rev Req'!$F$87*$Q36)</f>
        <v>162.01306688167162</v>
      </c>
      <c r="S53" s="159">
        <f>$F$18+(SUMPRODUCT($E$30:$E$32,$M$42:$M$44)*$R36)+(MIN($M27,$R36)*$E$33)+('Incremental Rev Req'!$F$87*$R36)</f>
        <v>98.172632446831884</v>
      </c>
      <c r="T53" s="439"/>
      <c r="U53" s="439"/>
      <c r="V53" s="439"/>
      <c r="W53" s="439"/>
      <c r="AC53" s="10"/>
    </row>
    <row r="54" spans="2:29">
      <c r="B54" s="144" t="s">
        <v>199</v>
      </c>
      <c r="C54" s="159">
        <f>$F$18+(SUMPRODUCT($C$25:$C$27,$I$42:$I$44)*$Q29)+(MIN($I28,$Q29)*$C$28)+('Incremental Rev Req'!$F$87*$Q29)</f>
        <v>152.73872767382142</v>
      </c>
      <c r="D54" s="159">
        <f>$F$18+(SUMPRODUCT($C$30:$C$32,$J$42:$J$44)*$R29)+(MIN($J28,$R29)*$C$33)+('Incremental Rev Req'!$F$87*$R29)</f>
        <v>137.05041963791609</v>
      </c>
      <c r="E54" s="159">
        <f>$F$18+(SUMPRODUCT($D$25:$D$27,$L$42:$L$44)*$Q29)+(MIN($I28,$Q29)*$D$28)+('Incremental Rev Req'!$F$87*$Q29)</f>
        <v>153.07122078982817</v>
      </c>
      <c r="F54" s="159">
        <f>$F$18+(SUMPRODUCT($D$30:$D$32,$M$42:$M$44)*$R29)+(MIN($J28,$R29)*$D$33)+('Incremental Rev Req'!$F$87*$R29)</f>
        <v>137.47228447562517</v>
      </c>
      <c r="G54" s="159">
        <f>$F$18+(SUMPRODUCT($E$25:$E$27,$L$42:$L$44)*$Q29)+(MIN($I28,$Q29)*$E$28)+('Incremental Rev Req'!$F$87*$Q29)</f>
        <v>153.07122078982817</v>
      </c>
      <c r="H54" s="159">
        <f>$F$18+(SUMPRODUCT($E$30:$E$32,$M$42:$M$44)*$R29)+(MIN($J28,$R29)*$E$33)+('Incremental Rev Req'!$F$87*$R29)</f>
        <v>137.47228447562517</v>
      </c>
      <c r="I54" s="439"/>
      <c r="J54" s="439"/>
      <c r="K54" s="439"/>
      <c r="L54" s="439"/>
      <c r="M54" s="144" t="s">
        <v>199</v>
      </c>
      <c r="N54" s="159">
        <f>$F$18+(SUMPRODUCT($C$25:$C$27,$I$42:$I$44)*$Q37)+(MIN($L28,$Q37)*$C$28)+('Incremental Rev Req'!$F$87*$Q37)</f>
        <v>155.07939666609855</v>
      </c>
      <c r="O54" s="159">
        <f>$F$18+(SUMPRODUCT($C$30:$C$32,$J$42:$J$44)*$R37)+(MIN($M28,$R37)*$C$33)+('Incremental Rev Req'!$F$87*$R37)</f>
        <v>159.68876226135694</v>
      </c>
      <c r="P54" s="159">
        <f>$F$18+(SUMPRODUCT($D$25:$D$27,$L$42:$L$44)*$Q37)+(MIN($L28,$Q37)*$D$28)+('Incremental Rev Req'!$F$87*$Q37)</f>
        <v>155.4179257795532</v>
      </c>
      <c r="Q54" s="159">
        <f>$F$18+(SUMPRODUCT($D$30:$D$32,$M$42:$M$44)*$R37)+(MIN($M28,$R37)*$D$33)+('Incremental Rev Req'!$F$87*$R37)</f>
        <v>160.19495848899297</v>
      </c>
      <c r="R54" s="159">
        <f>$F$18+(SUMPRODUCT($E$25:$E$27,$L$42:$L$44)*$Q37)+(MIN($L28,$Q37)*$E$28)+('Incremental Rev Req'!$F$87*$Q37)</f>
        <v>155.4179257795532</v>
      </c>
      <c r="S54" s="159">
        <f>$F$18+(SUMPRODUCT($E$30:$E$32,$M$42:$M$44)*$R37)+(MIN($M28,$R37)*$E$33)+('Incremental Rev Req'!$F$87*$R37)</f>
        <v>160.19495848899297</v>
      </c>
      <c r="T54" s="439"/>
      <c r="U54" s="439"/>
      <c r="V54" s="439"/>
      <c r="W54" s="439"/>
    </row>
    <row r="55" spans="2:29" s="10" customFormat="1">
      <c r="B55" s="6" t="s">
        <v>112</v>
      </c>
      <c r="C55" s="157">
        <f t="shared" ref="C55:H55" si="10">SUMPRODUCT(C51:C54,$U$26:$U$29)</f>
        <v>155.09977699263655</v>
      </c>
      <c r="D55" s="157">
        <f t="shared" si="10"/>
        <v>146.04052408719105</v>
      </c>
      <c r="E55" s="157">
        <f t="shared" si="10"/>
        <v>155.43835866183466</v>
      </c>
      <c r="F55" s="157">
        <f t="shared" si="10"/>
        <v>146.49587847916681</v>
      </c>
      <c r="G55" s="157">
        <f t="shared" si="10"/>
        <v>155.43835866183466</v>
      </c>
      <c r="H55" s="157">
        <f t="shared" si="10"/>
        <v>146.49587847916681</v>
      </c>
      <c r="I55" s="439"/>
      <c r="J55" s="439"/>
      <c r="K55" s="439"/>
      <c r="L55" s="439"/>
      <c r="M55" s="6" t="s">
        <v>112</v>
      </c>
      <c r="N55" s="157">
        <f>SUMPRODUCT(N51:N54,$U$34:$U$37)</f>
        <v>147.62197190577433</v>
      </c>
      <c r="O55" s="157">
        <f t="shared" ref="O55:S55" si="11">SUMPRODUCT(O51:O54,$U$34:$U$37)</f>
        <v>147.09735683045636</v>
      </c>
      <c r="P55" s="157">
        <f t="shared" si="11"/>
        <v>147.94452230488127</v>
      </c>
      <c r="Q55" s="157">
        <f t="shared" si="11"/>
        <v>147.55664809076399</v>
      </c>
      <c r="R55" s="157">
        <f t="shared" si="11"/>
        <v>147.94452230488127</v>
      </c>
      <c r="S55" s="157">
        <f t="shared" si="11"/>
        <v>147.55664809076399</v>
      </c>
      <c r="T55" s="439"/>
      <c r="U55" s="439"/>
      <c r="V55" s="439"/>
      <c r="W55" s="439"/>
      <c r="AC55" s="6"/>
    </row>
    <row r="56" spans="2:29">
      <c r="B56" s="7"/>
      <c r="C56" s="361"/>
      <c r="D56" s="361"/>
      <c r="E56" s="361"/>
      <c r="F56" s="361"/>
      <c r="G56" s="147"/>
      <c r="H56" s="147"/>
      <c r="M56" s="7"/>
      <c r="N56" s="198"/>
      <c r="O56" s="198"/>
      <c r="P56" s="199"/>
      <c r="Q56" s="146"/>
      <c r="R56" s="147"/>
      <c r="S56" s="147"/>
    </row>
    <row r="57" spans="2:29">
      <c r="B57" s="7"/>
      <c r="C57" s="198"/>
      <c r="D57" s="198"/>
      <c r="E57" s="199"/>
      <c r="F57" s="198"/>
      <c r="G57" s="147"/>
      <c r="H57" s="147"/>
      <c r="M57" s="7"/>
      <c r="N57" s="198"/>
      <c r="O57" s="198"/>
      <c r="P57" s="199"/>
      <c r="Q57" s="198"/>
      <c r="R57" s="147"/>
      <c r="S57" s="147"/>
    </row>
    <row r="58" spans="2:29">
      <c r="B58" s="7"/>
      <c r="C58" s="509" t="str">
        <f>'Res Bill Impact (TOU-DR1)'!C58</f>
        <v>2025 Recorded Average Basic Bundled CARE Customer Bill</v>
      </c>
      <c r="D58" s="357"/>
      <c r="E58" s="357"/>
      <c r="F58" s="357"/>
      <c r="G58" s="357"/>
      <c r="H58" s="456"/>
      <c r="M58" s="7"/>
      <c r="N58" s="462" t="str">
        <f>'Res Bill Impact (TOU-DR1)'!N58</f>
        <v xml:space="preserve">2025 Recorded Average All-Electric Bundled CARE Customer </v>
      </c>
      <c r="O58" s="463"/>
      <c r="P58" s="463"/>
      <c r="Q58" s="463"/>
      <c r="R58" s="463"/>
      <c r="S58" s="464"/>
    </row>
    <row r="59" spans="2:29">
      <c r="B59" s="7"/>
      <c r="C59" s="881" t="str">
        <f>C36</f>
        <v>6/1/2026</v>
      </c>
      <c r="D59" s="881"/>
      <c r="E59" s="880" t="str">
        <f>D36</f>
        <v>8/1/2026</v>
      </c>
      <c r="F59" s="881"/>
      <c r="G59" s="881" t="str">
        <f>E36</f>
        <v>Proposed</v>
      </c>
      <c r="H59" s="881"/>
      <c r="M59" s="7"/>
      <c r="N59" s="249" t="str">
        <f>N49</f>
        <v>6/1/2026</v>
      </c>
      <c r="O59" s="249"/>
      <c r="P59" s="250" t="str">
        <f>P49</f>
        <v>8/1/2026</v>
      </c>
      <c r="Q59" s="249"/>
      <c r="R59" s="249" t="str">
        <f>R49</f>
        <v>Proposed</v>
      </c>
      <c r="S59" s="249"/>
    </row>
    <row r="60" spans="2:29">
      <c r="B60" s="7"/>
      <c r="C60" s="198" t="s">
        <v>192</v>
      </c>
      <c r="D60" s="198" t="s">
        <v>193</v>
      </c>
      <c r="E60" s="198" t="s">
        <v>192</v>
      </c>
      <c r="F60" s="198" t="s">
        <v>193</v>
      </c>
      <c r="G60" s="198" t="s">
        <v>192</v>
      </c>
      <c r="H60" s="198" t="s">
        <v>193</v>
      </c>
      <c r="M60" s="7"/>
      <c r="N60" s="198" t="s">
        <v>192</v>
      </c>
      <c r="O60" s="198" t="s">
        <v>193</v>
      </c>
      <c r="P60" s="198" t="s">
        <v>192</v>
      </c>
      <c r="Q60" s="198" t="s">
        <v>193</v>
      </c>
      <c r="R60" s="198" t="s">
        <v>192</v>
      </c>
      <c r="S60" s="198" t="s">
        <v>193</v>
      </c>
    </row>
    <row r="61" spans="2:29">
      <c r="B61" s="138" t="s">
        <v>125</v>
      </c>
      <c r="C61" s="159">
        <f>$Q$18+(SUMPRODUCT($C$37:$C$39,$Q$42:$Q$44)*$S26)+(MIN($I25,$S26)*$C$40)+('Incremental Rev Req'!$F$87*$S26)</f>
        <v>86.143669237060564</v>
      </c>
      <c r="D61" s="159">
        <f>$Q$18+(SUMPRODUCT($C$42:$C$44,$R$42:$R$44)*$T26)+(MIN($J25,$T26)*$C$45)+('Incremental Rev Req'!$F$87*$T26)</f>
        <v>83.289661196130766</v>
      </c>
      <c r="E61" s="159">
        <f>$Q$18+(SUMPRODUCT($D$37:$D$39,$T$42:$T$44)*$S26)+(MIN($I25,$S26)*$D$40)+('Incremental Rev Req'!$F$87*$S26)</f>
        <v>86.315381489035957</v>
      </c>
      <c r="F61" s="159">
        <f>$Q$18+(SUMPRODUCT($D$42:$D$44,$U$42:$U$44)*$T26)+(MIN($J25,$T26)*$D$45)+('Incremental Rev Req'!$F$87*$T26)</f>
        <v>83.566755729745381</v>
      </c>
      <c r="G61" s="159">
        <f>$Q$18+(SUMPRODUCT($E$37:$E$39,$T$42:$T$44)*$S26)+(MIN($I25,$S26)*$E$40)+('Incremental Rev Req'!$F$87*$S26)</f>
        <v>86.315381489035957</v>
      </c>
      <c r="H61" s="159">
        <f>$Q$18+(SUMPRODUCT($E$42:$E$44,$U$42:$U$44)*$T26)+(MIN($J25,$T26)*$E$45)+('Incremental Rev Req'!$F$87*$T26)</f>
        <v>83.566755729745381</v>
      </c>
      <c r="I61" s="439"/>
      <c r="J61" s="439"/>
      <c r="K61" s="439"/>
      <c r="L61" s="439"/>
      <c r="M61" s="138" t="s">
        <v>125</v>
      </c>
      <c r="N61" s="159">
        <f>$Q$18+(SUMPRODUCT($C$37:$C$39,$Q$42:$Q$44)*$S34)+(MIN($L25,$S34)*$C$40)+('Incremental Rev Req'!$F$87*$S34)</f>
        <v>81.406990269371661</v>
      </c>
      <c r="O61" s="159">
        <f>$Q$18+(SUMPRODUCT($C$42:$C$44,$R$42:$R$44)*$T34)+(MIN($M25,$T34)*$C$45)+('Incremental Rev Req'!$F$87*$T34)</f>
        <v>79.237171719306701</v>
      </c>
      <c r="P61" s="159">
        <f>$Q$18+(SUMPRODUCT($D$37:$D$39,$T$42:$T$44)*$S34)+(MIN($L25,$S34)*$D$40)+('Incremental Rev Req'!$F$87*$S34)</f>
        <v>81.574491972829762</v>
      </c>
      <c r="Q61" s="159">
        <f>$Q$18+(SUMPRODUCT($D$42:$D$44,$U$42:$U$44)*$T34)+(MIN($M25,$T34)*$D$45)+('Incremental Rev Req'!$F$87*$T34)</f>
        <v>79.49975366313609</v>
      </c>
      <c r="R61" s="159">
        <f>$Q$18+(SUMPRODUCT($E$37:$E$39,$T$42:$T$44)*$S34)+(MIN($L25,$S34)*$E$40)+('Incremental Rev Req'!$F$87*$S34)</f>
        <v>81.574491972829762</v>
      </c>
      <c r="S61" s="159">
        <f>$Q$18+(SUMPRODUCT($E$42:$E$44,$U$42:$U$44)*$T34)+(MIN($M25,$T34)*$E$45)+('Incremental Rev Req'!$F$87*$T34)</f>
        <v>79.49975366313609</v>
      </c>
      <c r="T61" s="439"/>
      <c r="U61" s="439"/>
      <c r="V61" s="439"/>
      <c r="W61" s="439"/>
    </row>
    <row r="62" spans="2:29">
      <c r="B62" s="141" t="s">
        <v>197</v>
      </c>
      <c r="C62" s="159">
        <f>$Q$18+(SUMPRODUCT($C$37:$C$39,$Q$42:$Q$44)*$S27)+(MIN($I26,$S27)*$C$40)+('Incremental Rev Req'!$F$87*$S27)</f>
        <v>155.56359611083886</v>
      </c>
      <c r="D62" s="159">
        <f>$Q$18+(SUMPRODUCT($C$42:$C$44,$R$42:$R$44)*$T27)+(MIN($J26,$T27)*$C$45)+('Incremental Rev Req'!$F$87*$T27)</f>
        <v>145.99934681425452</v>
      </c>
      <c r="E62" s="159">
        <f>$Q$18+(SUMPRODUCT($D$37:$D$39,$T$42:$T$44)*$S27)+(MIN($I26,$S27)*$D$40)+('Incremental Rev Req'!$F$87*$S27)</f>
        <v>155.89055639195644</v>
      </c>
      <c r="F62" s="159">
        <f>$Q$18+(SUMPRODUCT($D$42:$D$44,$U$42:$U$44)*$T27)+(MIN($J26,$T27)*$D$45)+('Incremental Rev Req'!$F$87*$T27)</f>
        <v>146.50107245181454</v>
      </c>
      <c r="G62" s="159">
        <f>$Q$18+(SUMPRODUCT($E$37:$E$39,$T$42:$T$44)*$S27)+(MIN($I26,$S27)*$E$40)+('Incremental Rev Req'!$F$87*$S27)</f>
        <v>155.89055639195644</v>
      </c>
      <c r="H62" s="159">
        <f>$Q$18+(SUMPRODUCT($E$42:$E$44,$U$42:$U$44)*$T27)+(MIN($J26,$T27)*$E$45)+('Incremental Rev Req'!$F$87*$T27)</f>
        <v>146.50107245181454</v>
      </c>
      <c r="I62" s="439"/>
      <c r="J62" s="439"/>
      <c r="K62" s="439"/>
      <c r="L62" s="439"/>
      <c r="M62" s="141" t="s">
        <v>197</v>
      </c>
      <c r="N62" s="159">
        <f>$Q$18+(SUMPRODUCT($C$37:$C$39,$Q$42:$Q$44)*$S35)+(MIN($L26,$S35)*$C$40)+('Incremental Rev Req'!$F$87*$S35)</f>
        <v>157.08068014221934</v>
      </c>
      <c r="O62" s="159">
        <f>$Q$18+(SUMPRODUCT($C$42:$C$44,$R$42:$R$44)*$T35)+(MIN($M26,$T35)*$C$45)+('Incremental Rev Req'!$F$87*$T35)</f>
        <v>183.90849154284231</v>
      </c>
      <c r="P62" s="159">
        <f>$Q$18+(SUMPRODUCT($D$37:$D$39,$T$42:$T$44)*$S35)+(MIN($L26,$S35)*$D$40)+('Incremental Rev Req'!$F$87*$S35)</f>
        <v>157.40639428103532</v>
      </c>
      <c r="Q62" s="159">
        <f>$Q$18+(SUMPRODUCT($D$42:$D$44,$U$42:$U$44)*$T35)+(MIN($M26,$T35)*$D$45)+('Incremental Rev Req'!$F$87*$T35)</f>
        <v>184.54591762521028</v>
      </c>
      <c r="R62" s="159">
        <f>$Q$18+(SUMPRODUCT($E$37:$E$39,$T$42:$T$44)*$S35)+(MIN($L26,$S35)*$E$40)+('Incremental Rev Req'!$F$87*$S35)</f>
        <v>157.40639428103532</v>
      </c>
      <c r="S62" s="159">
        <f>$Q$18+(SUMPRODUCT($E$42:$E$44,$U$42:$U$44)*$T35)+(MIN($M26,$T35)*$E$45)+('Incremental Rev Req'!$F$87*$T35)</f>
        <v>184.54591762521028</v>
      </c>
      <c r="T62" s="439"/>
      <c r="U62" s="439"/>
      <c r="V62" s="439"/>
      <c r="W62" s="439"/>
    </row>
    <row r="63" spans="2:29">
      <c r="B63" s="141" t="s">
        <v>198</v>
      </c>
      <c r="C63" s="159">
        <f>$Q$18+(SUMPRODUCT($C$37:$C$39,$Q$42:$Q$44)*$S28)+(MIN($I27,$S28)*$C$40)+('Incremental Rev Req'!$F$87*$S28)</f>
        <v>166.77561324023168</v>
      </c>
      <c r="D63" s="159">
        <f>$Q$18+(SUMPRODUCT($C$42:$C$44,$R$42:$R$44)*$T28)+(MIN($J27,$T28)*$C$45)+('Incremental Rev Req'!$F$87*$T28)</f>
        <v>88.516195084699461</v>
      </c>
      <c r="E63" s="159">
        <f>$Q$18+(SUMPRODUCT($D$37:$D$39,$T$42:$T$44)*$S28)+(MIN($I27,$S28)*$D$40)+('Incremental Rev Req'!$F$87*$S28)</f>
        <v>167.12308978882422</v>
      </c>
      <c r="F63" s="159">
        <f>$Q$18+(SUMPRODUCT($D$42:$D$44,$U$42:$U$44)*$T28)+(MIN($J27,$T28)*$D$45)+('Incremental Rev Req'!$F$87*$T28)</f>
        <v>88.812006642197076</v>
      </c>
      <c r="G63" s="159">
        <f>$Q$18+(SUMPRODUCT($E$37:$E$39,$T$42:$T$44)*$S28)+(MIN($I27,$S28)*$E$40)+('Incremental Rev Req'!$F$87*$S28)</f>
        <v>167.12308978882422</v>
      </c>
      <c r="H63" s="159">
        <f>$Q$18+(SUMPRODUCT($E$42:$E$44,$U$42:$U$44)*$T28)+(MIN($J27,$T28)*$E$45)+('Incremental Rev Req'!$F$87*$T28)</f>
        <v>88.812006642197076</v>
      </c>
      <c r="I63" s="439"/>
      <c r="J63" s="439"/>
      <c r="K63" s="439"/>
      <c r="L63" s="439"/>
      <c r="M63" s="141" t="s">
        <v>198</v>
      </c>
      <c r="N63" s="159">
        <f>$Q$18+(SUMPRODUCT($C$37:$C$39,$Q$42:$Q$44)*$S36)+(MIN($L27,$S36)*$C$40)+('Incremental Rev Req'!$F$87*$S36)</f>
        <v>181.23590819647563</v>
      </c>
      <c r="O63" s="159">
        <f>$Q$18+(SUMPRODUCT($C$42:$C$44,$R$42:$R$44)*$T36)+(MIN($M27,$T36)*$C$45)+('Incremental Rev Req'!$F$87*$T36)</f>
        <v>107.50648936317005</v>
      </c>
      <c r="P63" s="159">
        <f>$Q$18+(SUMPRODUCT($D$37:$D$39,$T$42:$T$44)*$S36)+(MIN($L27,$S36)*$D$40)+('Incremental Rev Req'!$F$87*$S36)</f>
        <v>181.61570724817852</v>
      </c>
      <c r="Q63" s="159">
        <f>$Q$18+(SUMPRODUCT($D$42:$D$44,$U$42:$U$44)*$T36)+(MIN($M27,$T36)*$D$45)+('Incremental Rev Req'!$F$87*$T36)</f>
        <v>107.87030809313295</v>
      </c>
      <c r="R63" s="159">
        <f>$Q$18+(SUMPRODUCT($E$37:$E$39,$T$42:$T$44)*$S36)+(MIN($L27,$S36)*$E$40)+('Incremental Rev Req'!$F$87*$S36)</f>
        <v>181.61570724817852</v>
      </c>
      <c r="S63" s="159">
        <f>$Q$18+(SUMPRODUCT($E$42:$E$44,$U$42:$U$44)*$T36)+(MIN($M27,$T36)*$E$45)+('Incremental Rev Req'!$F$87*$T36)</f>
        <v>107.87030809313295</v>
      </c>
      <c r="T63" s="439"/>
      <c r="U63" s="439"/>
      <c r="V63" s="439"/>
      <c r="W63" s="439"/>
    </row>
    <row r="64" spans="2:29">
      <c r="B64" s="144" t="s">
        <v>199</v>
      </c>
      <c r="C64" s="159">
        <f>$Q$18+(SUMPRODUCT($C$37:$C$39,$Q$42:$Q$44)*$S29)+(MIN($I28,$S29)*$C$40)+('Incremental Rev Req'!$F$87*$S29)</f>
        <v>111.44357594638005</v>
      </c>
      <c r="D64" s="159">
        <f>$Q$18+(SUMPRODUCT($C$42:$C$44,$R$42:$R$44)*$T29)+(MIN($J28,$T29)*$C$45)+('Incremental Rev Req'!$F$87*$T29)</f>
        <v>93.95907375612336</v>
      </c>
      <c r="E64" s="159">
        <f>$Q$18+(SUMPRODUCT($D$37:$D$39,$T$42:$T$44)*$S29)+(MIN($I28,$S29)*$D$40)+('Incremental Rev Req'!$F$87*$S29)</f>
        <v>111.67158837150404</v>
      </c>
      <c r="F64" s="159">
        <f>$Q$18+(SUMPRODUCT($D$42:$D$44,$U$42:$U$44)*$T29)+(MIN($J28,$T29)*$D$45)+('Incremental Rev Req'!$F$87*$T29)</f>
        <v>94.274377101535762</v>
      </c>
      <c r="G64" s="159">
        <f>$Q$18+(SUMPRODUCT($E$37:$E$39,$T$42:$T$44)*$S29)+(MIN($I28,$S29)*$E$40)+('Incremental Rev Req'!$F$87*$S29)</f>
        <v>111.67158837150404</v>
      </c>
      <c r="H64" s="159">
        <f>$Q$18+(SUMPRODUCT($E$42:$E$44,$U$42:$U$44)*$T29)+(MIN($J28,$T29)*$E$45)+('Incremental Rev Req'!$F$87*$T29)</f>
        <v>94.274377101535762</v>
      </c>
      <c r="I64" s="439"/>
      <c r="J64" s="439"/>
      <c r="K64" s="439"/>
      <c r="L64" s="439"/>
      <c r="M64" s="144" t="s">
        <v>199</v>
      </c>
      <c r="N64" s="159">
        <f>$Q$18+(SUMPRODUCT($C$37:$C$39,$Q$42:$Q$44)*$S37)+(MIN($L28,$S37)*$C$40)+('Incremental Rev Req'!$F$87*$S37)</f>
        <v>104.39387292029635</v>
      </c>
      <c r="O64" s="159">
        <f>$Q$18+(SUMPRODUCT($C$42:$C$44,$R$42:$R$44)*$T37)+(MIN($M28,$T37)*$C$45)+('Incremental Rev Req'!$F$87*$T37)</f>
        <v>95.043991166965654</v>
      </c>
      <c r="P64" s="159">
        <f>$Q$18+(SUMPRODUCT($D$37:$D$39,$T$42:$T$44)*$S37)+(MIN($L28,$S37)*$D$40)+('Incremental Rev Req'!$F$87*$S37)</f>
        <v>104.60965116152892</v>
      </c>
      <c r="Q64" s="159">
        <f>$Q$18+(SUMPRODUCT($D$42:$D$44,$U$42:$U$44)*$T37)+(MIN($M28,$T37)*$D$45)+('Incremental Rev Req'!$F$87*$T37)</f>
        <v>95.363179768940569</v>
      </c>
      <c r="R64" s="159">
        <f>$Q$18+(SUMPRODUCT($E$37:$E$39,$T$42:$T$44)*$S37)+(MIN($L28,$S37)*$E$40)+('Incremental Rev Req'!$F$87*$S37)</f>
        <v>104.60965116152892</v>
      </c>
      <c r="S64" s="159">
        <f>$Q$18+(SUMPRODUCT($E$42:$E$44,$U$42:$U$44)*$T37)+(MIN($M28,$T37)*$E$45)+('Incremental Rev Req'!$F$87*$T37)</f>
        <v>95.363179768940569</v>
      </c>
      <c r="T64" s="439"/>
      <c r="U64" s="439"/>
      <c r="V64" s="439"/>
      <c r="W64" s="439"/>
    </row>
    <row r="65" spans="2:29">
      <c r="B65" s="6" t="s">
        <v>112</v>
      </c>
      <c r="C65" s="157">
        <f t="shared" ref="C65:H65" si="12">SUMPRODUCT(C61:C64,$V$26:$V$29)</f>
        <v>99.218644578981781</v>
      </c>
      <c r="D65" s="157">
        <f t="shared" si="12"/>
        <v>89.025031796031385</v>
      </c>
      <c r="E65" s="157">
        <f t="shared" si="12"/>
        <v>99.419453184861766</v>
      </c>
      <c r="F65" s="157">
        <f t="shared" si="12"/>
        <v>89.322666037463932</v>
      </c>
      <c r="G65" s="157">
        <f t="shared" si="12"/>
        <v>99.419453184861766</v>
      </c>
      <c r="H65" s="157">
        <f t="shared" si="12"/>
        <v>89.322666037463932</v>
      </c>
      <c r="I65" s="439"/>
      <c r="J65" s="439"/>
      <c r="K65" s="439"/>
      <c r="L65" s="439"/>
      <c r="M65" s="6" t="s">
        <v>112</v>
      </c>
      <c r="N65" s="157">
        <f>SUMPRODUCT(N61:N64,$V$34:$V$37)</f>
        <v>95.134995981151519</v>
      </c>
      <c r="O65" s="157">
        <f t="shared" ref="O65:S65" si="13">SUMPRODUCT(O61:O64,$V$34:$V$37)</f>
        <v>89.28193217673342</v>
      </c>
      <c r="P65" s="157">
        <f t="shared" si="13"/>
        <v>95.33132846224629</v>
      </c>
      <c r="Q65" s="157">
        <f t="shared" si="13"/>
        <v>89.580485956848406</v>
      </c>
      <c r="R65" s="157">
        <f t="shared" si="13"/>
        <v>95.33132846224629</v>
      </c>
      <c r="S65" s="157">
        <f t="shared" si="13"/>
        <v>89.580485956848406</v>
      </c>
      <c r="T65" s="439"/>
      <c r="U65" s="439"/>
      <c r="V65" s="439"/>
      <c r="W65" s="439"/>
    </row>
    <row r="66" spans="2:29">
      <c r="B66" s="7"/>
      <c r="C66" s="361"/>
      <c r="D66" s="361"/>
      <c r="E66" s="361"/>
      <c r="F66" s="361"/>
      <c r="G66" s="147"/>
      <c r="H66" s="147"/>
      <c r="M66" s="7"/>
      <c r="N66" s="198"/>
      <c r="O66" s="198"/>
      <c r="P66" s="199"/>
      <c r="Q66" s="198"/>
      <c r="R66" s="147"/>
      <c r="S66" s="147"/>
    </row>
    <row r="67" spans="2:29">
      <c r="B67" s="7"/>
      <c r="C67" s="198"/>
      <c r="D67" s="198"/>
      <c r="E67" s="199"/>
      <c r="G67" s="147"/>
      <c r="H67" s="147"/>
      <c r="M67" s="7"/>
      <c r="N67" s="198"/>
      <c r="O67" s="198"/>
      <c r="P67" s="199"/>
      <c r="R67" s="147"/>
      <c r="S67" s="147"/>
    </row>
    <row r="68" spans="2:29">
      <c r="B68" s="7"/>
      <c r="C68" s="865" t="s">
        <v>268</v>
      </c>
      <c r="D68" s="865"/>
      <c r="E68" s="865"/>
      <c r="F68" s="865"/>
      <c r="G68" s="865"/>
      <c r="H68" s="865"/>
      <c r="M68" s="7"/>
      <c r="N68" s="865" t="s">
        <v>273</v>
      </c>
      <c r="O68" s="865"/>
      <c r="P68" s="865"/>
      <c r="Q68" s="865"/>
      <c r="R68" s="865"/>
      <c r="S68" s="865"/>
    </row>
    <row r="69" spans="2:29">
      <c r="B69" s="7"/>
      <c r="C69" s="881" t="str">
        <f>C59</f>
        <v>6/1/2026</v>
      </c>
      <c r="D69" s="881"/>
      <c r="E69" s="880" t="str">
        <f>D36</f>
        <v>8/1/2026</v>
      </c>
      <c r="F69" s="881"/>
      <c r="G69" s="881" t="str">
        <f>G59</f>
        <v>Proposed</v>
      </c>
      <c r="H69" s="881"/>
      <c r="M69" s="7"/>
      <c r="N69" s="249" t="str">
        <f>N59</f>
        <v>6/1/2026</v>
      </c>
      <c r="O69" s="249"/>
      <c r="P69" s="250" t="str">
        <f>P59</f>
        <v>8/1/2026</v>
      </c>
      <c r="Q69" s="249"/>
      <c r="R69" s="249" t="str">
        <f>R59</f>
        <v>Proposed</v>
      </c>
      <c r="S69" s="249"/>
    </row>
    <row r="70" spans="2:29" ht="15" customHeight="1">
      <c r="B70" s="7"/>
      <c r="C70" s="198" t="s">
        <v>192</v>
      </c>
      <c r="D70" s="198" t="s">
        <v>193</v>
      </c>
      <c r="E70" s="198" t="s">
        <v>192</v>
      </c>
      <c r="F70" s="198" t="s">
        <v>193</v>
      </c>
      <c r="G70" s="198" t="s">
        <v>192</v>
      </c>
      <c r="H70" s="198" t="s">
        <v>193</v>
      </c>
      <c r="M70" s="7"/>
      <c r="N70" s="198" t="s">
        <v>192</v>
      </c>
      <c r="O70" s="198" t="s">
        <v>193</v>
      </c>
      <c r="P70" s="198" t="s">
        <v>192</v>
      </c>
      <c r="Q70" s="198" t="s">
        <v>193</v>
      </c>
      <c r="R70" s="198" t="s">
        <v>192</v>
      </c>
      <c r="S70" s="198" t="s">
        <v>193</v>
      </c>
    </row>
    <row r="71" spans="2:29" ht="15" customHeight="1">
      <c r="B71" s="138" t="s">
        <v>125</v>
      </c>
      <c r="C71" s="159">
        <f>$F$18+(SUMPRODUCT($C$25:$C$27,$I$42:$I$44)*$I33)+(MIN($I25,$I33)*$C$28)+('Incremental Rev Req'!$F$87*$I33)</f>
        <v>130.87902361619899</v>
      </c>
      <c r="D71" s="159">
        <f>$F$18+(SUMPRODUCT($C$30:$C$32,$J$42:$J$44)*$J33)+(MIN($J25,$J33)*$C$33)+('Incremental Rev Req'!$F$87*$J33)</f>
        <v>138.22763918165973</v>
      </c>
      <c r="E71" s="159">
        <f>$F$18+(SUMPRODUCT($D$25:$D$27,$L$42:$L$44)*$I33)+(MIN($I25,$I33)*$D$28)+('Incremental Rev Req'!$F$87*$I33)</f>
        <v>131.15514604573147</v>
      </c>
      <c r="F71" s="159">
        <f>$F$18+(SUMPRODUCT($D$30:$D$32,$M$42:$M$44)*$J33)+(MIN($J25,$J33)*$D$33)+('Incremental Rev Req'!$F$87*$J33)</f>
        <v>138.65388934748336</v>
      </c>
      <c r="G71" s="159">
        <f>$F$18+(SUMPRODUCT($E$25:$E$27,$L$42:$L$44)*$I33)+(MIN($I25,$I33)*$E$28)+('Incremental Rev Req'!$F$87*$I33)</f>
        <v>131.15514604573147</v>
      </c>
      <c r="H71" s="159">
        <f>$F$18+(SUMPRODUCT($E$30:$E$32,$M$42:$M$44)*$J33)+(MIN($J25,$J33)*$E$33)+('Incremental Rev Req'!$F$87*$J33)</f>
        <v>138.65388934748336</v>
      </c>
      <c r="I71" s="439"/>
      <c r="J71" s="439"/>
      <c r="K71" s="439"/>
      <c r="L71" s="439"/>
      <c r="M71" s="138" t="s">
        <v>125</v>
      </c>
      <c r="N71" s="159">
        <f>$F$18+(SUMPRODUCT($C$25:$C$27,$I$42:$I$44)*$L33)+(MIN($L25,$L33)*$C$28)+('Incremental Rev Req'!$F$87*$L33)</f>
        <v>95.583560646414881</v>
      </c>
      <c r="O71" s="159">
        <f>$F$18+(SUMPRODUCT($C$30:$C$32,$J$42:$J$44)*$M33)+(MIN($M25,$M33)*$C$33)+('Incremental Rev Req'!$F$87*$M33)</f>
        <v>133.25265052158755</v>
      </c>
      <c r="P71" s="159">
        <f>$F$18+(SUMPRODUCT($D$25:$D$27,$L$42:$L$44)*$L33)+(MIN($L25,$L33)*$D$28)+('Incremental Rev Req'!$F$87*$L33)</f>
        <v>95.768664941768122</v>
      </c>
      <c r="Q71" s="159">
        <f>$F$18+(SUMPRODUCT($D$30:$D$32,$M$42:$M$44)*$M33)+(MIN($M25,$M33)*$D$33)+('Incremental Rev Req'!$F$87*$M33)</f>
        <v>133.66036807150581</v>
      </c>
      <c r="R71" s="159">
        <f>$F$18+(SUMPRODUCT($E$25:$E$27,$L$42:$L$44)*$L33)+(MIN($L25,$L33)*$E$28)+('Incremental Rev Req'!$F$87*$L33)</f>
        <v>95.768664941768122</v>
      </c>
      <c r="S71" s="159">
        <f>$F$18+(SUMPRODUCT($E$30:$E$32,$M$42:$M$44)*$M33)+(MIN($M25,$M33)*$E$33)+('Incremental Rev Req'!$F$87*$M33)</f>
        <v>133.66036807150581</v>
      </c>
      <c r="T71" s="439"/>
      <c r="U71" s="439"/>
      <c r="V71" s="439"/>
      <c r="W71" s="439"/>
      <c r="AC71" s="10"/>
    </row>
    <row r="72" spans="2:29">
      <c r="B72" s="141" t="s">
        <v>197</v>
      </c>
      <c r="C72" s="159">
        <f>$F$18+(SUMPRODUCT($C$25:$C$27,$I$42:$I$44)*$I34)+(MIN($I26,$I34)*$C$28)+('Incremental Rev Req'!$F$87*$I34)</f>
        <v>185.60682013114513</v>
      </c>
      <c r="D72" s="159">
        <f>$F$18+(SUMPRODUCT($C$30:$C$32,$J$42:$J$44)*$J34)+(MIN($J26,$J34)*$C$33)+('Incremental Rev Req'!$F$87*$J34)</f>
        <v>184.24628428732723</v>
      </c>
      <c r="E72" s="159">
        <f>$F$18+(SUMPRODUCT($D$25:$D$27,$L$42:$L$44)*$I34)+(MIN($I26,$I34)*$D$28)+('Incremental Rev Req'!$F$87*$I34)</f>
        <v>186.02407180243864</v>
      </c>
      <c r="F72" s="159">
        <f>$F$18+(SUMPRODUCT($D$30:$D$32,$M$42:$M$44)*$J34)+(MIN($J26,$J34)*$D$33)+('Incremental Rev Req'!$F$87*$J34)</f>
        <v>184.84396115027556</v>
      </c>
      <c r="G72" s="159">
        <f>$F$18+(SUMPRODUCT($E$25:$E$27,$L$42:$L$44)*$I34)+(MIN($I26,$I34)*$E$28)+('Incremental Rev Req'!$F$87*$I34)</f>
        <v>186.02407180243864</v>
      </c>
      <c r="H72" s="159">
        <f>$F$18+(SUMPRODUCT($E$30:$E$32,$M$42:$M$44)*$J34)+(MIN($J26,$J34)*$E$33)+('Incremental Rev Req'!$F$87*$J34)</f>
        <v>184.84396115027556</v>
      </c>
      <c r="I72" s="439"/>
      <c r="J72" s="439"/>
      <c r="K72" s="439"/>
      <c r="L72" s="439"/>
      <c r="M72" s="141" t="s">
        <v>197</v>
      </c>
      <c r="N72" s="159">
        <f>$F$18+(SUMPRODUCT($C$25:$C$27,$I$42:$I$44)*$L34)+(MIN($L26,$L34)*$C$28)+('Incremental Rev Req'!$F$87*$L34)</f>
        <v>204.64257544069162</v>
      </c>
      <c r="O72" s="159">
        <f>$F$18+(SUMPRODUCT($C$30:$C$32,$J$42:$J$44)*$M34)+(MIN($M26,$M34)*$C$33)+('Incremental Rev Req'!$F$87*$M34)</f>
        <v>299.0856058573263</v>
      </c>
      <c r="P72" s="159">
        <f>$F$18+(SUMPRODUCT($D$25:$D$27,$L$42:$L$44)*$L34)+(MIN($L26,$L34)*$D$28)+('Incremental Rev Req'!$F$87*$L34)</f>
        <v>205.10891554390201</v>
      </c>
      <c r="Q72" s="159">
        <f>$F$18+(SUMPRODUCT($D$30:$D$32,$M$42:$M$44)*$M34)+(MIN($M26,$M34)*$D$33)+('Incremental Rev Req'!$F$87*$M34)</f>
        <v>300.11107727075705</v>
      </c>
      <c r="R72" s="159">
        <f>$F$18+(SUMPRODUCT($E$25:$E$27,$L$42:$L$44)*$L34)+(MIN($L26,$L34)*$E$28)+('Incremental Rev Req'!$F$87*$L34)</f>
        <v>205.10891554390201</v>
      </c>
      <c r="S72" s="159">
        <f>$F$18+(SUMPRODUCT($E$30:$E$32,$M$42:$M$44)*$M34)+(MIN($M26,$M34)*$E$33)+('Incremental Rev Req'!$F$87*$M34)</f>
        <v>300.11107727075705</v>
      </c>
      <c r="T72" s="439"/>
      <c r="U72" s="439"/>
      <c r="V72" s="439"/>
      <c r="W72" s="439"/>
    </row>
    <row r="73" spans="2:29" s="10" customFormat="1" ht="15" customHeight="1">
      <c r="B73" s="141" t="s">
        <v>198</v>
      </c>
      <c r="C73" s="159">
        <f>$F$18+(SUMPRODUCT($C$25:$C$27,$I$42:$I$44)*$I35)+(MIN($I27,$I35)*$C$28)+('Incremental Rev Req'!$F$87*$I35)</f>
        <v>212.97071838861822</v>
      </c>
      <c r="D73" s="159">
        <f>$F$18+(SUMPRODUCT($C$30:$C$32,$J$42:$J$44)*$J35)+(MIN($J27,$J35)*$C$33)+('Incremental Rev Req'!$F$87*$J35)</f>
        <v>159.3713409869664</v>
      </c>
      <c r="E73" s="159">
        <f>$F$18+(SUMPRODUCT($D$25:$D$27,$L$42:$L$44)*$I35)+(MIN($I27,$I35)*$D$28)+('Incremental Rev Req'!$F$87*$I35)</f>
        <v>213.45853468079227</v>
      </c>
      <c r="F73" s="159">
        <f>$F$18+(SUMPRODUCT($D$30:$D$32,$M$42:$M$44)*$J35)+(MIN($J27,$J35)*$D$33)+('Incremental Rev Req'!$F$87*$J35)</f>
        <v>159.87635477038785</v>
      </c>
      <c r="G73" s="159">
        <f>$F$18+(SUMPRODUCT($E$25:$E$27,$L$42:$L$44)*$I35)+(MIN($I27,$I35)*$E$28)+('Incremental Rev Req'!$F$87*$I35)</f>
        <v>213.45853468079227</v>
      </c>
      <c r="H73" s="159">
        <f>$F$18+(SUMPRODUCT($E$30:$E$32,$M$42:$M$44)*$J35)+(MIN($J27,$J35)*$E$33)+('Incremental Rev Req'!$F$87*$J35)</f>
        <v>159.87635477038785</v>
      </c>
      <c r="I73" s="439"/>
      <c r="J73" s="439"/>
      <c r="K73" s="439"/>
      <c r="L73" s="439"/>
      <c r="M73" s="141" t="s">
        <v>198</v>
      </c>
      <c r="N73" s="159">
        <f>$F$18+(SUMPRODUCT($C$25:$C$27,$I$42:$I$44)*$L35)+(MIN($L27,$L35)*$C$28)+('Incremental Rev Req'!$F$87*$L35)</f>
        <v>225.66122192831588</v>
      </c>
      <c r="O73" s="159">
        <f>$F$18+(SUMPRODUCT($C$30:$C$32,$J$42:$J$44)*$M35)+(MIN($M27,$M35)*$C$33)+('Incremental Rev Req'!$F$87*$M35)</f>
        <v>236.48366521808495</v>
      </c>
      <c r="P73" s="159">
        <f>$F$18+(SUMPRODUCT($D$25:$D$27,$L$42:$L$44)*$L35)+(MIN($L27,$L35)*$D$28)+('Incremental Rev Req'!$F$87*$L35)</f>
        <v>226.18176384176783</v>
      </c>
      <c r="Q73" s="159">
        <f>$F$18+(SUMPRODUCT($D$30:$D$32,$M$42:$M$44)*$M35)+(MIN($M27,$M35)*$D$33)+('Incremental Rev Req'!$F$87*$M35)</f>
        <v>237.27593454803974</v>
      </c>
      <c r="R73" s="159">
        <f>$F$18+(SUMPRODUCT($E$25:$E$27,$L$42:$L$44)*$L35)+(MIN($L27,$L35)*$E$28)+('Incremental Rev Req'!$F$87*$L35)</f>
        <v>226.18176384176783</v>
      </c>
      <c r="S73" s="159">
        <f>$F$18+(SUMPRODUCT($E$30:$E$32,$M$42:$M$44)*$M35)+(MIN($M27,$M35)*$E$33)+('Incremental Rev Req'!$F$87*$M35)</f>
        <v>237.27593454803974</v>
      </c>
      <c r="T73" s="439"/>
      <c r="U73" s="439"/>
      <c r="V73" s="439"/>
      <c r="W73" s="439"/>
      <c r="AC73" s="6"/>
    </row>
    <row r="74" spans="2:29">
      <c r="B74" s="144" t="s">
        <v>199</v>
      </c>
      <c r="C74" s="159">
        <f>$F$18+(SUMPRODUCT($C$25:$C$27,$I$42:$I$44)*$I36)+(MIN($I28,$I36)*$C$28)+('Incremental Rev Req'!$F$87*$I36)</f>
        <v>147.53530951205218</v>
      </c>
      <c r="D74" s="159">
        <f>$F$18+(SUMPRODUCT($C$30:$C$32,$J$42:$J$44)*$J36)+(MIN($J28,$J36)*$C$33)+('Incremental Rev Req'!$F$87*$J36)</f>
        <v>143.2026278417319</v>
      </c>
      <c r="E74" s="159">
        <f>$F$18+(SUMPRODUCT($D$25:$D$27,$L$42:$L$44)*$I36)+(MIN($I28,$I36)*$D$28)+('Incremental Rev Req'!$F$87*$I36)</f>
        <v>147.85438431951192</v>
      </c>
      <c r="F74" s="159">
        <f>$F$18+(SUMPRODUCT($D$30:$D$32,$M$42:$M$44)*$J36)+(MIN($J28,$J36)*$D$33)+('Incremental Rev Req'!$F$87*$J36)</f>
        <v>143.64741062346087</v>
      </c>
      <c r="G74" s="159">
        <f>$F$18+(SUMPRODUCT($E$25:$E$27,$L$42:$L$44)*$I36)+(MIN($I28,$I36)*$E$28)+('Incremental Rev Req'!$F$87*$I36)</f>
        <v>147.85438431951192</v>
      </c>
      <c r="H74" s="159">
        <f>$F$18+(SUMPRODUCT($E$30:$E$32,$M$42:$M$44)*$J36)+(MIN($J28,$J36)*$E$33)+('Incremental Rev Req'!$F$87*$J36)</f>
        <v>143.64741062346087</v>
      </c>
      <c r="I74" s="439"/>
      <c r="J74" s="439"/>
      <c r="K74" s="439"/>
      <c r="L74" s="439"/>
      <c r="M74" s="144" t="s">
        <v>199</v>
      </c>
      <c r="N74" s="159">
        <f>$F$18+(SUMPRODUCT($C$25:$C$27,$I$42:$I$44)*$L36)+(MIN($L28,$L36)*$C$28)+('Incremental Rev Req'!$F$87*$L36)</f>
        <v>127.70639773127456</v>
      </c>
      <c r="O74" s="159">
        <f>$F$18+(SUMPRODUCT($C$30:$C$32,$J$42:$J$44)*$M36)+(MIN($M28,$M36)*$C$33)+('Incremental Rev Req'!$F$87*$M36)</f>
        <v>175.1254717438616</v>
      </c>
      <c r="P74" s="159">
        <f>$F$18+(SUMPRODUCT($D$25:$D$27,$L$42:$L$44)*$L36)+(MIN($L28,$L36)*$D$28)+('Incremental Rev Req'!$F$87*$L36)</f>
        <v>127.97433875548757</v>
      </c>
      <c r="Q74" s="159">
        <f>$F$18+(SUMPRODUCT($D$30:$D$32,$M$42:$M$44)*$M36)+(MIN($M28,$M36)*$D$33)+('Incremental Rev Req'!$F$87*$M36)</f>
        <v>175.68917214431676</v>
      </c>
      <c r="R74" s="159">
        <f>$F$18+(SUMPRODUCT($E$25:$E$27,$L$42:$L$44)*$L36)+(MIN($L28,$L36)*$E$28)+('Incremental Rev Req'!$F$87*$L36)</f>
        <v>127.97433875548757</v>
      </c>
      <c r="S74" s="159">
        <f>$F$18+(SUMPRODUCT($E$30:$E$32,$M$42:$M$44)*$M36)+(MIN($M28,$M36)*$E$33)+('Incremental Rev Req'!$F$87*$M36)</f>
        <v>175.68917214431676</v>
      </c>
      <c r="T74" s="439"/>
      <c r="U74" s="439"/>
      <c r="V74" s="439"/>
      <c r="W74" s="439"/>
    </row>
    <row r="75" spans="2:29">
      <c r="B75" s="6" t="s">
        <v>112</v>
      </c>
      <c r="C75" s="157">
        <f t="shared" ref="C75:H75" si="14">SUMPRODUCT(C71:C74,$U$26:$U$29)</f>
        <v>138.0522170931572</v>
      </c>
      <c r="D75" s="157">
        <f t="shared" si="14"/>
        <v>140.61661275235019</v>
      </c>
      <c r="E75" s="157">
        <f t="shared" si="14"/>
        <v>138.34683738704516</v>
      </c>
      <c r="F75" s="157">
        <f t="shared" si="14"/>
        <v>141.05176222078913</v>
      </c>
      <c r="G75" s="157">
        <f t="shared" si="14"/>
        <v>138.34683738704516</v>
      </c>
      <c r="H75" s="157">
        <f t="shared" si="14"/>
        <v>141.05176222078913</v>
      </c>
      <c r="I75" s="439"/>
      <c r="J75" s="439"/>
      <c r="K75" s="439"/>
      <c r="L75" s="439"/>
      <c r="M75" s="6" t="s">
        <v>112</v>
      </c>
      <c r="N75" s="157">
        <f>SUMPRODUCT(N71:N74,$U$34:$U$37)</f>
        <v>111.08463158247159</v>
      </c>
      <c r="O75" s="157">
        <f t="shared" ref="O75:S75" si="15">SUMPRODUCT(O71:O74,$U$34:$U$37)</f>
        <v>153.57501718872587</v>
      </c>
      <c r="P75" s="157">
        <f t="shared" si="15"/>
        <v>111.30970924651496</v>
      </c>
      <c r="Q75" s="157">
        <f t="shared" si="15"/>
        <v>154.05843875356038</v>
      </c>
      <c r="R75" s="157">
        <f t="shared" si="15"/>
        <v>111.30970924651496</v>
      </c>
      <c r="S75" s="157">
        <f t="shared" si="15"/>
        <v>154.05843875356038</v>
      </c>
      <c r="T75" s="439"/>
      <c r="U75" s="439"/>
      <c r="V75" s="439"/>
      <c r="W75" s="439"/>
    </row>
    <row r="76" spans="2:29">
      <c r="B76" s="7"/>
      <c r="C76" s="361"/>
      <c r="D76" s="361"/>
      <c r="E76" s="361"/>
      <c r="F76" s="361"/>
      <c r="G76" s="147"/>
      <c r="H76" s="147"/>
      <c r="M76" s="7"/>
      <c r="N76" s="198"/>
      <c r="O76" s="198"/>
      <c r="P76" s="199"/>
      <c r="Q76" s="146"/>
      <c r="R76" s="147"/>
      <c r="S76" s="147"/>
    </row>
    <row r="77" spans="2:29">
      <c r="B77" s="7"/>
      <c r="C77" s="198"/>
      <c r="D77" s="198"/>
      <c r="E77" s="199"/>
      <c r="F77" s="198"/>
      <c r="G77" s="147"/>
      <c r="H77" s="147"/>
      <c r="M77" s="7"/>
      <c r="N77" s="198"/>
      <c r="O77" s="198"/>
      <c r="P77" s="199"/>
      <c r="Q77" s="198"/>
      <c r="R77" s="147"/>
      <c r="S77" s="147"/>
    </row>
    <row r="78" spans="2:29">
      <c r="B78" s="7"/>
      <c r="C78" s="865" t="s">
        <v>269</v>
      </c>
      <c r="D78" s="865"/>
      <c r="E78" s="865"/>
      <c r="F78" s="865"/>
      <c r="G78" s="865"/>
      <c r="H78" s="865"/>
      <c r="M78" s="7"/>
      <c r="N78" s="865" t="s">
        <v>274</v>
      </c>
      <c r="O78" s="865"/>
      <c r="P78" s="865"/>
      <c r="Q78" s="865"/>
      <c r="R78" s="865"/>
      <c r="S78" s="865"/>
    </row>
    <row r="79" spans="2:29">
      <c r="B79" s="7"/>
      <c r="C79" s="881" t="str">
        <f>C59</f>
        <v>6/1/2026</v>
      </c>
      <c r="D79" s="881"/>
      <c r="E79" s="880" t="str">
        <f>E69</f>
        <v>8/1/2026</v>
      </c>
      <c r="F79" s="881"/>
      <c r="G79" s="881" t="str">
        <f>G69</f>
        <v>Proposed</v>
      </c>
      <c r="H79" s="881"/>
      <c r="M79" s="7"/>
      <c r="N79" s="249" t="str">
        <f>N59</f>
        <v>6/1/2026</v>
      </c>
      <c r="O79" s="249"/>
      <c r="P79" s="250" t="str">
        <f>P69</f>
        <v>8/1/2026</v>
      </c>
      <c r="Q79" s="249"/>
      <c r="R79" s="249" t="str">
        <f>R69</f>
        <v>Proposed</v>
      </c>
      <c r="S79" s="249"/>
    </row>
    <row r="80" spans="2:29">
      <c r="B80" s="7"/>
      <c r="C80" s="198" t="s">
        <v>192</v>
      </c>
      <c r="D80" s="198" t="s">
        <v>193</v>
      </c>
      <c r="E80" s="198" t="s">
        <v>192</v>
      </c>
      <c r="F80" s="198" t="s">
        <v>193</v>
      </c>
      <c r="G80" s="198" t="s">
        <v>192</v>
      </c>
      <c r="H80" s="198" t="s">
        <v>193</v>
      </c>
      <c r="M80" s="7"/>
      <c r="N80" s="198" t="s">
        <v>192</v>
      </c>
      <c r="O80" s="198" t="s">
        <v>193</v>
      </c>
      <c r="P80" s="198" t="s">
        <v>192</v>
      </c>
      <c r="Q80" s="198" t="s">
        <v>193</v>
      </c>
      <c r="R80" s="198" t="s">
        <v>192</v>
      </c>
      <c r="S80" s="198" t="s">
        <v>193</v>
      </c>
    </row>
    <row r="81" spans="2:23">
      <c r="B81" s="138" t="s">
        <v>125</v>
      </c>
      <c r="C81" s="159">
        <f>$Q$18+(SUMPRODUCT($C$37:$C$39,$Q$42:$Q$44)*$I33)+(MIN($I25,$I33)*$C$40)+('Incremental Rev Req'!$F$87*$I33)</f>
        <v>71.688719601610146</v>
      </c>
      <c r="D81" s="159">
        <f>$Q$18+(SUMPRODUCT($C$42:$C$44,$R$42:$R$44)*$J33)+(MIN($J25,$J33)*$C$45)+('Incremental Rev Req'!$F$87*$J33)</f>
        <v>76.966302440841162</v>
      </c>
      <c r="E81" s="159">
        <f>$Q$18+(SUMPRODUCT($D$37:$D$39,$T$42:$T$44)*$I33)+(MIN($I25,$I33)*$D$40)+('Incremental Rev Req'!$F$87*$I33)</f>
        <v>71.829494559639713</v>
      </c>
      <c r="F81" s="159">
        <f>$Q$18+(SUMPRODUCT($D$42:$D$44,$U$42:$U$44)*$J33)+(MIN($J25,$J33)*$D$45)+('Incremental Rev Req'!$F$87*$J33)</f>
        <v>77.220752051574379</v>
      </c>
      <c r="G81" s="159">
        <f>$Q$18+(SUMPRODUCT($E$37:$E$39,$T$42:$T$44)*$I33)+(MIN($I25,$I33)*$E$40)+('Incremental Rev Req'!$F$87*$I33)</f>
        <v>71.829494559639713</v>
      </c>
      <c r="H81" s="159">
        <f>$Q$18+(SUMPRODUCT($E$42:$E$44,$U$42:$U$44)*$J33)+(MIN($J25,$J33)*$E$45)+('Incremental Rev Req'!$F$87*$J33)</f>
        <v>77.220752051574379</v>
      </c>
      <c r="I81" s="439"/>
      <c r="J81" s="439"/>
      <c r="K81" s="439"/>
      <c r="L81" s="439"/>
      <c r="M81" s="138" t="s">
        <v>125</v>
      </c>
      <c r="N81" s="159">
        <f>$Q$18+(SUMPRODUCT($C$37:$C$39,$Q$42:$Q$44)*$L33)+(MIN($L25,$L33)*$C$40)+('Incremental Rev Req'!$F$87*$L33)</f>
        <v>50.00739017737569</v>
      </c>
      <c r="O81" s="159">
        <f>$Q$18+(SUMPRODUCT($C$42:$C$44,$R$42:$R$44)*$M33)+(MIN($M25,$M33)*$C$45)+('Incremental Rev Req'!$F$87*$M33)</f>
        <v>73.877067552108926</v>
      </c>
      <c r="P81" s="159">
        <f>$Q$18+(SUMPRODUCT($D$37:$D$39,$T$42:$T$44)*$L33)+(MIN($L25,$L33)*$D$40)+('Incremental Rev Req'!$F$87*$L33)</f>
        <v>50.101761538128841</v>
      </c>
      <c r="Q81" s="159">
        <f>$Q$18+(SUMPRODUCT($D$42:$D$44,$U$42:$U$44)*$M33)+(MIN($M25,$M33)*$D$45)+('Incremental Rev Req'!$F$87*$M33)</f>
        <v>74.120454136288544</v>
      </c>
      <c r="R81" s="159">
        <f>$Q$18+(SUMPRODUCT($E$37:$E$39,$T$42:$T$44)*$L33)+(MIN($L25,$L33)*$E$40)+('Incremental Rev Req'!$F$87*$L33)</f>
        <v>50.101761538128841</v>
      </c>
      <c r="S81" s="159">
        <f>$Q$18+(SUMPRODUCT($E$42:$E$44,$U$42:$U$44)*$M33)+(MIN($M25,$M33)*$E$45)+('Incremental Rev Req'!$F$87*$M33)</f>
        <v>74.120454136288544</v>
      </c>
      <c r="T81" s="439"/>
      <c r="U81" s="439"/>
      <c r="V81" s="439"/>
      <c r="W81" s="439"/>
    </row>
    <row r="82" spans="2:23">
      <c r="B82" s="141" t="s">
        <v>197</v>
      </c>
      <c r="C82" s="159">
        <f>$Q$18+(SUMPRODUCT($C$37:$C$39,$Q$42:$Q$44)*$I34)+(MIN($I26,$I34)*$C$40)+('Incremental Rev Req'!$F$87*$I34)</f>
        <v>105.30696073132204</v>
      </c>
      <c r="D82" s="159">
        <f>$Q$18+(SUMPRODUCT($C$42:$C$44,$R$42:$R$44)*$J34)+(MIN($J26,$J34)*$C$45)+('Incremental Rev Req'!$F$87*$J34)</f>
        <v>105.54172516161424</v>
      </c>
      <c r="E82" s="159">
        <f>$Q$18+(SUMPRODUCT($D$37:$D$39,$T$42:$T$44)*$I34)+(MIN($I26,$I34)*$D$40)+('Incremental Rev Req'!$F$87*$I34)</f>
        <v>105.51968733456668</v>
      </c>
      <c r="F82" s="159">
        <f>$Q$18+(SUMPRODUCT($D$42:$D$44,$U$42:$U$44)*$J34)+(MIN($J26,$J34)*$D$45)+('Incremental Rev Req'!$F$87*$J34)</f>
        <v>105.89850776796844</v>
      </c>
      <c r="G82" s="159">
        <f>$Q$18+(SUMPRODUCT($E$37:$E$39,$T$42:$T$44)*$I34)+(MIN($I26,$I34)*$E$40)+('Incremental Rev Req'!$F$87*$I34)</f>
        <v>105.51968733456668</v>
      </c>
      <c r="H82" s="159">
        <f>$Q$18+(SUMPRODUCT($E$42:$E$44,$U$42:$U$44)*$J34)+(MIN($J26,$J34)*$E$45)+('Incremental Rev Req'!$F$87*$J34)</f>
        <v>105.89850776796844</v>
      </c>
      <c r="I82" s="439"/>
      <c r="J82" s="439"/>
      <c r="K82" s="439"/>
      <c r="L82" s="439"/>
      <c r="M82" s="141" t="s">
        <v>197</v>
      </c>
      <c r="N82" s="159">
        <f>$Q$18+(SUMPRODUCT($C$37:$C$39,$Q$42:$Q$44)*$L34)+(MIN($L26,$L34)*$C$40)+('Incremental Rev Req'!$F$87*$L34)</f>
        <v>117.00026199383051</v>
      </c>
      <c r="O82" s="159">
        <f>$Q$18+(SUMPRODUCT($C$42:$C$44,$R$42:$R$44)*$M34)+(MIN($M26,$M34)*$C$45)+('Incremental Rev Req'!$F$87*$M34)</f>
        <v>176.8515638431831</v>
      </c>
      <c r="P82" s="159">
        <f>$Q$18+(SUMPRODUCT($D$37:$D$39,$T$42:$T$44)*$L34)+(MIN($L26,$L34)*$D$40)+('Incremental Rev Req'!$F$87*$L34)</f>
        <v>117.23801525628043</v>
      </c>
      <c r="Q82" s="159">
        <f>$Q$18+(SUMPRODUCT($D$42:$D$44,$U$42:$U$44)*$M34)+(MIN($M26,$M34)*$D$45)+('Incremental Rev Req'!$F$87*$M34)</f>
        <v>177.46371797914998</v>
      </c>
      <c r="R82" s="159">
        <f>$Q$18+(SUMPRODUCT($E$37:$E$39,$T$42:$T$44)*$L34)+(MIN($L26,$L34)*$E$40)+('Incremental Rev Req'!$F$87*$L34)</f>
        <v>117.23801525628043</v>
      </c>
      <c r="S82" s="159">
        <f>$Q$18+(SUMPRODUCT($E$42:$E$44,$U$42:$U$44)*$M34)+(MIN($M26,$M34)*$E$45)+('Incremental Rev Req'!$F$87*$M34)</f>
        <v>177.46371797914998</v>
      </c>
      <c r="T82" s="439"/>
      <c r="U82" s="439"/>
      <c r="V82" s="439"/>
      <c r="W82" s="439"/>
    </row>
    <row r="83" spans="2:23">
      <c r="B83" s="141" t="s">
        <v>198</v>
      </c>
      <c r="C83" s="159">
        <f>$Q$18+(SUMPRODUCT($C$37:$C$39,$Q$42:$Q$44)*$I35)+(MIN($I27,$I35)*$C$40)+('Incremental Rev Req'!$F$87*$I35)</f>
        <v>122.11608129617798</v>
      </c>
      <c r="D83" s="159">
        <f>$Q$18+(SUMPRODUCT($C$42:$C$44,$R$42:$R$44)*$J35)+(MIN($J27,$J35)*$C$45)+('Incremental Rev Req'!$F$87*$J35)</f>
        <v>90.095550717953103</v>
      </c>
      <c r="E83" s="159">
        <f>$Q$18+(SUMPRODUCT($D$37:$D$39,$T$42:$T$44)*$I35)+(MIN($I27,$I35)*$D$40)+('Incremental Rev Req'!$F$87*$I35)</f>
        <v>122.36478372203018</v>
      </c>
      <c r="F83" s="159">
        <f>$Q$18+(SUMPRODUCT($D$42:$D$44,$U$42:$U$44)*$J35)+(MIN($J27,$J35)*$D$45)+('Incremental Rev Req'!$F$87*$J35)</f>
        <v>90.397018191539217</v>
      </c>
      <c r="G83" s="159">
        <f>$Q$18+(SUMPRODUCT($E$37:$E$39,$T$42:$T$44)*$I35)+(MIN($I27,$I35)*$E$40)+('Incremental Rev Req'!$F$87*$I35)</f>
        <v>122.36478372203018</v>
      </c>
      <c r="H83" s="159">
        <f>$Q$18+(SUMPRODUCT($E$42:$E$44,$U$42:$U$44)*$J35)+(MIN($J27,$J35)*$E$45)+('Incremental Rev Req'!$F$87*$J35)</f>
        <v>90.397018191539217</v>
      </c>
      <c r="I83" s="439"/>
      <c r="J83" s="439"/>
      <c r="K83" s="439"/>
      <c r="L83" s="439"/>
      <c r="M83" s="141" t="s">
        <v>198</v>
      </c>
      <c r="N83" s="159">
        <f>$Q$18+(SUMPRODUCT($C$37:$C$39,$Q$42:$Q$44)*$L35)+(MIN($L27,$L35)*$C$40)+('Incremental Rev Req'!$F$87*$L35)</f>
        <v>129.91161547118358</v>
      </c>
      <c r="O83" s="159">
        <f>$Q$18+(SUMPRODUCT($C$42:$C$44,$R$42:$R$44)*$M35)+(MIN($M27,$M35)*$C$45)+('Incremental Rev Req'!$F$87*$M35)</f>
        <v>137.97869149330262</v>
      </c>
      <c r="P83" s="159">
        <f>$Q$18+(SUMPRODUCT($D$37:$D$39,$T$42:$T$44)*$L35)+(MIN($L27,$L35)*$D$40)+('Incremental Rev Req'!$F$87*$L35)</f>
        <v>130.17700233650598</v>
      </c>
      <c r="Q83" s="159">
        <f>$Q$18+(SUMPRODUCT($D$42:$D$44,$U$42:$U$44)*$M35)+(MIN($M27,$M35)*$D$45)+('Incremental Rev Req'!$F$87*$M35)</f>
        <v>138.4516358784698</v>
      </c>
      <c r="R83" s="159">
        <f>$Q$18+(SUMPRODUCT($E$37:$E$39,$T$42:$T$44)*$L35)+(MIN($L27,$L35)*$E$40)+('Incremental Rev Req'!$F$87*$L35)</f>
        <v>130.17700233650598</v>
      </c>
      <c r="S83" s="159">
        <f>$Q$18+(SUMPRODUCT($E$42:$E$44,$U$42:$U$44)*$M35)+(MIN($M27,$M35)*$E$45)+('Incremental Rev Req'!$F$87*$M35)</f>
        <v>138.4516358784698</v>
      </c>
      <c r="T83" s="439"/>
      <c r="U83" s="439"/>
      <c r="V83" s="439"/>
      <c r="W83" s="439"/>
    </row>
    <row r="84" spans="2:23">
      <c r="B84" s="144" t="s">
        <v>199</v>
      </c>
      <c r="C84" s="159">
        <f>$Q$18+(SUMPRODUCT($C$37:$C$39,$Q$42:$Q$44)*$I36)+(MIN($I28,$I36)*$C$40)+('Incremental Rev Req'!$F$87*$I36)</f>
        <v>81.920358206305067</v>
      </c>
      <c r="D84" s="159">
        <f>$Q$18+(SUMPRODUCT($C$42:$C$44,$R$42:$R$44)*$J36)+(MIN($J28,$J36)*$C$45)+('Incremental Rev Req'!$F$87*$J36)</f>
        <v>80.055537329573383</v>
      </c>
      <c r="E84" s="159">
        <f>$Q$18+(SUMPRODUCT($D$37:$D$39,$T$42:$T$44)*$I36)+(MIN($I28,$I36)*$D$40)+('Incremental Rev Req'!$F$87*$I36)</f>
        <v>82.083031491139224</v>
      </c>
      <c r="F84" s="159">
        <f>$Q$18+(SUMPRODUCT($D$42:$D$44,$U$42:$U$44)*$J36)+(MIN($J28,$J36)*$D$45)+('Incremental Rev Req'!$F$87*$J36)</f>
        <v>80.32104996686023</v>
      </c>
      <c r="G84" s="159">
        <f>$Q$18+(SUMPRODUCT($E$37:$E$39,$T$42:$T$44)*$I36)+(MIN($I28,$I36)*$E$40)+('Incremental Rev Req'!$F$87*$I36)</f>
        <v>82.083031491139224</v>
      </c>
      <c r="H84" s="159">
        <f>$Q$18+(SUMPRODUCT($E$42:$E$44,$U$42:$U$44)*$J36)+(MIN($J28,$J36)*$E$45)+('Incremental Rev Req'!$F$87*$J36)</f>
        <v>80.32104996686023</v>
      </c>
      <c r="I84" s="439"/>
      <c r="J84" s="439"/>
      <c r="K84" s="439"/>
      <c r="L84" s="439"/>
      <c r="M84" s="144" t="s">
        <v>199</v>
      </c>
      <c r="N84" s="159">
        <f>$Q$18+(SUMPRODUCT($C$37:$C$39,$Q$42:$Q$44)*$L36)+(MIN($L28,$L36)*$C$40)+('Incremental Rev Req'!$F$87*$L36)</f>
        <v>69.739836057858753</v>
      </c>
      <c r="O84" s="159">
        <f>$Q$18+(SUMPRODUCT($C$42:$C$44,$R$42:$R$44)*$M36)+(MIN($M28,$M36)*$C$45)+('Incremental Rev Req'!$F$87*$M36)</f>
        <v>99.878127865605151</v>
      </c>
      <c r="P84" s="159">
        <f>$Q$18+(SUMPRODUCT($D$37:$D$39,$T$42:$T$44)*$L36)+(MIN($L28,$L36)*$D$40)+('Incremental Rev Req'!$F$87*$L36)</f>
        <v>69.87643990602075</v>
      </c>
      <c r="Q84" s="159">
        <f>$Q$18+(SUMPRODUCT($D$42:$D$44,$U$42:$U$44)*$M36)+(MIN($M28,$M36)*$D$45)+('Incremental Rev Req'!$F$87*$M36)</f>
        <v>100.21462825661106</v>
      </c>
      <c r="R84" s="159">
        <f>$Q$18+(SUMPRODUCT($E$37:$E$39,$T$42:$T$44)*$L36)+(MIN($L28,$L36)*$E$40)+('Incremental Rev Req'!$F$87*$L36)</f>
        <v>69.87643990602075</v>
      </c>
      <c r="S84" s="159">
        <f>$Q$18+(SUMPRODUCT($E$42:$E$44,$U$42:$U$44)*$M36)+(MIN($M28,$M36)*$E$45)+('Incremental Rev Req'!$F$87*$M36)</f>
        <v>100.21462825661106</v>
      </c>
      <c r="T84" s="439"/>
      <c r="U84" s="439"/>
      <c r="V84" s="439"/>
      <c r="W84" s="439"/>
    </row>
    <row r="85" spans="2:23">
      <c r="B85" s="6" t="s">
        <v>112</v>
      </c>
      <c r="C85" s="157">
        <f t="shared" ref="C85:H85" si="16">SUMPRODUCT(C81:C84,$V$26:$V$29)</f>
        <v>77.047844262611704</v>
      </c>
      <c r="D85" s="157">
        <f t="shared" si="16"/>
        <v>78.727548507265851</v>
      </c>
      <c r="E85" s="157">
        <f t="shared" si="16"/>
        <v>77.200089119818443</v>
      </c>
      <c r="F85" s="157">
        <f t="shared" si="16"/>
        <v>78.988305411779606</v>
      </c>
      <c r="G85" s="157">
        <f t="shared" si="16"/>
        <v>77.200089119818443</v>
      </c>
      <c r="H85" s="157">
        <f t="shared" si="16"/>
        <v>78.988305411779606</v>
      </c>
      <c r="I85" s="439"/>
      <c r="J85" s="439"/>
      <c r="K85" s="439"/>
      <c r="L85" s="439"/>
      <c r="M85" s="6" t="s">
        <v>112</v>
      </c>
      <c r="N85" s="157">
        <f>SUMPRODUCT(N81:N84,$V$34:$V$37)</f>
        <v>61.799476389314648</v>
      </c>
      <c r="O85" s="157">
        <f t="shared" ref="O85:S85" si="17">SUMPRODUCT(O81:O84,$V$34:$V$37)</f>
        <v>89.473234057574743</v>
      </c>
      <c r="P85" s="157">
        <f t="shared" si="17"/>
        <v>61.919085834362377</v>
      </c>
      <c r="Q85" s="157">
        <f t="shared" si="17"/>
        <v>89.772472919227326</v>
      </c>
      <c r="R85" s="157">
        <f t="shared" si="17"/>
        <v>61.919085834362377</v>
      </c>
      <c r="S85" s="157">
        <f t="shared" si="17"/>
        <v>89.772472919227326</v>
      </c>
      <c r="T85" s="439"/>
      <c r="U85" s="439"/>
      <c r="V85" s="439"/>
      <c r="W85" s="439"/>
    </row>
    <row r="86" spans="2:23">
      <c r="B86" s="7"/>
      <c r="C86" s="361"/>
      <c r="D86" s="361"/>
      <c r="E86" s="361"/>
      <c r="F86" s="361"/>
      <c r="G86" s="147"/>
      <c r="H86" s="147"/>
      <c r="M86" s="7"/>
      <c r="N86" s="198"/>
      <c r="O86" s="198"/>
      <c r="P86" s="199"/>
      <c r="R86" s="147"/>
      <c r="S86" s="147"/>
    </row>
    <row r="87" spans="2:23" ht="15.75" thickBot="1"/>
    <row r="88" spans="2:23" ht="15.75" thickBot="1">
      <c r="B88" s="755">
        <f>IF('Hypothetical Summary'!$H$9="",400,'Hypothetical Summary'!$H$9)</f>
        <v>400</v>
      </c>
      <c r="C88" s="882" t="s">
        <v>275</v>
      </c>
      <c r="D88" s="865"/>
      <c r="E88" s="865"/>
      <c r="F88" s="865"/>
      <c r="G88" s="865"/>
      <c r="H88" s="865"/>
      <c r="M88" s="755">
        <f>IF('Hypothetical Summary'!$H$9="",400,'Hypothetical Summary'!$H$9)</f>
        <v>400</v>
      </c>
      <c r="N88" s="882" t="s">
        <v>277</v>
      </c>
      <c r="O88" s="865"/>
      <c r="P88" s="865"/>
      <c r="Q88" s="865"/>
      <c r="R88" s="865"/>
      <c r="S88" s="865"/>
    </row>
    <row r="89" spans="2:23">
      <c r="B89" s="7"/>
      <c r="C89" s="881" t="str">
        <f>C79</f>
        <v>6/1/2026</v>
      </c>
      <c r="D89" s="881"/>
      <c r="E89" s="880" t="str">
        <f>E79</f>
        <v>8/1/2026</v>
      </c>
      <c r="F89" s="881"/>
      <c r="G89" s="881" t="str">
        <f>G79</f>
        <v>Proposed</v>
      </c>
      <c r="H89" s="881"/>
      <c r="M89" s="7"/>
      <c r="N89" s="249" t="str">
        <f>N79</f>
        <v>6/1/2026</v>
      </c>
      <c r="O89" s="249"/>
      <c r="P89" s="250" t="str">
        <f>P79</f>
        <v>8/1/2026</v>
      </c>
      <c r="Q89" s="249"/>
      <c r="R89" s="249" t="str">
        <f>R79</f>
        <v>Proposed</v>
      </c>
      <c r="S89" s="249"/>
    </row>
    <row r="90" spans="2:23">
      <c r="B90" s="7"/>
      <c r="C90" s="198" t="s">
        <v>192</v>
      </c>
      <c r="D90" s="198" t="s">
        <v>193</v>
      </c>
      <c r="E90" s="198" t="s">
        <v>192</v>
      </c>
      <c r="F90" s="198" t="s">
        <v>193</v>
      </c>
      <c r="G90" s="198" t="s">
        <v>192</v>
      </c>
      <c r="H90" s="198" t="s">
        <v>193</v>
      </c>
      <c r="M90" s="7"/>
      <c r="N90" s="198" t="s">
        <v>192</v>
      </c>
      <c r="O90" s="198" t="s">
        <v>193</v>
      </c>
      <c r="P90" s="198" t="s">
        <v>192</v>
      </c>
      <c r="Q90" s="198" t="s">
        <v>193</v>
      </c>
      <c r="R90" s="198" t="s">
        <v>192</v>
      </c>
      <c r="S90" s="198" t="s">
        <v>193</v>
      </c>
    </row>
    <row r="91" spans="2:23">
      <c r="B91" s="138" t="s">
        <v>125</v>
      </c>
      <c r="C91" s="159">
        <f>$F$18+(SUMPRODUCT($C$25:$C$27,$I$42:$I$44)*$B$88)+(MIN($I25,$B$88)*$C$28)+('Incremental Rev Req'!$F$87*$B$88)</f>
        <v>187.65906424622074</v>
      </c>
      <c r="D91" s="159">
        <f>$F$18+(SUMPRODUCT($C$30:$C$32,$J$42:$J$44)*$B$88)+(MIN($J25,$B$88)*$C$33)+('Incremental Rev Req'!$F$87*$B$88)</f>
        <v>194.00768533573873</v>
      </c>
      <c r="E91" s="159">
        <f>$F$18+(SUMPRODUCT($D$25:$D$27,$L$42:$L$44)*$B$88)+(MIN($I25,$B$88)*$D$28)+('Incremental Rev Req'!$F$87*$B$88)</f>
        <v>188.08724451219476</v>
      </c>
      <c r="F91" s="159">
        <f>$F$18+(SUMPRODUCT($D$30:$D$32,$M$42:$M$44)*$B$88)+(MIN($J25,$B$88)*$D$33)+('Incremental Rev Req'!$F$87*$B$88)</f>
        <v>194.64142919925123</v>
      </c>
      <c r="G91" s="159">
        <f>$F$18+(SUMPRODUCT($E$25:$E$27,$L$42:$L$44)*$B$88)+(MIN($I25,$B$88)*$E$28)+('Incremental Rev Req'!$F$87*$B$88)</f>
        <v>188.08724451219476</v>
      </c>
      <c r="H91" s="159">
        <f>$F$18+(SUMPRODUCT($E$30:$E$32,$M$42:$M$44)*$B$88)+(MIN($J25,$B$88)*$E$33)+('Incremental Rev Req'!$F$87*$B$88)</f>
        <v>194.64142919925123</v>
      </c>
      <c r="I91" s="439"/>
      <c r="J91" s="439"/>
      <c r="K91" s="439"/>
      <c r="L91" s="439"/>
      <c r="M91" s="138" t="s">
        <v>125</v>
      </c>
      <c r="N91" s="159">
        <f>$F$18+(SUMPRODUCT($C$25:$C$27,$I$42:$I$44)*$B$88)+(MIN($L25,$B$88)*$C$28)+('Incremental Rev Req'!$F$87*$B$88)</f>
        <v>200.02814424622073</v>
      </c>
      <c r="O91" s="159">
        <f>$F$18+(SUMPRODUCT($C$30:$C$32,$J$42:$J$44)*$B$88)+(MIN($M25,$B$88)*$C$33)+('Incremental Rev Req'!$F$87*$B$88)</f>
        <v>195.71376533573871</v>
      </c>
      <c r="P91" s="159">
        <f>$F$18+(SUMPRODUCT($D$25:$D$27,$L$42:$L$44)*$B$88)+(MIN($L25,$B$88)*$D$28)+('Incremental Rev Req'!$F$87*$B$88)</f>
        <v>200.50156451219476</v>
      </c>
      <c r="Q91" s="159">
        <f>$F$18+(SUMPRODUCT($D$30:$D$32,$M$42:$M$44)*$B$88)+(MIN($M25,$B$88)*$D$33)+('Incremental Rev Req'!$F$87*$B$88)</f>
        <v>196.35374919925121</v>
      </c>
      <c r="R91" s="159">
        <f>$F$18+(SUMPRODUCT($E$25:$E$27,$L$42:$L$44)*$B$88)+(MIN($L25,$B$88)*$E$28)+('Incremental Rev Req'!$F$87*$B$88)</f>
        <v>200.50156451219476</v>
      </c>
      <c r="S91" s="159">
        <f>$F$18+(SUMPRODUCT($E$30:$E$32,$M$42:$M$44)*$B$88)+(MIN($M25,$B$88)*$E$33)+('Incremental Rev Req'!$F$87*$B$88)</f>
        <v>196.35374919925121</v>
      </c>
      <c r="T91" s="439"/>
      <c r="U91" s="439"/>
      <c r="V91" s="439"/>
      <c r="W91" s="439"/>
    </row>
    <row r="92" spans="2:23">
      <c r="B92" s="141" t="s">
        <v>197</v>
      </c>
      <c r="C92" s="159">
        <f>$F$18+(SUMPRODUCT($C$25:$C$27,$I$42:$I$44)*$B$88)+(MIN($I26,$B$88)*$C$28)+('Incremental Rev Req'!$F$87*$B$88)</f>
        <v>182.43419424622076</v>
      </c>
      <c r="D92" s="159">
        <f>$F$18+(SUMPRODUCT($C$30:$C$32,$J$42:$J$44)*$B$88)+(MIN($J26,$B$88)*$C$33)+('Incremental Rev Req'!$F$87*$B$88)</f>
        <v>189.63585533573874</v>
      </c>
      <c r="E92" s="159">
        <f>$F$18+(SUMPRODUCT($D$25:$D$27,$L$42:$L$44)*$B$88)+(MIN($I26,$B$88)*$D$28)+('Incremental Rev Req'!$F$87*$B$88)</f>
        <v>182.84326451219476</v>
      </c>
      <c r="F92" s="159">
        <f>$F$18+(SUMPRODUCT($D$30:$D$32,$M$42:$M$44)*$B$88)+(MIN($J26,$B$88)*$D$33)+('Incremental Rev Req'!$F$87*$B$88)</f>
        <v>190.25360919925123</v>
      </c>
      <c r="G92" s="159">
        <f>$F$18+(SUMPRODUCT($E$25:$E$27,$L$42:$L$44)*$B$88)+(MIN($I26,$B$88)*$E$28)+('Incremental Rev Req'!$F$87*$B$88)</f>
        <v>182.84326451219476</v>
      </c>
      <c r="H92" s="159">
        <f>$F$18+(SUMPRODUCT($E$30:$E$32,$M$42:$M$44)*$B$88)+(MIN($J26,$B$88)*$E$33)+('Incremental Rev Req'!$F$87*$B$88)</f>
        <v>190.25360919925123</v>
      </c>
      <c r="I92" s="439"/>
      <c r="J92" s="439"/>
      <c r="K92" s="439"/>
      <c r="L92" s="439"/>
      <c r="M92" s="141" t="s">
        <v>197</v>
      </c>
      <c r="N92" s="159">
        <f>$F$18+(SUMPRODUCT($C$25:$C$27,$I$42:$I$44)*$B$88)+(MIN($L26,$B$88)*$C$28)+('Incremental Rev Req'!$F$87*$B$88)</f>
        <v>182.43419424622076</v>
      </c>
      <c r="O92" s="159">
        <f>$F$18+(SUMPRODUCT($C$30:$C$32,$J$42:$J$44)*$B$88)+(MIN($M26,$B$88)*$C$33)+('Incremental Rev Req'!$F$87*$B$88)</f>
        <v>189.63585533573874</v>
      </c>
      <c r="P92" s="159">
        <f>$F$18+(SUMPRODUCT($D$25:$D$27,$L$42:$L$44)*$B$88)+(MIN($L26,$B$88)*$D$28)+('Incremental Rev Req'!$F$87*$B$88)</f>
        <v>182.84326451219476</v>
      </c>
      <c r="Q92" s="159">
        <f>$F$18+(SUMPRODUCT($D$30:$D$32,$M$42:$M$44)*$B$88)+(MIN($M26,$B$88)*$D$33)+('Incremental Rev Req'!$F$87*$B$88)</f>
        <v>190.25360919925123</v>
      </c>
      <c r="R92" s="159">
        <f>$F$18+(SUMPRODUCT($E$25:$E$27,$L$42:$L$44)*$B$88)+(MIN($L26,$B$88)*$E$28)+('Incremental Rev Req'!$F$87*$B$88)</f>
        <v>182.84326451219476</v>
      </c>
      <c r="S92" s="159">
        <f>$F$18+(SUMPRODUCT($E$30:$E$32,$M$42:$M$44)*$B$88)+(MIN($M26,$B$88)*$E$33)+('Incremental Rev Req'!$F$87*$B$88)</f>
        <v>190.25360919925123</v>
      </c>
      <c r="T92" s="439"/>
      <c r="U92" s="439"/>
      <c r="V92" s="439"/>
      <c r="W92" s="439"/>
    </row>
    <row r="93" spans="2:23">
      <c r="B93" s="141" t="s">
        <v>198</v>
      </c>
      <c r="C93" s="159">
        <f>$F$18+(SUMPRODUCT($C$25:$C$27,$I$42:$I$44)*$B$88)+(MIN($I27,$B$88)*$C$28)+('Incremental Rev Req'!$F$87*$B$88)</f>
        <v>182.43419424622076</v>
      </c>
      <c r="D93" s="159">
        <f>$F$18+(SUMPRODUCT($C$30:$C$32,$J$42:$J$44)*$B$88)+(MIN($J27,$B$88)*$C$33)+('Incremental Rev Req'!$F$87*$B$88)</f>
        <v>189.63585533573874</v>
      </c>
      <c r="E93" s="159">
        <f>$F$18+(SUMPRODUCT($D$25:$D$27,$L$42:$L$44)*$B$88)+(MIN($I27,$B$88)*$D$28)+('Incremental Rev Req'!$F$87*$B$88)</f>
        <v>182.84326451219476</v>
      </c>
      <c r="F93" s="159">
        <f>$F$18+(SUMPRODUCT($D$30:$D$32,$M$42:$M$44)*$B$88)+(MIN($J27,$B$88)*$D$33)+('Incremental Rev Req'!$F$87*$B$88)</f>
        <v>190.25360919925123</v>
      </c>
      <c r="G93" s="159">
        <f>$F$18+(SUMPRODUCT($E$25:$E$27,$L$42:$L$44)*$B$88)+(MIN($I27,$B$88)*$E$28)+('Incremental Rev Req'!$F$87*$B$88)</f>
        <v>182.84326451219476</v>
      </c>
      <c r="H93" s="159">
        <f>$F$18+(SUMPRODUCT($E$30:$E$32,$M$42:$M$44)*$B$88)+(MIN($J27,$B$88)*$E$33)+('Incremental Rev Req'!$F$87*$B$88)</f>
        <v>190.25360919925123</v>
      </c>
      <c r="I93" s="439"/>
      <c r="J93" s="439"/>
      <c r="K93" s="439"/>
      <c r="L93" s="439"/>
      <c r="M93" s="141" t="s">
        <v>198</v>
      </c>
      <c r="N93" s="159">
        <f>$F$18+(SUMPRODUCT($C$25:$C$27,$I$42:$I$44)*$B$88)+(MIN($L27,$B$88)*$C$28)+('Incremental Rev Req'!$F$87*$B$88)</f>
        <v>182.43419424622076</v>
      </c>
      <c r="O93" s="159">
        <f>$F$18+(SUMPRODUCT($C$30:$C$32,$J$42:$J$44)*$B$88)+(MIN($M27,$B$88)*$C$33)+('Incremental Rev Req'!$F$87*$B$88)</f>
        <v>189.63585533573874</v>
      </c>
      <c r="P93" s="159">
        <f>$F$18+(SUMPRODUCT($D$25:$D$27,$L$42:$L$44)*$B$88)+(MIN($L27,$B$88)*$D$28)+('Incremental Rev Req'!$F$87*$B$88)</f>
        <v>182.84326451219476</v>
      </c>
      <c r="Q93" s="159">
        <f>$F$18+(SUMPRODUCT($D$30:$D$32,$M$42:$M$44)*$B$88)+(MIN($M27,$B$88)*$D$33)+('Incremental Rev Req'!$F$87*$B$88)</f>
        <v>190.25360919925123</v>
      </c>
      <c r="R93" s="159">
        <f>$F$18+(SUMPRODUCT($E$25:$E$27,$L$42:$L$44)*$B$88)+(MIN($L27,$B$88)*$E$28)+('Incremental Rev Req'!$F$87*$B$88)</f>
        <v>182.84326451219476</v>
      </c>
      <c r="S93" s="159">
        <f>$F$18+(SUMPRODUCT($E$30:$E$32,$M$42:$M$44)*$B$88)+(MIN($M27,$B$88)*$E$33)+('Incremental Rev Req'!$F$87*$B$88)</f>
        <v>190.25360919925123</v>
      </c>
      <c r="T93" s="439"/>
      <c r="U93" s="439"/>
      <c r="V93" s="439"/>
      <c r="W93" s="439"/>
    </row>
    <row r="94" spans="2:23">
      <c r="B94" s="144" t="s">
        <v>199</v>
      </c>
      <c r="C94" s="159">
        <f>$F$18+(SUMPRODUCT($C$25:$C$27,$I$42:$I$44)*$B$88)+(MIN($I28,$B$88)*$C$28)+('Incremental Rev Req'!$F$87*$B$88)</f>
        <v>182.43419424622076</v>
      </c>
      <c r="D94" s="159">
        <f>$F$18+(SUMPRODUCT($C$30:$C$32,$J$42:$J$44)*$B$88)+(MIN($J28,$B$88)*$C$33)+('Incremental Rev Req'!$F$87*$B$88)</f>
        <v>192.40823533573874</v>
      </c>
      <c r="E94" s="159">
        <f>$F$18+(SUMPRODUCT($D$25:$D$27,$L$42:$L$44)*$B$88)+(MIN($I28,$B$88)*$D$28)+('Incremental Rev Req'!$F$87*$B$88)</f>
        <v>182.84326451219476</v>
      </c>
      <c r="F94" s="159">
        <f>$F$18+(SUMPRODUCT($D$30:$D$32,$M$42:$M$44)*$B$88)+(MIN($J28,$B$88)*$D$33)+('Incremental Rev Req'!$F$87*$B$88)</f>
        <v>193.03612919925123</v>
      </c>
      <c r="G94" s="159">
        <f>$F$18+(SUMPRODUCT($E$25:$E$27,$L$42:$L$44)*$B$88)+(MIN($I28,$B$88)*$E$28)+('Incremental Rev Req'!$F$87*$B$88)</f>
        <v>182.84326451219476</v>
      </c>
      <c r="H94" s="159">
        <f>$F$18+(SUMPRODUCT($E$30:$E$32,$M$42:$M$44)*$B$88)+(MIN($J28,$B$88)*$E$33)+('Incremental Rev Req'!$F$87*$B$88)</f>
        <v>193.03612919925123</v>
      </c>
      <c r="I94" s="439"/>
      <c r="J94" s="439"/>
      <c r="K94" s="439"/>
      <c r="L94" s="439"/>
      <c r="M94" s="144" t="s">
        <v>199</v>
      </c>
      <c r="N94" s="159">
        <f>$F$18+(SUMPRODUCT($C$25:$C$27,$I$42:$I$44)*$B$88)+(MIN($L28,$B$88)*$C$28)+('Incremental Rev Req'!$F$87*$B$88)</f>
        <v>188.72536424622075</v>
      </c>
      <c r="O94" s="159">
        <f>$F$18+(SUMPRODUCT($C$30:$C$32,$J$42:$J$44)*$B$88)+(MIN($M28,$B$88)*$C$33)+('Incremental Rev Req'!$F$87*$B$88)</f>
        <v>189.63585533573874</v>
      </c>
      <c r="P94" s="159">
        <f>$F$18+(SUMPRODUCT($D$25:$D$27,$L$42:$L$44)*$B$88)+(MIN($L28,$B$88)*$D$28)+('Incremental Rev Req'!$F$87*$B$88)</f>
        <v>189.15744451219476</v>
      </c>
      <c r="Q94" s="159">
        <f>$F$18+(SUMPRODUCT($D$30:$D$32,$M$42:$M$44)*$B$88)+(MIN($M28,$B$88)*$D$33)+('Incremental Rev Req'!$F$87*$B$88)</f>
        <v>190.25360919925123</v>
      </c>
      <c r="R94" s="159">
        <f>$F$18+(SUMPRODUCT($E$25:$E$27,$L$42:$L$44)*$B$88)+(MIN($L28,$B$88)*$E$28)+('Incremental Rev Req'!$F$87*$B$88)</f>
        <v>189.15744451219476</v>
      </c>
      <c r="S94" s="159">
        <f>$F$18+(SUMPRODUCT($E$30:$E$32,$M$42:$M$44)*$B$88)+(MIN($M28,$B$88)*$E$33)+('Incremental Rev Req'!$F$87*$B$88)</f>
        <v>190.25360919925123</v>
      </c>
      <c r="T94" s="439"/>
      <c r="U94" s="439"/>
      <c r="V94" s="439"/>
      <c r="W94" s="439"/>
    </row>
    <row r="95" spans="2:23">
      <c r="B95" s="6" t="s">
        <v>112</v>
      </c>
      <c r="C95" s="157">
        <f t="shared" ref="C95:H95" si="18">SUMPRODUCT(C91:C94,$U$26:$U$29)</f>
        <v>185.53269764897541</v>
      </c>
      <c r="D95" s="157">
        <f t="shared" si="18"/>
        <v>193.33026176747762</v>
      </c>
      <c r="E95" s="157">
        <f t="shared" si="18"/>
        <v>185.95310071366532</v>
      </c>
      <c r="F95" s="157">
        <f t="shared" si="18"/>
        <v>193.96152794936557</v>
      </c>
      <c r="G95" s="157">
        <f t="shared" si="18"/>
        <v>185.95310071366532</v>
      </c>
      <c r="H95" s="157">
        <f t="shared" si="18"/>
        <v>193.96152794936557</v>
      </c>
      <c r="I95" s="439"/>
      <c r="J95" s="439"/>
      <c r="K95" s="439"/>
      <c r="L95" s="439"/>
      <c r="M95" s="6" t="s">
        <v>112</v>
      </c>
      <c r="N95" s="157">
        <f>SUMPRODUCT(N91:N94,$U$34:$U$37)</f>
        <v>195.15957254514109</v>
      </c>
      <c r="O95" s="157">
        <f t="shared" ref="O95:S95" si="19">SUMPRODUCT(O91:O94,$U$34:$U$37)</f>
        <v>193.18436794869132</v>
      </c>
      <c r="P95" s="157">
        <f t="shared" si="19"/>
        <v>195.61518597473301</v>
      </c>
      <c r="Q95" s="157">
        <f t="shared" si="19"/>
        <v>193.81510052287672</v>
      </c>
      <c r="R95" s="157">
        <f t="shared" si="19"/>
        <v>195.61518597473301</v>
      </c>
      <c r="S95" s="157">
        <f t="shared" si="19"/>
        <v>193.81510052287672</v>
      </c>
      <c r="T95" s="439"/>
      <c r="U95" s="439"/>
      <c r="V95" s="439"/>
      <c r="W95" s="439"/>
    </row>
    <row r="96" spans="2:23">
      <c r="C96" s="361"/>
      <c r="D96" s="361"/>
      <c r="E96" s="361"/>
      <c r="F96" s="361"/>
      <c r="G96" s="201"/>
      <c r="H96" s="201"/>
      <c r="N96" s="201"/>
      <c r="O96" s="201"/>
      <c r="P96" s="201"/>
      <c r="Q96" s="201"/>
      <c r="R96" s="201"/>
      <c r="S96" s="201"/>
    </row>
    <row r="97" spans="2:23" ht="15.75" thickBot="1">
      <c r="B97" s="7"/>
      <c r="C97" s="198"/>
      <c r="D97" s="198"/>
      <c r="E97" s="199"/>
      <c r="F97" s="146"/>
      <c r="G97" s="147"/>
      <c r="H97" s="147"/>
      <c r="M97" s="7"/>
      <c r="N97" s="198"/>
      <c r="O97" s="198"/>
      <c r="P97" s="199"/>
      <c r="Q97" s="146"/>
      <c r="R97" s="147"/>
      <c r="S97" s="147"/>
    </row>
    <row r="98" spans="2:23" ht="15.75" thickBot="1">
      <c r="B98" s="755">
        <f>IF('Hypothetical Summary'!$H$9="",400,'Hypothetical Summary'!$H$9)</f>
        <v>400</v>
      </c>
      <c r="C98" s="882" t="s">
        <v>276</v>
      </c>
      <c r="D98" s="865"/>
      <c r="E98" s="865"/>
      <c r="F98" s="865"/>
      <c r="G98" s="865"/>
      <c r="H98" s="865"/>
      <c r="M98" s="755">
        <f>IF('Hypothetical Summary'!$H$9="",400,'Hypothetical Summary'!$H$9)</f>
        <v>400</v>
      </c>
      <c r="N98" s="882" t="s">
        <v>278</v>
      </c>
      <c r="O98" s="865"/>
      <c r="P98" s="865"/>
      <c r="Q98" s="865"/>
      <c r="R98" s="865"/>
      <c r="S98" s="865"/>
    </row>
    <row r="99" spans="2:23">
      <c r="B99" s="7"/>
      <c r="C99" s="881" t="str">
        <f>C89</f>
        <v>6/1/2026</v>
      </c>
      <c r="D99" s="881"/>
      <c r="E99" s="880" t="str">
        <f>E89</f>
        <v>8/1/2026</v>
      </c>
      <c r="F99" s="881"/>
      <c r="G99" s="881" t="str">
        <f>G89</f>
        <v>Proposed</v>
      </c>
      <c r="H99" s="881"/>
      <c r="M99" s="7"/>
      <c r="N99" s="249" t="str">
        <f>N89</f>
        <v>6/1/2026</v>
      </c>
      <c r="O99" s="249"/>
      <c r="P99" s="250" t="str">
        <f>P89</f>
        <v>8/1/2026</v>
      </c>
      <c r="Q99" s="249"/>
      <c r="R99" s="249" t="str">
        <f>R89</f>
        <v>Proposed</v>
      </c>
      <c r="S99" s="249"/>
    </row>
    <row r="100" spans="2:23">
      <c r="B100" s="7"/>
      <c r="C100" s="198" t="s">
        <v>192</v>
      </c>
      <c r="D100" s="198" t="s">
        <v>193</v>
      </c>
      <c r="E100" s="198" t="s">
        <v>192</v>
      </c>
      <c r="F100" s="198" t="s">
        <v>193</v>
      </c>
      <c r="G100" s="198" t="s">
        <v>192</v>
      </c>
      <c r="H100" s="198" t="s">
        <v>193</v>
      </c>
      <c r="M100" s="7"/>
      <c r="N100" s="198" t="s">
        <v>192</v>
      </c>
      <c r="O100" s="198" t="s">
        <v>193</v>
      </c>
      <c r="P100" s="198" t="s">
        <v>192</v>
      </c>
      <c r="Q100" s="198" t="s">
        <v>193</v>
      </c>
      <c r="R100" s="198" t="s">
        <v>192</v>
      </c>
      <c r="S100" s="198" t="s">
        <v>193</v>
      </c>
    </row>
    <row r="101" spans="2:23">
      <c r="B101" s="138" t="s">
        <v>125</v>
      </c>
      <c r="C101" s="159">
        <f>$Q$18+(SUMPRODUCT($C$37:$C$39,$Q$42:$Q$44)*$B$98)+(MIN($I25,$B$98)*$C$40)+('Incremental Rev Req'!$F$87*$B$98)</f>
        <v>106.7542671875706</v>
      </c>
      <c r="D101" s="159">
        <f>$Q$18+(SUMPRODUCT($C$42:$C$44,$R$42:$R$44)*$B$98)+(MIN($J25,$B$98)*$C$45)+('Incremental Rev Req'!$F$87*$B$98)</f>
        <v>111.73010629107416</v>
      </c>
      <c r="E101" s="159">
        <f>$Q$18+(SUMPRODUCT($D$37:$D$39,$T$42:$T$44)*$B$98)+(MIN($I25,$B$98)*$D$40)+('Incremental Rev Req'!$F$87*$B$98)</f>
        <v>106.97507268094773</v>
      </c>
      <c r="F101" s="159">
        <f>$Q$18+(SUMPRODUCT($D$42:$D$44,$U$42:$U$44)*$B$98)+(MIN($J25,$B$98)*$D$45)+('Incremental Rev Req'!$F$87*$B$98)</f>
        <v>112.10912384286146</v>
      </c>
      <c r="G101" s="159">
        <f>$Q$18+(SUMPRODUCT($E$37:$E$39,$T$42:$T$44)*$B$98)+(MIN($I25,$B$98)*$E$40)+('Incremental Rev Req'!$F$87*$B$98)</f>
        <v>106.97507268094773</v>
      </c>
      <c r="H101" s="159">
        <f>$Q$18+(SUMPRODUCT($E$42:$E$44,$U$42:$U$44)*$B$98)+(MIN($J25,$B$98)*$E$45)+('Incremental Rev Req'!$F$87*$B$98)</f>
        <v>112.10912384286146</v>
      </c>
      <c r="I101" s="439"/>
      <c r="J101" s="439"/>
      <c r="K101" s="439"/>
      <c r="L101" s="439"/>
      <c r="M101" s="138" t="s">
        <v>125</v>
      </c>
      <c r="N101" s="159">
        <f>$Q$18+(SUMPRODUCT($C$37:$C$39,$Q$42:$Q$44)*$B$98)+(MIN($L25,$B$98)*$C$40)+('Incremental Rev Req'!$F$87*$B$98)</f>
        <v>114.79422718757061</v>
      </c>
      <c r="O101" s="159">
        <f>$Q$18+(SUMPRODUCT($C$42:$C$44,$R$42:$R$44)*$B$98)+(MIN($M25,$B$98)*$C$45)+('Incremental Rev Req'!$F$87*$B$98)</f>
        <v>112.83906629107416</v>
      </c>
      <c r="P101" s="159">
        <f>$Q$18+(SUMPRODUCT($D$37:$D$39,$T$42:$T$44)*$B$98)+(MIN($L25,$B$98)*$D$40)+('Incremental Rev Req'!$F$87*$B$98)</f>
        <v>115.04403268094774</v>
      </c>
      <c r="Q101" s="159">
        <f>$Q$18+(SUMPRODUCT($D$42:$D$44,$U$42:$U$44)*$B$98)+(MIN($M25,$B$98)*$D$45)+('Incremental Rev Req'!$F$87*$B$98)</f>
        <v>113.22208384286145</v>
      </c>
      <c r="R101" s="159">
        <f>$Q$18+(SUMPRODUCT($E$37:$E$39,$T$42:$T$44)*$B$98)+(MIN($L25,$B$98)*$E$40)+('Incremental Rev Req'!$F$87*$B$98)</f>
        <v>115.04403268094774</v>
      </c>
      <c r="S101" s="159">
        <f>$Q$18+(SUMPRODUCT($E$42:$E$44,$U$42:$U$44)*$B$98)+(MIN($M25,$B$98)*$E$45)+('Incremental Rev Req'!$F$87*$B$98)</f>
        <v>113.22208384286145</v>
      </c>
      <c r="T101" s="439"/>
      <c r="U101" s="439"/>
      <c r="V101" s="439"/>
      <c r="W101" s="439"/>
    </row>
    <row r="102" spans="2:23">
      <c r="B102" s="141" t="s">
        <v>197</v>
      </c>
      <c r="C102" s="159">
        <f>$Q$18+(SUMPRODUCT($C$37:$C$39,$Q$42:$Q$44)*$B$98)+(MIN($I26,$B$98)*$C$40)+('Incremental Rev Req'!$F$87*$B$98)</f>
        <v>103.3580771875706</v>
      </c>
      <c r="D102" s="159">
        <f>$Q$18+(SUMPRODUCT($C$42:$C$44,$R$42:$R$44)*$B$98)+(MIN($J26,$B$98)*$C$45)+('Incremental Rev Req'!$F$87*$B$98)</f>
        <v>108.88839629107416</v>
      </c>
      <c r="E102" s="159">
        <f>$Q$18+(SUMPRODUCT($D$37:$D$39,$T$42:$T$44)*$B$98)+(MIN($I26,$B$98)*$D$40)+('Incremental Rev Req'!$F$87*$B$98)</f>
        <v>103.56663268094773</v>
      </c>
      <c r="F102" s="159">
        <f>$Q$18+(SUMPRODUCT($D$42:$D$44,$U$42:$U$44)*$B$98)+(MIN($J26,$B$98)*$D$45)+('Incremental Rev Req'!$F$87*$B$98)</f>
        <v>109.25716384286146</v>
      </c>
      <c r="G102" s="159">
        <f>$Q$18+(SUMPRODUCT($E$37:$E$39,$T$42:$T$44)*$B$98)+(MIN($I26,$B$98)*$E$40)+('Incremental Rev Req'!$F$87*$B$98)</f>
        <v>103.56663268094773</v>
      </c>
      <c r="H102" s="159">
        <f>$Q$18+(SUMPRODUCT($E$42:$E$44,$U$42:$U$44)*$B$98)+(MIN($J26,$B$98)*$E$45)+('Incremental Rev Req'!$F$87*$B$98)</f>
        <v>109.25716384286146</v>
      </c>
      <c r="I102" s="439"/>
      <c r="J102" s="439"/>
      <c r="K102" s="439"/>
      <c r="L102" s="439"/>
      <c r="M102" s="141" t="s">
        <v>197</v>
      </c>
      <c r="N102" s="159">
        <f>$Q$18+(SUMPRODUCT($C$37:$C$39,$Q$42:$Q$44)*$B$98)+(MIN($L26,$B$98)*$C$40)+('Incremental Rev Req'!$F$87*$B$98)</f>
        <v>103.3580771875706</v>
      </c>
      <c r="O102" s="159">
        <f>$Q$18+(SUMPRODUCT($C$42:$C$44,$R$42:$R$44)*$B$98)+(MIN($M26,$B$98)*$C$45)+('Incremental Rev Req'!$F$87*$B$98)</f>
        <v>108.88839629107416</v>
      </c>
      <c r="P102" s="159">
        <f>$Q$18+(SUMPRODUCT($D$37:$D$39,$T$42:$T$44)*$B$98)+(MIN($L26,$B$98)*$D$40)+('Incremental Rev Req'!$F$87*$B$98)</f>
        <v>103.56663268094773</v>
      </c>
      <c r="Q102" s="159">
        <f>$Q$18+(SUMPRODUCT($D$42:$D$44,$U$42:$U$44)*$B$98)+(MIN($M26,$B$98)*$D$45)+('Incremental Rev Req'!$F$87*$B$98)</f>
        <v>109.25716384286146</v>
      </c>
      <c r="R102" s="159">
        <f>$Q$18+(SUMPRODUCT($E$37:$E$39,$T$42:$T$44)*$B$98)+(MIN($L26,$B$98)*$E$40)+('Incremental Rev Req'!$F$87*$B$98)</f>
        <v>103.56663268094773</v>
      </c>
      <c r="S102" s="159">
        <f>$Q$18+(SUMPRODUCT($E$42:$E$44,$U$42:$U$44)*$B$98)+(MIN($M26,$B$98)*$E$45)+('Incremental Rev Req'!$F$87*$B$98)</f>
        <v>109.25716384286146</v>
      </c>
      <c r="T102" s="439"/>
      <c r="U102" s="439"/>
      <c r="V102" s="439"/>
      <c r="W102" s="439"/>
    </row>
    <row r="103" spans="2:23">
      <c r="B103" s="141" t="s">
        <v>198</v>
      </c>
      <c r="C103" s="159">
        <f>$Q$18+(SUMPRODUCT($C$37:$C$39,$Q$42:$Q$44)*$B$98)+(MIN($I27,$B$98)*$C$40)+('Incremental Rev Req'!$F$87*$B$98)</f>
        <v>103.3580771875706</v>
      </c>
      <c r="D103" s="159">
        <f>$Q$18+(SUMPRODUCT($C$42:$C$44,$R$42:$R$44)*$B$98)+(MIN($J27,$B$98)*$C$45)+('Incremental Rev Req'!$F$87*$B$98)</f>
        <v>108.88839629107416</v>
      </c>
      <c r="E103" s="159">
        <f>$Q$18+(SUMPRODUCT($D$37:$D$39,$T$42:$T$44)*$B$98)+(MIN($I27,$B$98)*$D$40)+('Incremental Rev Req'!$F$87*$B$98)</f>
        <v>103.56663268094773</v>
      </c>
      <c r="F103" s="159">
        <f>$Q$18+(SUMPRODUCT($D$42:$D$44,$U$42:$U$44)*$B$98)+(MIN($J27,$B$98)*$D$45)+('Incremental Rev Req'!$F$87*$B$98)</f>
        <v>109.25716384286146</v>
      </c>
      <c r="G103" s="159">
        <f>$Q$18+(SUMPRODUCT($E$37:$E$39,$T$42:$T$44)*$B$98)+(MIN($I27,$B$98)*$E$40)+('Incremental Rev Req'!$F$87*$B$98)</f>
        <v>103.56663268094773</v>
      </c>
      <c r="H103" s="159">
        <f>$Q$18+(SUMPRODUCT($E$42:$E$44,$U$42:$U$44)*$B$98)+(MIN($J27,$B$98)*$E$45)+('Incremental Rev Req'!$F$87*$B$98)</f>
        <v>109.25716384286146</v>
      </c>
      <c r="I103" s="439"/>
      <c r="J103" s="439"/>
      <c r="K103" s="439"/>
      <c r="L103" s="439"/>
      <c r="M103" s="141" t="s">
        <v>198</v>
      </c>
      <c r="N103" s="159">
        <f>$Q$18+(SUMPRODUCT($C$37:$C$39,$Q$42:$Q$44)*$B$98)+(MIN($L27,$B$98)*$C$40)+('Incremental Rev Req'!$F$87*$B$98)</f>
        <v>103.3580771875706</v>
      </c>
      <c r="O103" s="159">
        <f>$Q$18+(SUMPRODUCT($C$42:$C$44,$R$42:$R$44)*$B$98)+(MIN($M27,$B$98)*$C$45)+('Incremental Rev Req'!$F$87*$B$98)</f>
        <v>108.88839629107416</v>
      </c>
      <c r="P103" s="159">
        <f>$Q$18+(SUMPRODUCT($D$37:$D$39,$T$42:$T$44)*$B$98)+(MIN($L27,$B$98)*$D$40)+('Incremental Rev Req'!$F$87*$B$98)</f>
        <v>103.56663268094773</v>
      </c>
      <c r="Q103" s="159">
        <f>$Q$18+(SUMPRODUCT($D$42:$D$44,$U$42:$U$44)*$B$98)+(MIN($M27,$B$98)*$D$45)+('Incremental Rev Req'!$F$87*$B$98)</f>
        <v>109.25716384286146</v>
      </c>
      <c r="R103" s="159">
        <f>$Q$18+(SUMPRODUCT($E$37:$E$39,$T$42:$T$44)*$B$98)+(MIN($L27,$B$98)*$E$40)+('Incremental Rev Req'!$F$87*$B$98)</f>
        <v>103.56663268094773</v>
      </c>
      <c r="S103" s="159">
        <f>$Q$18+(SUMPRODUCT($E$42:$E$44,$U$42:$U$44)*$B$98)+(MIN($M27,$B$98)*$E$45)+('Incremental Rev Req'!$F$87*$B$98)</f>
        <v>109.25716384286146</v>
      </c>
      <c r="T103" s="439"/>
      <c r="U103" s="439"/>
      <c r="V103" s="439"/>
      <c r="W103" s="439"/>
    </row>
    <row r="104" spans="2:23">
      <c r="B104" s="144" t="s">
        <v>199</v>
      </c>
      <c r="C104" s="159">
        <f>$Q$18+(SUMPRODUCT($C$37:$C$39,$Q$42:$Q$44)*$B$98)+(MIN($I28,$B$98)*$C$40)+('Incremental Rev Req'!$F$87*$B$98)</f>
        <v>103.3580771875706</v>
      </c>
      <c r="D104" s="159">
        <f>$Q$18+(SUMPRODUCT($C$42:$C$44,$R$42:$R$44)*$B$98)+(MIN($J28,$B$98)*$C$45)+('Incremental Rev Req'!$F$87*$B$98)</f>
        <v>110.69045629107416</v>
      </c>
      <c r="E104" s="159">
        <f>$Q$18+(SUMPRODUCT($D$37:$D$39,$T$42:$T$44)*$B$98)+(MIN($I28,$B$98)*$D$40)+('Incremental Rev Req'!$F$87*$B$98)</f>
        <v>103.56663268094773</v>
      </c>
      <c r="F104" s="159">
        <f>$Q$18+(SUMPRODUCT($D$42:$D$44,$U$42:$U$44)*$B$98)+(MIN($J28,$B$98)*$D$45)+('Incremental Rev Req'!$F$87*$B$98)</f>
        <v>111.06572384286146</v>
      </c>
      <c r="G104" s="159">
        <f>$Q$18+(SUMPRODUCT($E$37:$E$39,$T$42:$T$44)*$B$98)+(MIN($I28,$B$98)*$E$40)+('Incremental Rev Req'!$F$87*$B$98)</f>
        <v>103.56663268094773</v>
      </c>
      <c r="H104" s="159">
        <f>$Q$18+(SUMPRODUCT($E$42:$E$44,$U$42:$U$44)*$B$98)+(MIN($J28,$B$98)*$E$45)+('Incremental Rev Req'!$F$87*$B$98)</f>
        <v>111.06572384286146</v>
      </c>
      <c r="I104" s="439"/>
      <c r="J104" s="439"/>
      <c r="K104" s="439"/>
      <c r="L104" s="439"/>
      <c r="M104" s="144" t="s">
        <v>199</v>
      </c>
      <c r="N104" s="159">
        <f>$Q$18+(SUMPRODUCT($C$37:$C$39,$Q$42:$Q$44)*$B$98)+(MIN($L28,$B$98)*$C$40)+('Incremental Rev Req'!$F$87*$B$98)</f>
        <v>107.44736718757061</v>
      </c>
      <c r="O104" s="159">
        <f>$Q$18+(SUMPRODUCT($C$42:$C$44,$R$42:$R$44)*$B$98)+(MIN($M28,$B$98)*$C$45)+('Incremental Rev Req'!$F$87*$B$98)</f>
        <v>108.88839629107416</v>
      </c>
      <c r="P104" s="159">
        <f>$Q$18+(SUMPRODUCT($D$37:$D$39,$T$42:$T$44)*$B$98)+(MIN($L28,$B$98)*$D$40)+('Incremental Rev Req'!$F$87*$B$98)</f>
        <v>107.67067268094773</v>
      </c>
      <c r="Q104" s="159">
        <f>$Q$18+(SUMPRODUCT($D$42:$D$44,$U$42:$U$44)*$B$98)+(MIN($M28,$B$98)*$D$45)+('Incremental Rev Req'!$F$87*$B$98)</f>
        <v>109.25716384286146</v>
      </c>
      <c r="R104" s="159">
        <f>$Q$18+(SUMPRODUCT($E$37:$E$39,$T$42:$T$44)*$B$98)+(MIN($L28,$B$98)*$E$40)+('Incremental Rev Req'!$F$87*$B$98)</f>
        <v>107.67067268094773</v>
      </c>
      <c r="S104" s="159">
        <f>$Q$18+(SUMPRODUCT($E$42:$E$44,$U$42:$U$44)*$B$98)+(MIN($M28,$B$98)*$E$45)+('Incremental Rev Req'!$F$87*$B$98)</f>
        <v>109.25716384286146</v>
      </c>
      <c r="T104" s="439"/>
      <c r="U104" s="439"/>
      <c r="V104" s="439"/>
      <c r="W104" s="439"/>
    </row>
    <row r="105" spans="2:23">
      <c r="B105" s="6" t="s">
        <v>112</v>
      </c>
      <c r="C105" s="157">
        <f t="shared" ref="C105:H105" si="20">SUMPRODUCT(C101:C104,$V$26:$V$29)</f>
        <v>105.05758418158774</v>
      </c>
      <c r="D105" s="157">
        <f t="shared" si="20"/>
        <v>111.19362763341559</v>
      </c>
      <c r="E105" s="157">
        <f t="shared" si="20"/>
        <v>105.27226976800345</v>
      </c>
      <c r="F105" s="157">
        <f t="shared" si="20"/>
        <v>111.57071011574084</v>
      </c>
      <c r="G105" s="157">
        <f t="shared" si="20"/>
        <v>105.27226976800345</v>
      </c>
      <c r="H105" s="157">
        <f t="shared" si="20"/>
        <v>111.57071011574084</v>
      </c>
      <c r="I105" s="439"/>
      <c r="J105" s="439"/>
      <c r="K105" s="439"/>
      <c r="L105" s="439"/>
      <c r="M105" s="6" t="s">
        <v>112</v>
      </c>
      <c r="N105" s="157">
        <f>SUMPRODUCT(N101:N104,$V$34:$V$37)</f>
        <v>110.66529348561511</v>
      </c>
      <c r="O105" s="157">
        <f t="shared" ref="O105:S105" si="21">SUMPRODUCT(O101:O104,$V$34:$V$37)</f>
        <v>110.65846768015037</v>
      </c>
      <c r="P105" s="157">
        <f t="shared" si="21"/>
        <v>110.9002059848285</v>
      </c>
      <c r="Q105" s="157">
        <f t="shared" si="21"/>
        <v>111.03361984955805</v>
      </c>
      <c r="R105" s="157">
        <f t="shared" si="21"/>
        <v>110.9002059848285</v>
      </c>
      <c r="S105" s="157">
        <f t="shared" si="21"/>
        <v>111.03361984955805</v>
      </c>
      <c r="T105" s="439"/>
      <c r="U105" s="439"/>
      <c r="V105" s="439"/>
      <c r="W105" s="439"/>
    </row>
    <row r="112" spans="2:23">
      <c r="C112" s="510" t="str">
        <f>C48</f>
        <v>2025 Recorded Average Basic Bundled Non-CARE Customer Bill</v>
      </c>
      <c r="N112" s="510" t="str">
        <f>N48</f>
        <v xml:space="preserve">2025 Recorded Average All-Electric Bundled Non-CARE Customer </v>
      </c>
    </row>
    <row r="113" spans="2:21">
      <c r="C113" s="862" t="str">
        <f>C36</f>
        <v>6/1/2026</v>
      </c>
      <c r="D113" s="862"/>
      <c r="E113" s="861" t="str">
        <f>D36</f>
        <v>8/1/2026</v>
      </c>
      <c r="F113" s="862"/>
      <c r="G113" s="862" t="str">
        <f>E36</f>
        <v>Proposed</v>
      </c>
      <c r="H113" s="862"/>
      <c r="I113" s="861"/>
      <c r="J113" s="862"/>
      <c r="N113" s="862" t="str">
        <f>C113</f>
        <v>6/1/2026</v>
      </c>
      <c r="O113" s="862"/>
      <c r="P113" s="862" t="str">
        <f>E113</f>
        <v>8/1/2026</v>
      </c>
      <c r="Q113" s="862"/>
      <c r="R113" s="862" t="str">
        <f>G113</f>
        <v>Proposed</v>
      </c>
      <c r="S113" s="862"/>
      <c r="T113" s="862"/>
      <c r="U113" s="862"/>
    </row>
    <row r="114" spans="2:21">
      <c r="C114" s="8" t="s">
        <v>192</v>
      </c>
      <c r="D114" s="8" t="s">
        <v>193</v>
      </c>
      <c r="E114" s="8" t="s">
        <v>192</v>
      </c>
      <c r="F114" s="8" t="s">
        <v>193</v>
      </c>
      <c r="G114" s="8" t="s">
        <v>192</v>
      </c>
      <c r="H114" s="8" t="s">
        <v>193</v>
      </c>
      <c r="I114" s="8"/>
      <c r="J114" s="8"/>
      <c r="N114" s="8" t="s">
        <v>192</v>
      </c>
      <c r="O114" s="8" t="s">
        <v>193</v>
      </c>
      <c r="P114" s="8" t="s">
        <v>192</v>
      </c>
      <c r="Q114" s="8" t="s">
        <v>193</v>
      </c>
      <c r="R114" s="8" t="s">
        <v>192</v>
      </c>
      <c r="S114" s="8" t="s">
        <v>193</v>
      </c>
      <c r="T114" s="8"/>
      <c r="U114" s="8"/>
    </row>
    <row r="115" spans="2:21">
      <c r="B115" s="138" t="s">
        <v>223</v>
      </c>
      <c r="C115" s="427">
        <f>(C51-'Hypothetical Res Bill Impact'!C43)/'Hypothetical Res Bill Impact'!C43</f>
        <v>-3.2921966387435719E-2</v>
      </c>
      <c r="D115" s="427">
        <f>(D51-'Hypothetical Res Bill Impact'!D43)/'Hypothetical Res Bill Impact'!D43</f>
        <v>4.2497481828721899E-3</v>
      </c>
      <c r="E115" s="427">
        <f>(E51-'Hypothetical Res Bill Impact'!E43)/'Hypothetical Res Bill Impact'!E43</f>
        <v>-3.3774625722218718E-2</v>
      </c>
      <c r="F115" s="427">
        <f>(F51-'Hypothetical Res Bill Impact'!F43)/'Hypothetical Res Bill Impact'!F43</f>
        <v>4.3573138355524083E-3</v>
      </c>
      <c r="G115" s="427">
        <f>(G51-'Hypothetical Res Bill Impact'!G43)/'Hypothetical Res Bill Impact'!G43</f>
        <v>-3.3774625722218718E-2</v>
      </c>
      <c r="H115" s="427">
        <f>(H51-'Hypothetical Res Bill Impact'!H43)/'Hypothetical Res Bill Impact'!H43</f>
        <v>4.3573138355524083E-3</v>
      </c>
      <c r="I115" s="427"/>
      <c r="J115" s="427"/>
      <c r="M115" s="138" t="s">
        <v>223</v>
      </c>
      <c r="N115" s="427">
        <f>(N51-'Hypothetical Res Bill Impact'!L43)/'Hypothetical Res Bill Impact'!L43</f>
        <v>-3.0938348835831537E-2</v>
      </c>
      <c r="O115" s="427">
        <f>(O51-'Hypothetical Res Bill Impact'!M43)/'Hypothetical Res Bill Impact'!M43</f>
        <v>4.1617318406635944E-3</v>
      </c>
      <c r="P115" s="427">
        <f>(P51-'Hypothetical Res Bill Impact'!N43)/'Hypothetical Res Bill Impact'!N43</f>
        <v>-3.1739744918508207E-2</v>
      </c>
      <c r="Q115" s="427">
        <f>(Q51-'Hypothetical Res Bill Impact'!O43)/'Hypothetical Res Bill Impact'!O43</f>
        <v>4.2673370816488955E-3</v>
      </c>
      <c r="R115" s="427">
        <f>(R51-'Hypothetical Res Bill Impact'!P43)/'Hypothetical Res Bill Impact'!P43</f>
        <v>-3.1739744918508207E-2</v>
      </c>
      <c r="S115" s="427">
        <f>(S51-'Hypothetical Res Bill Impact'!Q43)/'Hypothetical Res Bill Impact'!Q43</f>
        <v>4.2673370816488955E-3</v>
      </c>
      <c r="T115" s="427"/>
      <c r="U115" s="427"/>
    </row>
    <row r="116" spans="2:21">
      <c r="B116" s="141" t="s">
        <v>225</v>
      </c>
      <c r="C116" s="427">
        <f>(C52-'Hypothetical Res Bill Impact'!C44)/'Hypothetical Res Bill Impact'!C44</f>
        <v>-3.3406168426580909E-2</v>
      </c>
      <c r="D116" s="427">
        <f>(D52-'Hypothetical Res Bill Impact'!D44)/'Hypothetical Res Bill Impact'!D44</f>
        <v>4.2741634840961608E-3</v>
      </c>
      <c r="E116" s="427">
        <f>(E52-'Hypothetical Res Bill Impact'!E44)/'Hypothetical Res Bill Impact'!E44</f>
        <v>-3.4269825337742574E-2</v>
      </c>
      <c r="F116" s="427">
        <f>(F52-'Hypothetical Res Bill Impact'!F44)/'Hypothetical Res Bill Impact'!F44</f>
        <v>4.3822709477414476E-3</v>
      </c>
      <c r="G116" s="427">
        <f>(G52-'Hypothetical Res Bill Impact'!G44)/'Hypothetical Res Bill Impact'!G44</f>
        <v>-3.4269825337742574E-2</v>
      </c>
      <c r="H116" s="427">
        <f>(H52-'Hypothetical Res Bill Impact'!H44)/'Hypothetical Res Bill Impact'!H44</f>
        <v>4.3822709477414476E-3</v>
      </c>
      <c r="I116" s="427"/>
      <c r="J116" s="427"/>
      <c r="M116" s="141" t="s">
        <v>225</v>
      </c>
      <c r="N116" s="427">
        <f>(N52-'Hypothetical Res Bill Impact'!L44)/'Hypothetical Res Bill Impact'!L44</f>
        <v>-3.3668557789895956E-2</v>
      </c>
      <c r="O116" s="427">
        <f>(O52-'Hypothetical Res Bill Impact'!M44)/'Hypothetical Res Bill Impact'!M44</f>
        <v>4.4775618754143163E-3</v>
      </c>
      <c r="P116" s="427">
        <f>(P52-'Hypothetical Res Bill Impact'!N44)/'Hypothetical Res Bill Impact'!N44</f>
        <v>-3.4538155665803545E-2</v>
      </c>
      <c r="Q116" s="427">
        <f>(Q52-'Hypothetical Res Bill Impact'!O44)/'Hypothetical Res Bill Impact'!O44</f>
        <v>4.5901493320439236E-3</v>
      </c>
      <c r="R116" s="427">
        <f>(R52-'Hypothetical Res Bill Impact'!P44)/'Hypothetical Res Bill Impact'!P44</f>
        <v>-3.4538155665803545E-2</v>
      </c>
      <c r="S116" s="427">
        <f>(S52-'Hypothetical Res Bill Impact'!Q44)/'Hypothetical Res Bill Impact'!Q44</f>
        <v>4.5901493320439236E-3</v>
      </c>
      <c r="T116" s="427"/>
      <c r="U116" s="427"/>
    </row>
    <row r="117" spans="2:21">
      <c r="B117" s="141" t="s">
        <v>222</v>
      </c>
      <c r="C117" s="427">
        <f>(C53-'Hypothetical Res Bill Impact'!C45)/'Hypothetical Res Bill Impact'!C45</f>
        <v>-3.3746989924790964E-2</v>
      </c>
      <c r="D117" s="427">
        <f>(D53-'Hypothetical Res Bill Impact'!D45)/'Hypothetical Res Bill Impact'!D45</f>
        <v>3.6664439102485273E-3</v>
      </c>
      <c r="E117" s="427">
        <f>(E53-'Hypothetical Res Bill Impact'!E45)/'Hypothetical Res Bill Impact'!E45</f>
        <v>-3.4618361102859749E-2</v>
      </c>
      <c r="F117" s="427">
        <f>(F53-'Hypothetical Res Bill Impact'!F45)/'Hypothetical Res Bill Impact'!F45</f>
        <v>3.7608071394419737E-3</v>
      </c>
      <c r="G117" s="427">
        <f>(G53-'Hypothetical Res Bill Impact'!G45)/'Hypothetical Res Bill Impact'!G45</f>
        <v>-3.4618361102859749E-2</v>
      </c>
      <c r="H117" s="427">
        <f>(H53-'Hypothetical Res Bill Impact'!H45)/'Hypothetical Res Bill Impact'!H45</f>
        <v>3.7608071394419737E-3</v>
      </c>
      <c r="I117" s="427"/>
      <c r="J117" s="427"/>
      <c r="M117" s="141" t="s">
        <v>222</v>
      </c>
      <c r="N117" s="427">
        <f>(N53-'Hypothetical Res Bill Impact'!L45)/'Hypothetical Res Bill Impact'!L45</f>
        <v>-3.3107628845757714E-2</v>
      </c>
      <c r="O117" s="427">
        <f>(O53-'Hypothetical Res Bill Impact'!M45)/'Hypothetical Res Bill Impact'!M45</f>
        <v>3.81189676575831E-3</v>
      </c>
      <c r="P117" s="427">
        <f>(P53-'Hypothetical Res Bill Impact'!N45)/'Hypothetical Res Bill Impact'!N45</f>
        <v>-3.3964510362844667E-2</v>
      </c>
      <c r="Q117" s="427">
        <f>(Q53-'Hypothetical Res Bill Impact'!O45)/'Hypothetical Res Bill Impact'!O45</f>
        <v>3.90959853096023E-3</v>
      </c>
      <c r="R117" s="427">
        <f>(R53-'Hypothetical Res Bill Impact'!P45)/'Hypothetical Res Bill Impact'!P45</f>
        <v>-3.3964510362844667E-2</v>
      </c>
      <c r="S117" s="427">
        <f>(S53-'Hypothetical Res Bill Impact'!Q45)/'Hypothetical Res Bill Impact'!Q45</f>
        <v>3.90959853096023E-3</v>
      </c>
      <c r="T117" s="427"/>
      <c r="U117" s="427"/>
    </row>
    <row r="118" spans="2:21">
      <c r="B118" s="144" t="s">
        <v>224</v>
      </c>
      <c r="C118" s="427">
        <f>(C54-'Hypothetical Res Bill Impact'!C46)/'Hypothetical Res Bill Impact'!C46</f>
        <v>-3.278476522784262E-2</v>
      </c>
      <c r="D118" s="427">
        <f>(D54-'Hypothetical Res Bill Impact'!D46)/'Hypothetical Res Bill Impact'!D46</f>
        <v>4.1632042663287067E-3</v>
      </c>
      <c r="E118" s="427">
        <f>(E54-'Hypothetical Res Bill Impact'!E46)/'Hypothetical Res Bill Impact'!E46</f>
        <v>-3.3634300234397875E-2</v>
      </c>
      <c r="F118" s="427">
        <f>(F54-'Hypothetical Res Bill Impact'!F46)/'Hypothetical Res Bill Impact'!F46</f>
        <v>4.2688423957871315E-3</v>
      </c>
      <c r="G118" s="427">
        <f>(G54-'Hypothetical Res Bill Impact'!G46)/'Hypothetical Res Bill Impact'!G46</f>
        <v>-3.3634300234397875E-2</v>
      </c>
      <c r="H118" s="427">
        <f>(H54-'Hypothetical Res Bill Impact'!H46)/'Hypothetical Res Bill Impact'!H46</f>
        <v>4.2688423957871315E-3</v>
      </c>
      <c r="I118" s="427"/>
      <c r="J118" s="427"/>
      <c r="M118" s="144" t="s">
        <v>224</v>
      </c>
      <c r="N118" s="427">
        <f>(N54-'Hypothetical Res Bill Impact'!L46)/'Hypothetical Res Bill Impact'!L46</f>
        <v>-3.2873113425446153E-2</v>
      </c>
      <c r="O118" s="427">
        <f>(O54-'Hypothetical Res Bill Impact'!M46)/'Hypothetical Res Bill Impact'!M46</f>
        <v>4.287786854294917E-3</v>
      </c>
      <c r="P118" s="427">
        <f>(P54-'Hypothetical Res Bill Impact'!N46)/'Hypothetical Res Bill Impact'!N46</f>
        <v>-3.3724660696957821E-2</v>
      </c>
      <c r="Q118" s="427">
        <f>(Q54-'Hypothetical Res Bill Impact'!O46)/'Hypothetical Res Bill Impact'!O46</f>
        <v>4.3961962632160286E-3</v>
      </c>
      <c r="R118" s="427">
        <f>(R54-'Hypothetical Res Bill Impact'!P46)/'Hypothetical Res Bill Impact'!P46</f>
        <v>-3.3724660696957821E-2</v>
      </c>
      <c r="S118" s="427">
        <f>(S54-'Hypothetical Res Bill Impact'!Q46)/'Hypothetical Res Bill Impact'!Q46</f>
        <v>4.3961962632160286E-3</v>
      </c>
      <c r="T118" s="427"/>
      <c r="U118" s="427"/>
    </row>
    <row r="119" spans="2:21">
      <c r="B119" s="6" t="s">
        <v>112</v>
      </c>
      <c r="C119" s="427">
        <f>(C55-'Hypothetical Res Bill Impact'!C47)/'Hypothetical Res Bill Impact'!C47</f>
        <v>-3.2873870897846949E-2</v>
      </c>
      <c r="D119" s="427">
        <f>(D55-'Hypothetical Res Bill Impact'!D47)/'Hypothetical Res Bill Impact'!D47</f>
        <v>4.2172981229931508E-3</v>
      </c>
      <c r="E119" s="427">
        <f>(E55-'Hypothetical Res Bill Impact'!E47)/'Hypothetical Res Bill Impact'!E47</f>
        <v>-3.3725435415528873E-2</v>
      </c>
      <c r="F119" s="427">
        <f>(F55-'Hypothetical Res Bill Impact'!F47)/'Hypothetical Res Bill Impact'!F47</f>
        <v>4.324142318966594E-3</v>
      </c>
      <c r="G119" s="427">
        <f>(G55-'Hypothetical Res Bill Impact'!G47)/'Hypothetical Res Bill Impact'!G47</f>
        <v>-3.3725435415528873E-2</v>
      </c>
      <c r="H119" s="427">
        <f>(H55-'Hypothetical Res Bill Impact'!H47)/'Hypothetical Res Bill Impact'!H47</f>
        <v>4.324142318966594E-3</v>
      </c>
      <c r="I119" s="427"/>
      <c r="J119" s="427"/>
      <c r="M119" s="6" t="s">
        <v>112</v>
      </c>
      <c r="N119" s="427">
        <f>(N55-'Hypothetical Res Bill Impact'!L47)/'Hypothetical Res Bill Impact'!L47</f>
        <v>-3.1813813249938337E-2</v>
      </c>
      <c r="O119" s="427">
        <f>(O55-'Hypothetical Res Bill Impact'!M47)/'Hypothetical Res Bill Impact'!M47</f>
        <v>4.2232231580787366E-3</v>
      </c>
      <c r="P119" s="427">
        <f>(P55-'Hypothetical Res Bill Impact'!N47)/'Hypothetical Res Bill Impact'!N47</f>
        <v>-3.2637863228054995E-2</v>
      </c>
      <c r="Q119" s="427">
        <f>(Q55-'Hypothetical Res Bill Impact'!O47)/'Hypothetical Res Bill Impact'!O47</f>
        <v>4.3301991987260337E-3</v>
      </c>
      <c r="R119" s="427">
        <f>(R55-'Hypothetical Res Bill Impact'!P47)/'Hypothetical Res Bill Impact'!P47</f>
        <v>-3.2637863228054995E-2</v>
      </c>
      <c r="S119" s="427">
        <f>(S55-'Hypothetical Res Bill Impact'!Q47)/'Hypothetical Res Bill Impact'!Q47</f>
        <v>4.3301991987260337E-3</v>
      </c>
      <c r="T119" s="427"/>
      <c r="U119" s="427"/>
    </row>
    <row r="120" spans="2:21">
      <c r="B120" s="7"/>
      <c r="M120" s="7"/>
    </row>
    <row r="121" spans="2:21">
      <c r="B121" s="7"/>
      <c r="M121" s="7"/>
    </row>
    <row r="122" spans="2:21">
      <c r="B122" s="7"/>
      <c r="C122" s="510" t="str">
        <f>C58</f>
        <v>2025 Recorded Average Basic Bundled CARE Customer Bill</v>
      </c>
      <c r="M122" s="7"/>
      <c r="N122" s="510" t="str">
        <f>N58</f>
        <v xml:space="preserve">2025 Recorded Average All-Electric Bundled CARE Customer </v>
      </c>
    </row>
    <row r="123" spans="2:21">
      <c r="B123" s="7"/>
      <c r="M123" s="7"/>
    </row>
    <row r="124" spans="2:21">
      <c r="B124" s="7"/>
      <c r="M124" s="7"/>
    </row>
    <row r="125" spans="2:21">
      <c r="B125" s="138" t="s">
        <v>223</v>
      </c>
      <c r="C125" s="427">
        <f>(C61-'Hypothetical Res Bill Impact'!C53)/'Hypothetical Res Bill Impact'!C53</f>
        <v>-5.5634784694577416E-2</v>
      </c>
      <c r="D125" s="427">
        <f>(D61-'Hypothetical Res Bill Impact'!D53)/'Hypothetical Res Bill Impact'!D53</f>
        <v>-5.6827467195362689E-3</v>
      </c>
      <c r="E125" s="427">
        <f>(E61-'Hypothetical Res Bill Impact'!E53)/'Hypothetical Res Bill Impact'!E53</f>
        <v>-5.7054643491302168E-2</v>
      </c>
      <c r="F125" s="427">
        <f>(F61-'Hypothetical Res Bill Impact'!F53)/'Hypothetical Res Bill Impact'!F53</f>
        <v>-5.8349598702957858E-3</v>
      </c>
      <c r="G125" s="427">
        <f>(G61-'Hypothetical Res Bill Impact'!G53)/'Hypothetical Res Bill Impact'!G53</f>
        <v>-5.7054643491302168E-2</v>
      </c>
      <c r="H125" s="427">
        <f>(H61-'Hypothetical Res Bill Impact'!H53)/'Hypothetical Res Bill Impact'!H53</f>
        <v>-5.8349598702957858E-3</v>
      </c>
      <c r="I125" s="427"/>
      <c r="J125" s="427"/>
      <c r="M125" s="138" t="s">
        <v>223</v>
      </c>
      <c r="N125" s="427">
        <f>(N61-'Hypothetical Res Bill Impact'!L53)/'Hypothetical Res Bill Impact'!L53</f>
        <v>-5.2599387082743587E-2</v>
      </c>
      <c r="O125" s="427">
        <f>(O61-'Hypothetical Res Bill Impact'!M53)/'Hypothetical Res Bill Impact'!M53</f>
        <v>-5.6606587957529625E-3</v>
      </c>
      <c r="P125" s="427">
        <f>(P61-'Hypothetical Res Bill Impact'!N53)/'Hypothetical Res Bill Impact'!N53</f>
        <v>-5.3936534576855717E-2</v>
      </c>
      <c r="Q125" s="427">
        <f>(Q61-'Hypothetical Res Bill Impact'!O53)/'Hypothetical Res Bill Impact'!O53</f>
        <v>-5.8123586760077351E-3</v>
      </c>
      <c r="R125" s="427">
        <f>(R61-'Hypothetical Res Bill Impact'!P53)/'Hypothetical Res Bill Impact'!P53</f>
        <v>-5.3936534576855717E-2</v>
      </c>
      <c r="S125" s="427">
        <f>(S61-'Hypothetical Res Bill Impact'!Q53)/'Hypothetical Res Bill Impact'!Q53</f>
        <v>-5.8123586760077351E-3</v>
      </c>
      <c r="T125" s="427"/>
      <c r="U125" s="427"/>
    </row>
    <row r="126" spans="2:21">
      <c r="B126" s="141" t="s">
        <v>225</v>
      </c>
      <c r="C126" s="427">
        <f>(C62-'Hypothetical Res Bill Impact'!C54)/'Hypothetical Res Bill Impact'!C54</f>
        <v>-5.5713524410213884E-2</v>
      </c>
      <c r="D126" s="427">
        <f>(D62-'Hypothetical Res Bill Impact'!D54)/'Hypothetical Res Bill Impact'!D54</f>
        <v>-5.7746069148893768E-3</v>
      </c>
      <c r="E126" s="427">
        <f>(E62-'Hypothetical Res Bill Impact'!E54)/'Hypothetical Res Bill Impact'!E54</f>
        <v>-5.7125698235560914E-2</v>
      </c>
      <c r="F126" s="427">
        <f>(F62-'Hypothetical Res Bill Impact'!F54)/'Hypothetical Res Bill Impact'!F54</f>
        <v>-5.9264348246961833E-3</v>
      </c>
      <c r="G126" s="427">
        <f>(G62-'Hypothetical Res Bill Impact'!G54)/'Hypothetical Res Bill Impact'!G54</f>
        <v>-5.7125698235560914E-2</v>
      </c>
      <c r="H126" s="427">
        <f>(H62-'Hypothetical Res Bill Impact'!H54)/'Hypothetical Res Bill Impact'!H54</f>
        <v>-5.9264348246961833E-3</v>
      </c>
      <c r="I126" s="427"/>
      <c r="J126" s="427"/>
      <c r="M126" s="141" t="s">
        <v>225</v>
      </c>
      <c r="N126" s="427">
        <f>(N62-'Hypothetical Res Bill Impact'!L54)/'Hypothetical Res Bill Impact'!L54</f>
        <v>-5.6848749765368523E-2</v>
      </c>
      <c r="O126" s="427">
        <f>(O62-'Hypothetical Res Bill Impact'!M54)/'Hypothetical Res Bill Impact'!M54</f>
        <v>-5.918972128589473E-3</v>
      </c>
      <c r="P126" s="427">
        <f>(P62-'Hypothetical Res Bill Impact'!N54)/'Hypothetical Res Bill Impact'!N54</f>
        <v>-5.8292075289903725E-2</v>
      </c>
      <c r="Q126" s="427">
        <f>(Q62-'Hypothetical Res Bill Impact'!O54)/'Hypothetical Res Bill Impact'!O54</f>
        <v>-6.0766364895481232E-3</v>
      </c>
      <c r="R126" s="427">
        <f>(R62-'Hypothetical Res Bill Impact'!P54)/'Hypothetical Res Bill Impact'!P54</f>
        <v>-5.8292075289903725E-2</v>
      </c>
      <c r="S126" s="427">
        <f>(S62-'Hypothetical Res Bill Impact'!Q54)/'Hypothetical Res Bill Impact'!Q54</f>
        <v>-6.0766364895481232E-3</v>
      </c>
      <c r="T126" s="427"/>
      <c r="U126" s="427"/>
    </row>
    <row r="127" spans="2:21">
      <c r="B127" s="141" t="s">
        <v>222</v>
      </c>
      <c r="C127" s="427">
        <f>(C63-'Hypothetical Res Bill Impact'!C55)/'Hypothetical Res Bill Impact'!C55</f>
        <v>-5.6769855151101369E-2</v>
      </c>
      <c r="D127" s="427">
        <f>(D63-'Hypothetical Res Bill Impact'!D55)/'Hypothetical Res Bill Impact'!D55</f>
        <v>-5.708246251728227E-3</v>
      </c>
      <c r="E127" s="427">
        <f>(E63-'Hypothetical Res Bill Impact'!E55)/'Hypothetical Res Bill Impact'!E55</f>
        <v>-5.8210296559991992E-2</v>
      </c>
      <c r="F127" s="427">
        <f>(F63-'Hypothetical Res Bill Impact'!F55)/'Hypothetical Res Bill Impact'!F55</f>
        <v>-5.861051192786809E-3</v>
      </c>
      <c r="G127" s="427">
        <f>(G63-'Hypothetical Res Bill Impact'!G55)/'Hypothetical Res Bill Impact'!G55</f>
        <v>-5.8210296559991992E-2</v>
      </c>
      <c r="H127" s="427">
        <f>(H63-'Hypothetical Res Bill Impact'!H55)/'Hypothetical Res Bill Impact'!H55</f>
        <v>-5.861051192786809E-3</v>
      </c>
      <c r="I127" s="427"/>
      <c r="J127" s="427"/>
      <c r="M127" s="141" t="s">
        <v>222</v>
      </c>
      <c r="N127" s="427">
        <f>(N63-'Hypothetical Res Bill Impact'!L55)/'Hypothetical Res Bill Impact'!L55</f>
        <v>-5.6696814405225157E-2</v>
      </c>
      <c r="O127" s="427">
        <f>(O63-'Hypothetical Res Bill Impact'!M55)/'Hypothetical Res Bill Impact'!M55</f>
        <v>-5.7800197416223113E-3</v>
      </c>
      <c r="P127" s="427">
        <f>(P63-'Hypothetical Res Bill Impact'!N55)/'Hypothetical Res Bill Impact'!N55</f>
        <v>-5.813432572476912E-2</v>
      </c>
      <c r="Q127" s="427">
        <f>(Q63-'Hypothetical Res Bill Impact'!O55)/'Hypothetical Res Bill Impact'!O55</f>
        <v>-5.9344860340123269E-3</v>
      </c>
      <c r="R127" s="427">
        <f>(R63-'Hypothetical Res Bill Impact'!P55)/'Hypothetical Res Bill Impact'!P55</f>
        <v>-5.813432572476912E-2</v>
      </c>
      <c r="S127" s="427">
        <f>(S63-'Hypothetical Res Bill Impact'!Q55)/'Hypothetical Res Bill Impact'!Q55</f>
        <v>-5.9344860340123269E-3</v>
      </c>
      <c r="T127" s="427"/>
      <c r="U127" s="427"/>
    </row>
    <row r="128" spans="2:21">
      <c r="B128" s="144" t="s">
        <v>224</v>
      </c>
      <c r="C128" s="427">
        <f>(C64-'Hypothetical Res Bill Impact'!C56)/'Hypothetical Res Bill Impact'!C56</f>
        <v>-5.5771305866609E-2</v>
      </c>
      <c r="D128" s="427">
        <f>(D64-'Hypothetical Res Bill Impact'!D56)/'Hypothetical Res Bill Impact'!D56</f>
        <v>-5.7317847116990679E-3</v>
      </c>
      <c r="E128" s="427">
        <f>(E64-'Hypothetical Res Bill Impact'!E56)/'Hypothetical Res Bill Impact'!E56</f>
        <v>-5.718991877142874E-2</v>
      </c>
      <c r="F128" s="427">
        <f>(F64-'Hypothetical Res Bill Impact'!F56)/'Hypothetical Res Bill Impact'!F56</f>
        <v>-5.8851352098770598E-3</v>
      </c>
      <c r="G128" s="427">
        <f>(G64-'Hypothetical Res Bill Impact'!G56)/'Hypothetical Res Bill Impact'!G56</f>
        <v>-5.718991877142874E-2</v>
      </c>
      <c r="H128" s="427">
        <f>(H64-'Hypothetical Res Bill Impact'!H56)/'Hypothetical Res Bill Impact'!H56</f>
        <v>-5.8851352098770598E-3</v>
      </c>
      <c r="I128" s="427"/>
      <c r="J128" s="427"/>
      <c r="M128" s="144" t="s">
        <v>224</v>
      </c>
      <c r="N128" s="427">
        <f>(N64-'Hypothetical Res Bill Impact'!L56)/'Hypothetical Res Bill Impact'!L56</f>
        <v>-5.4466090450449221E-2</v>
      </c>
      <c r="O128" s="427">
        <f>(O64-'Hypothetical Res Bill Impact'!M56)/'Hypothetical Res Bill Impact'!M56</f>
        <v>-5.736154213801135E-3</v>
      </c>
      <c r="P128" s="427">
        <f>(P64-'Hypothetical Res Bill Impact'!N56)/'Hypothetical Res Bill Impact'!N56</f>
        <v>-5.5849815492780876E-2</v>
      </c>
      <c r="Q128" s="427">
        <f>(Q64-'Hypothetical Res Bill Impact'!O56)/'Hypothetical Res Bill Impact'!O56</f>
        <v>-5.8896059089364955E-3</v>
      </c>
      <c r="R128" s="427">
        <f>(R64-'Hypothetical Res Bill Impact'!P56)/'Hypothetical Res Bill Impact'!P56</f>
        <v>-5.5849815492780876E-2</v>
      </c>
      <c r="S128" s="427">
        <f>(S64-'Hypothetical Res Bill Impact'!Q56)/'Hypothetical Res Bill Impact'!Q56</f>
        <v>-5.8896059089364955E-3</v>
      </c>
      <c r="T128" s="427"/>
      <c r="U128" s="427"/>
    </row>
    <row r="129" spans="2:21">
      <c r="B129" s="6" t="s">
        <v>112</v>
      </c>
      <c r="C129" s="427">
        <f>(C65-'Hypothetical Res Bill Impact'!C57)/'Hypothetical Res Bill Impact'!C57</f>
        <v>-5.5713857982474954E-2</v>
      </c>
      <c r="D129" s="427">
        <f>(D65-'Hypothetical Res Bill Impact'!D57)/'Hypothetical Res Bill Impact'!D57</f>
        <v>-5.7093489159263378E-3</v>
      </c>
      <c r="E129" s="427">
        <f>(E65-'Hypothetical Res Bill Impact'!E57)/'Hypothetical Res Bill Impact'!E57</f>
        <v>-5.7132990286406685E-2</v>
      </c>
      <c r="F129" s="427">
        <f>(F65-'Hypothetical Res Bill Impact'!F57)/'Hypothetical Res Bill Impact'!F57</f>
        <v>-5.8621467221854117E-3</v>
      </c>
      <c r="G129" s="427">
        <f>(G65-'Hypothetical Res Bill Impact'!G57)/'Hypothetical Res Bill Impact'!G57</f>
        <v>-5.7132990286406685E-2</v>
      </c>
      <c r="H129" s="427">
        <f>(H65-'Hypothetical Res Bill Impact'!H57)/'Hypothetical Res Bill Impact'!H57</f>
        <v>-5.8621467221854117E-3</v>
      </c>
      <c r="I129" s="427"/>
      <c r="J129" s="427"/>
      <c r="M129" s="6" t="s">
        <v>112</v>
      </c>
      <c r="N129" s="427">
        <f>(N65-'Hypothetical Res Bill Impact'!L57)/'Hypothetical Res Bill Impact'!L57</f>
        <v>-5.3823723002905464E-2</v>
      </c>
      <c r="O129" s="427">
        <f>(O65-'Hypothetical Res Bill Impact'!M57)/'Hypothetical Res Bill Impact'!M57</f>
        <v>-5.7117313335768999E-3</v>
      </c>
      <c r="P129" s="427">
        <f>(P65-'Hypothetical Res Bill Impact'!N57)/'Hypothetical Res Bill Impact'!N57</f>
        <v>-5.5191446912412651E-2</v>
      </c>
      <c r="Q129" s="427">
        <f>(Q65-'Hypothetical Res Bill Impact'!O57)/'Hypothetical Res Bill Impact'!O57</f>
        <v>-5.8646170929436397E-3</v>
      </c>
      <c r="R129" s="427">
        <f>(R65-'Hypothetical Res Bill Impact'!P57)/'Hypothetical Res Bill Impact'!P57</f>
        <v>-5.5191446912412651E-2</v>
      </c>
      <c r="S129" s="427">
        <f>(S65-'Hypothetical Res Bill Impact'!Q57)/'Hypothetical Res Bill Impact'!Q57</f>
        <v>-5.8646170929436397E-3</v>
      </c>
      <c r="T129" s="427"/>
      <c r="U129" s="427"/>
    </row>
    <row r="130" spans="2:21">
      <c r="B130" s="7"/>
      <c r="M130" s="7"/>
    </row>
    <row r="131" spans="2:21">
      <c r="B131" s="7"/>
      <c r="M131" s="7"/>
    </row>
    <row r="132" spans="2:21">
      <c r="B132" s="7"/>
      <c r="C132" s="510" t="str">
        <f>C68</f>
        <v>Essential Usage Basic Bundled Non-CARE Customer</v>
      </c>
      <c r="M132" s="7"/>
      <c r="N132" s="510" t="str">
        <f>N68</f>
        <v>Essential Usage All-Electric Bundled Non-CARE Customer</v>
      </c>
    </row>
    <row r="133" spans="2:21">
      <c r="B133" s="7"/>
      <c r="M133" s="7"/>
    </row>
    <row r="134" spans="2:21">
      <c r="B134" s="7"/>
      <c r="M134" s="7"/>
    </row>
    <row r="135" spans="2:21">
      <c r="B135" s="138" t="s">
        <v>223</v>
      </c>
      <c r="C135" s="427">
        <f>(C71-'Hypothetical Res Bill Impact'!C63)/'Hypothetical Res Bill Impact'!C63</f>
        <v>-3.180603062599692E-2</v>
      </c>
      <c r="D135" s="427">
        <f>(D71-'Hypothetical Res Bill Impact'!D63)/'Hypothetical Res Bill Impact'!D63</f>
        <v>4.1706876671264636E-3</v>
      </c>
      <c r="E135" s="427">
        <f>(E71-'Hypothetical Res Bill Impact'!E63)/'Hypothetical Res Bill Impact'!E63</f>
        <v>-3.263317412298692E-2</v>
      </c>
      <c r="F135" s="427">
        <f>(F71-'Hypothetical Res Bill Impact'!F63)/'Hypothetical Res Bill Impact'!F63</f>
        <v>4.2764928989448029E-3</v>
      </c>
      <c r="G135" s="427">
        <f>(G71-'Hypothetical Res Bill Impact'!G63)/'Hypothetical Res Bill Impact'!G63</f>
        <v>-3.263317412298692E-2</v>
      </c>
      <c r="H135" s="427">
        <f>(H71-'Hypothetical Res Bill Impact'!H63)/'Hypothetical Res Bill Impact'!H63</f>
        <v>4.2764928989448029E-3</v>
      </c>
      <c r="I135" s="427"/>
      <c r="J135" s="427"/>
      <c r="M135" s="138" t="s">
        <v>223</v>
      </c>
      <c r="N135" s="427">
        <f>(N71-'Hypothetical Res Bill Impact'!L63)/'Hypothetical Res Bill Impact'!L63</f>
        <v>-2.927160169434375E-2</v>
      </c>
      <c r="O135" s="427">
        <f>(O71-'Hypothetical Res Bill Impact'!M63)/'Hypothetical Res Bill Impact'!M63</f>
        <v>4.1381619170871133E-3</v>
      </c>
      <c r="P135" s="427">
        <f>(P71-'Hypothetical Res Bill Impact'!N63)/'Hypothetical Res Bill Impact'!N63</f>
        <v>-3.0039915310661133E-2</v>
      </c>
      <c r="Q135" s="427">
        <f>(Q71-'Hypothetical Res Bill Impact'!O63)/'Hypothetical Res Bill Impact'!O63</f>
        <v>4.2432402646843817E-3</v>
      </c>
      <c r="R135" s="427">
        <f>(R71-'Hypothetical Res Bill Impact'!P63)/'Hypothetical Res Bill Impact'!P63</f>
        <v>-3.0039915310661133E-2</v>
      </c>
      <c r="S135" s="427">
        <f>(S71-'Hypothetical Res Bill Impact'!Q63)/'Hypothetical Res Bill Impact'!Q63</f>
        <v>4.2432402646843817E-3</v>
      </c>
      <c r="T135" s="427"/>
      <c r="U135" s="427"/>
    </row>
    <row r="136" spans="2:21">
      <c r="B136" s="141" t="s">
        <v>225</v>
      </c>
      <c r="C136" s="427">
        <f>(C72-'Hypothetical Res Bill Impact'!C64)/'Hypothetical Res Bill Impact'!C64</f>
        <v>-3.3820305071211268E-2</v>
      </c>
      <c r="D136" s="427">
        <f>(D72-'Hypothetical Res Bill Impact'!D64)/'Hypothetical Res Bill Impact'!D64</f>
        <v>4.3883355057933622E-3</v>
      </c>
      <c r="E136" s="427">
        <f>(E72-'Hypothetical Res Bill Impact'!E64)/'Hypothetical Res Bill Impact'!E64</f>
        <v>-3.4693332801682408E-2</v>
      </c>
      <c r="F136" s="427">
        <f>(F72-'Hypothetical Res Bill Impact'!F64)/'Hypothetical Res Bill Impact'!F64</f>
        <v>4.4989650996621585E-3</v>
      </c>
      <c r="G136" s="427">
        <f>(G72-'Hypothetical Res Bill Impact'!G64)/'Hypothetical Res Bill Impact'!G64</f>
        <v>-3.4693332801682408E-2</v>
      </c>
      <c r="H136" s="427">
        <f>(H72-'Hypothetical Res Bill Impact'!H64)/'Hypothetical Res Bill Impact'!H64</f>
        <v>4.4989650996621585E-3</v>
      </c>
      <c r="I136" s="427"/>
      <c r="J136" s="427"/>
      <c r="M136" s="141" t="s">
        <v>225</v>
      </c>
      <c r="N136" s="427">
        <f>(N72-'Hypothetical Res Bill Impact'!L64)/'Hypothetical Res Bill Impact'!L64</f>
        <v>-3.4267245288634868E-2</v>
      </c>
      <c r="O136" s="427">
        <f>(O72-'Hypothetical Res Bill Impact'!M64)/'Hypothetical Res Bill Impact'!M64</f>
        <v>4.6394739653195533E-3</v>
      </c>
      <c r="P136" s="427">
        <f>(P72-'Hypothetical Res Bill Impact'!N64)/'Hypothetical Res Bill Impact'!N64</f>
        <v>-3.5150349505809288E-2</v>
      </c>
      <c r="Q136" s="427">
        <f>(Q72-'Hypothetical Res Bill Impact'!O64)/'Hypothetical Res Bill Impact'!O64</f>
        <v>4.755584628509061E-3</v>
      </c>
      <c r="R136" s="427">
        <f>(R72-'Hypothetical Res Bill Impact'!P64)/'Hypothetical Res Bill Impact'!P64</f>
        <v>-3.5150349505809288E-2</v>
      </c>
      <c r="S136" s="427">
        <f>(S72-'Hypothetical Res Bill Impact'!Q64)/'Hypothetical Res Bill Impact'!Q64</f>
        <v>4.755584628509061E-3</v>
      </c>
      <c r="T136" s="427"/>
      <c r="U136" s="427"/>
    </row>
    <row r="137" spans="2:21">
      <c r="B137" s="141" t="s">
        <v>222</v>
      </c>
      <c r="C137" s="427">
        <f>(C73-'Hypothetical Res Bill Impact'!C65)/'Hypothetical Res Bill Impact'!C65</f>
        <v>-3.4437548952009338E-2</v>
      </c>
      <c r="D137" s="427">
        <f>(D73-'Hypothetical Res Bill Impact'!D65)/'Hypothetical Res Bill Impact'!D65</f>
        <v>4.2862845008346962E-3</v>
      </c>
      <c r="E137" s="427">
        <f>(E73-'Hypothetical Res Bill Impact'!E65)/'Hypothetical Res Bill Impact'!E65</f>
        <v>-3.5324482755343056E-2</v>
      </c>
      <c r="F137" s="427">
        <f>(F73-'Hypothetical Res Bill Impact'!F65)/'Hypothetical Res Bill Impact'!F65</f>
        <v>4.3946606251857815E-3</v>
      </c>
      <c r="G137" s="427">
        <f>(G73-'Hypothetical Res Bill Impact'!G65)/'Hypothetical Res Bill Impact'!G65</f>
        <v>-3.5324482755343056E-2</v>
      </c>
      <c r="H137" s="427">
        <f>(H73-'Hypothetical Res Bill Impact'!H65)/'Hypothetical Res Bill Impact'!H65</f>
        <v>4.3946606251857815E-3</v>
      </c>
      <c r="I137" s="427"/>
      <c r="J137" s="427"/>
      <c r="M137" s="141" t="s">
        <v>222</v>
      </c>
      <c r="N137" s="427">
        <f>(N73-'Hypothetical Res Bill Impact'!L65)/'Hypothetical Res Bill Impact'!L65</f>
        <v>-3.4672789031681236E-2</v>
      </c>
      <c r="O137" s="427">
        <f>(O73-'Hypothetical Res Bill Impact'!M65)/'Hypothetical Res Bill Impact'!M65</f>
        <v>4.5327970486012514E-3</v>
      </c>
      <c r="P137" s="427">
        <f>(P73-'Hypothetical Res Bill Impact'!N65)/'Hypothetical Res Bill Impact'!N65</f>
        <v>-3.5565003565146316E-2</v>
      </c>
      <c r="Q137" s="427">
        <f>(Q73-'Hypothetical Res Bill Impact'!O65)/'Hypothetical Res Bill Impact'!O65</f>
        <v>4.6465907074069931E-3</v>
      </c>
      <c r="R137" s="427">
        <f>(R73-'Hypothetical Res Bill Impact'!P65)/'Hypothetical Res Bill Impact'!P65</f>
        <v>-3.5565003565146316E-2</v>
      </c>
      <c r="S137" s="427">
        <f>(S73-'Hypothetical Res Bill Impact'!Q65)/'Hypothetical Res Bill Impact'!Q65</f>
        <v>4.6465907074069931E-3</v>
      </c>
      <c r="T137" s="427"/>
      <c r="U137" s="427"/>
    </row>
    <row r="138" spans="2:21">
      <c r="B138" s="144" t="s">
        <v>224</v>
      </c>
      <c r="C138" s="427">
        <f>(C74-'Hypothetical Res Bill Impact'!C66)/'Hypothetical Res Bill Impact'!C66</f>
        <v>-3.2578257200609181E-2</v>
      </c>
      <c r="D138" s="427">
        <f>(D74-'Hypothetical Res Bill Impact'!D66)/'Hypothetical Res Bill Impact'!D66</f>
        <v>4.2009553619475762E-3</v>
      </c>
      <c r="E138" s="427">
        <f>(E74-'Hypothetical Res Bill Impact'!E66)/'Hypothetical Res Bill Impact'!E66</f>
        <v>-3.3423082880770137E-2</v>
      </c>
      <c r="F138" s="427">
        <f>(F74-'Hypothetical Res Bill Impact'!F66)/'Hypothetical Res Bill Impact'!F66</f>
        <v>4.3074356317781108E-3</v>
      </c>
      <c r="G138" s="427">
        <f>(G74-'Hypothetical Res Bill Impact'!G66)/'Hypothetical Res Bill Impact'!G66</f>
        <v>-3.3423082880770137E-2</v>
      </c>
      <c r="H138" s="427">
        <f>(H74-'Hypothetical Res Bill Impact'!H66)/'Hypothetical Res Bill Impact'!H66</f>
        <v>4.3074356317781108E-3</v>
      </c>
      <c r="I138" s="427"/>
      <c r="J138" s="427"/>
      <c r="M138" s="144" t="s">
        <v>224</v>
      </c>
      <c r="N138" s="427">
        <f>(N74-'Hypothetical Res Bill Impact'!L66)/'Hypothetical Res Bill Impact'!L66</f>
        <v>-3.1635935614264983E-2</v>
      </c>
      <c r="O138" s="427">
        <f>(O74-'Hypothetical Res Bill Impact'!M66)/'Hypothetical Res Bill Impact'!M66</f>
        <v>4.3542806513528825E-3</v>
      </c>
      <c r="P138" s="427">
        <f>(P74-'Hypothetical Res Bill Impact'!N66)/'Hypothetical Res Bill Impact'!N66</f>
        <v>-3.2459169085837986E-2</v>
      </c>
      <c r="Q138" s="427">
        <f>(Q74-'Hypothetical Res Bill Impact'!O66)/'Hypothetical Res Bill Impact'!O66</f>
        <v>4.4641599375419977E-3</v>
      </c>
      <c r="R138" s="427">
        <f>(R74-'Hypothetical Res Bill Impact'!P66)/'Hypothetical Res Bill Impact'!P66</f>
        <v>-3.2459169085837986E-2</v>
      </c>
      <c r="S138" s="427">
        <f>(S74-'Hypothetical Res Bill Impact'!Q66)/'Hypothetical Res Bill Impact'!Q66</f>
        <v>4.4641599375419977E-3</v>
      </c>
      <c r="T138" s="427"/>
      <c r="U138" s="427"/>
    </row>
    <row r="139" spans="2:21">
      <c r="B139" s="6" t="s">
        <v>112</v>
      </c>
      <c r="C139" s="427">
        <f>(C75-'Hypothetical Res Bill Impact'!C67)/'Hypothetical Res Bill Impact'!C67</f>
        <v>-3.2161595388733963E-2</v>
      </c>
      <c r="D139" s="427">
        <f>(D75-'Hypothetical Res Bill Impact'!D67)/'Hypothetical Res Bill Impact'!D67</f>
        <v>4.1854891853094619E-3</v>
      </c>
      <c r="E139" s="427">
        <f>(E75-'Hypothetical Res Bill Impact'!E67)/'Hypothetical Res Bill Impact'!E67</f>
        <v>-3.2996894579878255E-2</v>
      </c>
      <c r="F139" s="427">
        <f>(F75-'Hypothetical Res Bill Impact'!F67)/'Hypothetical Res Bill Impact'!F67</f>
        <v>4.2916246910468664E-3</v>
      </c>
      <c r="G139" s="427">
        <f>(G75-'Hypothetical Res Bill Impact'!G67)/'Hypothetical Res Bill Impact'!G67</f>
        <v>-3.2996894579878255E-2</v>
      </c>
      <c r="H139" s="427">
        <f>(H75-'Hypothetical Res Bill Impact'!H67)/'Hypothetical Res Bill Impact'!H67</f>
        <v>4.2916246910468664E-3</v>
      </c>
      <c r="I139" s="427"/>
      <c r="J139" s="427"/>
      <c r="M139" s="6" t="s">
        <v>112</v>
      </c>
      <c r="N139" s="427">
        <f>(N75-'Hypothetical Res Bill Impact'!L67)/'Hypothetical Res Bill Impact'!L67</f>
        <v>-3.0584667576048732E-2</v>
      </c>
      <c r="O139" s="427">
        <f>(O75-'Hypothetical Res Bill Impact'!M67)/'Hypothetical Res Bill Impact'!M67</f>
        <v>4.257759246469834E-3</v>
      </c>
      <c r="P139" s="427">
        <f>(P75-'Hypothetical Res Bill Impact'!N67)/'Hypothetical Res Bill Impact'!N67</f>
        <v>-3.138361306818957E-2</v>
      </c>
      <c r="Q139" s="427">
        <f>(Q75-'Hypothetical Res Bill Impact'!O67)/'Hypothetical Res Bill Impact'!O67</f>
        <v>4.3655027719032308E-3</v>
      </c>
      <c r="R139" s="427">
        <f>(R75-'Hypothetical Res Bill Impact'!P67)/'Hypothetical Res Bill Impact'!P67</f>
        <v>-3.138361306818957E-2</v>
      </c>
      <c r="S139" s="427">
        <f>(S75-'Hypothetical Res Bill Impact'!Q67)/'Hypothetical Res Bill Impact'!Q67</f>
        <v>4.3655027719032308E-3</v>
      </c>
      <c r="T139" s="427"/>
      <c r="U139" s="427"/>
    </row>
    <row r="140" spans="2:21">
      <c r="B140" s="7"/>
      <c r="M140" s="7"/>
    </row>
    <row r="141" spans="2:21">
      <c r="B141" s="7"/>
      <c r="M141" s="7"/>
    </row>
    <row r="142" spans="2:21">
      <c r="B142" s="7"/>
      <c r="C142" s="510" t="str">
        <f>C78</f>
        <v>Essential Usage Basic Bundled CARE Customer</v>
      </c>
      <c r="M142" s="7"/>
      <c r="N142" s="510" t="str">
        <f>N78</f>
        <v>Essential Usage All-Electric Bundled CARE Customer</v>
      </c>
    </row>
    <row r="143" spans="2:21">
      <c r="B143" s="7"/>
      <c r="M143" s="7"/>
    </row>
    <row r="144" spans="2:21">
      <c r="B144" s="7"/>
      <c r="M144" s="7"/>
    </row>
    <row r="145" spans="2:21">
      <c r="B145" s="138" t="s">
        <v>223</v>
      </c>
      <c r="C145" s="427">
        <f>(C81-'Hypothetical Res Bill Impact'!C73)/'Hypothetical Res Bill Impact'!C73</f>
        <v>-5.4853247141237349E-2</v>
      </c>
      <c r="D145" s="427">
        <f>(D81-'Hypothetical Res Bill Impact'!D73)/'Hypothetical Res Bill Impact'!D73</f>
        <v>-5.6472641539461101E-3</v>
      </c>
      <c r="E145" s="427">
        <f>(E81-'Hypothetical Res Bill Impact'!E73)/'Hypothetical Res Bill Impact'!E73</f>
        <v>-5.6255918187602928E-2</v>
      </c>
      <c r="F145" s="427">
        <f>(F81-'Hypothetical Res Bill Impact'!F73)/'Hypothetical Res Bill Impact'!F73</f>
        <v>-5.7986524779424457E-3</v>
      </c>
      <c r="G145" s="427">
        <f>(G81-'Hypothetical Res Bill Impact'!G73)/'Hypothetical Res Bill Impact'!G73</f>
        <v>-5.6255918187602928E-2</v>
      </c>
      <c r="H145" s="427">
        <f>(H81-'Hypothetical Res Bill Impact'!H73)/'Hypothetical Res Bill Impact'!H73</f>
        <v>-5.7986524779424457E-3</v>
      </c>
      <c r="I145" s="427"/>
      <c r="J145" s="427"/>
      <c r="M145" s="138" t="s">
        <v>223</v>
      </c>
      <c r="N145" s="427">
        <f>(N81-'Hypothetical Res Bill Impact'!L73)/'Hypothetical Res Bill Impact'!L73</f>
        <v>-5.2827910298336153E-2</v>
      </c>
      <c r="O145" s="427">
        <f>(O81-'Hypothetical Res Bill Impact'!M73)/'Hypothetical Res Bill Impact'!M73</f>
        <v>-5.627719697173841E-3</v>
      </c>
      <c r="P145" s="427">
        <f>(P81-'Hypothetical Res Bill Impact'!N73)/'Hypothetical Res Bill Impact'!N73</f>
        <v>-5.4185675171041087E-2</v>
      </c>
      <c r="Q145" s="427">
        <f>(Q81-'Hypothetical Res Bill Impact'!O73)/'Hypothetical Res Bill Impact'!O73</f>
        <v>-5.7786530195660752E-3</v>
      </c>
      <c r="R145" s="427">
        <f>(R81-'Hypothetical Res Bill Impact'!P73)/'Hypothetical Res Bill Impact'!P73</f>
        <v>-5.4185675171041087E-2</v>
      </c>
      <c r="S145" s="427">
        <f>(S81-'Hypothetical Res Bill Impact'!Q73)/'Hypothetical Res Bill Impact'!Q73</f>
        <v>-5.7786530195660752E-3</v>
      </c>
      <c r="T145" s="427"/>
      <c r="U145" s="427"/>
    </row>
    <row r="146" spans="2:21">
      <c r="B146" s="141" t="s">
        <v>225</v>
      </c>
      <c r="C146" s="427">
        <f>(C82-'Hypothetical Res Bill Impact'!C74)/'Hypothetical Res Bill Impact'!C74</f>
        <v>-5.6339013641747385E-2</v>
      </c>
      <c r="D146" s="427">
        <f>(D82-'Hypothetical Res Bill Impact'!D74)/'Hypothetical Res Bill Impact'!D74</f>
        <v>-5.7737922561442124E-3</v>
      </c>
      <c r="E146" s="427">
        <f>(E82-'Hypothetical Res Bill Impact'!E74)/'Hypothetical Res Bill Impact'!E74</f>
        <v>-5.7774292926208039E-2</v>
      </c>
      <c r="F146" s="427">
        <f>(F82-'Hypothetical Res Bill Impact'!F74)/'Hypothetical Res Bill Impact'!F74</f>
        <v>-5.9281146549152106E-3</v>
      </c>
      <c r="G146" s="427">
        <f>(G82-'Hypothetical Res Bill Impact'!G74)/'Hypothetical Res Bill Impact'!G74</f>
        <v>-5.7774292926208039E-2</v>
      </c>
      <c r="H146" s="427">
        <f>(H82-'Hypothetical Res Bill Impact'!H74)/'Hypothetical Res Bill Impact'!H74</f>
        <v>-5.9281146549152106E-3</v>
      </c>
      <c r="I146" s="427"/>
      <c r="J146" s="427"/>
      <c r="M146" s="141" t="s">
        <v>225</v>
      </c>
      <c r="N146" s="427">
        <f>(N82-'Hypothetical Res Bill Impact'!L74)/'Hypothetical Res Bill Impact'!L74</f>
        <v>-5.6655057955673702E-2</v>
      </c>
      <c r="O146" s="427">
        <f>(O82-'Hypothetical Res Bill Impact'!M74)/'Hypothetical Res Bill Impact'!M74</f>
        <v>-5.9111712158091802E-3</v>
      </c>
      <c r="P146" s="427">
        <f>(P82-'Hypothetical Res Bill Impact'!N74)/'Hypothetical Res Bill Impact'!N74</f>
        <v>-5.8097236987996952E-2</v>
      </c>
      <c r="Q146" s="427">
        <f>(Q82-'Hypothetical Res Bill Impact'!O74)/'Hypothetical Res Bill Impact'!O74</f>
        <v>-6.0686566730288561E-3</v>
      </c>
      <c r="R146" s="427">
        <f>(R82-'Hypothetical Res Bill Impact'!P74)/'Hypothetical Res Bill Impact'!P74</f>
        <v>-5.8097236987996952E-2</v>
      </c>
      <c r="S146" s="427">
        <f>(S82-'Hypothetical Res Bill Impact'!Q74)/'Hypothetical Res Bill Impact'!Q74</f>
        <v>-6.0686566730288561E-3</v>
      </c>
      <c r="T146" s="427"/>
      <c r="U146" s="427"/>
    </row>
    <row r="147" spans="2:21">
      <c r="B147" s="141" t="s">
        <v>222</v>
      </c>
      <c r="C147" s="427">
        <f>(C83-'Hypothetical Res Bill Impact'!C75)/'Hypothetical Res Bill Impact'!C75</f>
        <v>-5.6774239747551962E-2</v>
      </c>
      <c r="D147" s="427">
        <f>(D83-'Hypothetical Res Bill Impact'!D75)/'Hypothetical Res Bill Impact'!D75</f>
        <v>-5.7153693982582351E-3</v>
      </c>
      <c r="E147" s="427">
        <f>(E83-'Hypothetical Res Bill Impact'!E75)/'Hypothetical Res Bill Impact'!E75</f>
        <v>-5.8219017382551794E-2</v>
      </c>
      <c r="F147" s="427">
        <f>(F83-'Hypothetical Res Bill Impact'!F75)/'Hypothetical Res Bill Impact'!F75</f>
        <v>-5.8683395073890528E-3</v>
      </c>
      <c r="G147" s="427">
        <f>(G83-'Hypothetical Res Bill Impact'!G75)/'Hypothetical Res Bill Impact'!G75</f>
        <v>-5.8219017382551794E-2</v>
      </c>
      <c r="H147" s="427">
        <f>(H83-'Hypothetical Res Bill Impact'!H75)/'Hypothetical Res Bill Impact'!H75</f>
        <v>-5.8683395073890528E-3</v>
      </c>
      <c r="I147" s="427"/>
      <c r="J147" s="427"/>
      <c r="M147" s="141" t="s">
        <v>222</v>
      </c>
      <c r="N147" s="427">
        <f>(N83-'Hypothetical Res Bill Impact'!L75)/'Hypothetical Res Bill Impact'!L75</f>
        <v>-5.6937751615522558E-2</v>
      </c>
      <c r="O147" s="427">
        <f>(O83-'Hypothetical Res Bill Impact'!M75)/'Hypothetical Res Bill Impact'!M75</f>
        <v>-5.8538923278499827E-3</v>
      </c>
      <c r="P147" s="427">
        <f>(P83-'Hypothetical Res Bill Impact'!N75)/'Hypothetical Res Bill Impact'!N75</f>
        <v>-5.8386091449857784E-2</v>
      </c>
      <c r="Q147" s="427">
        <f>(Q83-'Hypothetical Res Bill Impact'!O75)/'Hypothetical Res Bill Impact'!O75</f>
        <v>-6.0100618415269693E-3</v>
      </c>
      <c r="R147" s="427">
        <f>(R83-'Hypothetical Res Bill Impact'!P75)/'Hypothetical Res Bill Impact'!P75</f>
        <v>-5.8386091449857784E-2</v>
      </c>
      <c r="S147" s="427">
        <f>(S83-'Hypothetical Res Bill Impact'!Q75)/'Hypothetical Res Bill Impact'!Q75</f>
        <v>-6.0100618415269693E-3</v>
      </c>
      <c r="T147" s="427"/>
      <c r="U147" s="427"/>
    </row>
    <row r="148" spans="2:21">
      <c r="B148" s="144" t="s">
        <v>224</v>
      </c>
      <c r="C148" s="427">
        <f>(C84-'Hypothetical Res Bill Impact'!C76)/'Hypothetical Res Bill Impact'!C76</f>
        <v>-5.5435084779806673E-2</v>
      </c>
      <c r="D148" s="427">
        <f>(D84-'Hypothetical Res Bill Impact'!D76)/'Hypothetical Res Bill Impact'!D76</f>
        <v>-5.6652995407947522E-3</v>
      </c>
      <c r="E148" s="427">
        <f>(E84-'Hypothetical Res Bill Impact'!E76)/'Hypothetical Res Bill Impact'!E76</f>
        <v>-5.6850559179876012E-2</v>
      </c>
      <c r="F148" s="427">
        <f>(F84-'Hypothetical Res Bill Impact'!F76)/'Hypothetical Res Bill Impact'!F76</f>
        <v>-5.8171073114284171E-3</v>
      </c>
      <c r="G148" s="427">
        <f>(G84-'Hypothetical Res Bill Impact'!G76)/'Hypothetical Res Bill Impact'!G76</f>
        <v>-5.6850559179876012E-2</v>
      </c>
      <c r="H148" s="427">
        <f>(H84-'Hypothetical Res Bill Impact'!H76)/'Hypothetical Res Bill Impact'!H76</f>
        <v>-5.8171073114284171E-3</v>
      </c>
      <c r="I148" s="427"/>
      <c r="J148" s="427"/>
      <c r="M148" s="144" t="s">
        <v>224</v>
      </c>
      <c r="N148" s="427">
        <f>(N84-'Hypothetical Res Bill Impact'!L76)/'Hypothetical Res Bill Impact'!L76</f>
        <v>-5.4722966248640835E-2</v>
      </c>
      <c r="O148" s="427">
        <f>(O84-'Hypothetical Res Bill Impact'!M76)/'Hypothetical Res Bill Impact'!M76</f>
        <v>-5.7544694542980765E-3</v>
      </c>
      <c r="P148" s="427">
        <f>(P84-'Hypothetical Res Bill Impact'!N76)/'Hypothetical Res Bill Impact'!N76</f>
        <v>-5.612276451223383E-2</v>
      </c>
      <c r="Q148" s="427">
        <f>(Q84-'Hypothetical Res Bill Impact'!O76)/'Hypothetical Res Bill Impact'!O76</f>
        <v>-5.9083450679760455E-3</v>
      </c>
      <c r="R148" s="427">
        <f>(R84-'Hypothetical Res Bill Impact'!P76)/'Hypothetical Res Bill Impact'!P76</f>
        <v>-5.612276451223383E-2</v>
      </c>
      <c r="S148" s="427">
        <f>(S84-'Hypothetical Res Bill Impact'!Q76)/'Hypothetical Res Bill Impact'!Q76</f>
        <v>-5.9083450679760455E-3</v>
      </c>
      <c r="T148" s="427"/>
      <c r="U148" s="427"/>
    </row>
    <row r="149" spans="2:21">
      <c r="B149" s="6" t="s">
        <v>112</v>
      </c>
      <c r="C149" s="427">
        <f>(C85-'Hypothetical Res Bill Impact'!C77)/'Hypothetical Res Bill Impact'!C77</f>
        <v>-5.5177363021431926E-2</v>
      </c>
      <c r="D149" s="427">
        <f>(D85-'Hypothetical Res Bill Impact'!D77)/'Hypothetical Res Bill Impact'!D77</f>
        <v>-5.6577200805598164E-3</v>
      </c>
      <c r="E149" s="427">
        <f>(E85-'Hypothetical Res Bill Impact'!E77)/'Hypothetical Res Bill Impact'!E77</f>
        <v>-5.6587171602169542E-2</v>
      </c>
      <c r="F149" s="427">
        <f>(F85-'Hypothetical Res Bill Impact'!F77)/'Hypothetical Res Bill Impact'!F77</f>
        <v>-5.809351626171958E-3</v>
      </c>
      <c r="G149" s="427">
        <f>(G85-'Hypothetical Res Bill Impact'!G77)/'Hypothetical Res Bill Impact'!G77</f>
        <v>-5.6587171602169542E-2</v>
      </c>
      <c r="H149" s="427">
        <f>(H85-'Hypothetical Res Bill Impact'!H77)/'Hypothetical Res Bill Impact'!H77</f>
        <v>-5.809351626171958E-3</v>
      </c>
      <c r="I149" s="427"/>
      <c r="J149" s="427"/>
      <c r="M149" s="6" t="s">
        <v>112</v>
      </c>
      <c r="N149" s="427">
        <f>(N85-'Hypothetical Res Bill Impact'!L77)/'Hypothetical Res Bill Impact'!L77</f>
        <v>-5.4106734702858185E-2</v>
      </c>
      <c r="O149" s="427">
        <f>(O85-'Hypothetical Res Bill Impact'!M77)/'Hypothetical Res Bill Impact'!M77</f>
        <v>-5.7125926847326281E-3</v>
      </c>
      <c r="P149" s="427">
        <f>(P85-'Hypothetical Res Bill Impact'!N77)/'Hypothetical Res Bill Impact'!N77</f>
        <v>-5.5492915143788554E-2</v>
      </c>
      <c r="Q149" s="427">
        <f>(Q85-'Hypothetical Res Bill Impact'!O77)/'Hypothetical Res Bill Impact'!O77</f>
        <v>-5.8654984163116815E-3</v>
      </c>
      <c r="R149" s="427">
        <f>(R85-'Hypothetical Res Bill Impact'!P77)/'Hypothetical Res Bill Impact'!P77</f>
        <v>-5.5492915143788554E-2</v>
      </c>
      <c r="S149" s="427">
        <f>(S85-'Hypothetical Res Bill Impact'!Q77)/'Hypothetical Res Bill Impact'!Q77</f>
        <v>-5.8654984163116815E-3</v>
      </c>
      <c r="T149" s="427"/>
      <c r="U149" s="427"/>
    </row>
    <row r="150" spans="2:21">
      <c r="B150" s="7"/>
      <c r="M150" s="7"/>
    </row>
    <row r="151" spans="2:21" ht="15.75" thickBot="1"/>
    <row r="152" spans="2:21" ht="15.75" thickBot="1">
      <c r="B152" s="755">
        <f>IF(Summary!$I$9="",400,Summary!$I$9)</f>
        <v>400</v>
      </c>
      <c r="C152" s="510" t="str">
        <f>C88</f>
        <v xml:space="preserve">Typical Monthly Usage Basic Bundled Non-CARE Customer </v>
      </c>
      <c r="M152" s="755">
        <f>IF(Summary!$I$9="",400,Summary!$I$9)</f>
        <v>400</v>
      </c>
      <c r="N152" s="510" t="str">
        <f>N88</f>
        <v xml:space="preserve">Typical Monthly Usage All-Electric Bundled Non-CARE Customer </v>
      </c>
    </row>
    <row r="153" spans="2:21">
      <c r="B153" s="7"/>
      <c r="M153" s="7"/>
    </row>
    <row r="154" spans="2:21">
      <c r="B154" s="7"/>
      <c r="M154" s="7"/>
    </row>
    <row r="155" spans="2:21">
      <c r="B155" s="138" t="s">
        <v>223</v>
      </c>
      <c r="C155" s="427">
        <f>(C91-'Hypothetical Res Bill Impact'!C83)/'Hypothetical Res Bill Impact'!C83</f>
        <v>-3.2828287426276699E-2</v>
      </c>
      <c r="D155" s="427">
        <f>(D91-'Hypothetical Res Bill Impact'!D83)/'Hypothetical Res Bill Impact'!D83</f>
        <v>4.3071334098744784E-3</v>
      </c>
      <c r="E155" s="427">
        <f>(E91-'Hypothetical Res Bill Impact'!E83)/'Hypothetical Res Bill Impact'!E83</f>
        <v>-3.3674257218325558E-2</v>
      </c>
      <c r="F155" s="427">
        <f>(F91-'Hypothetical Res Bill Impact'!F83)/'Hypothetical Res Bill Impact'!F83</f>
        <v>4.4166987103580998E-3</v>
      </c>
      <c r="G155" s="427">
        <f>(G91-'Hypothetical Res Bill Impact'!G83)/'Hypothetical Res Bill Impact'!G83</f>
        <v>-3.3674257218325558E-2</v>
      </c>
      <c r="H155" s="427">
        <f>(H91-'Hypothetical Res Bill Impact'!H83)/'Hypothetical Res Bill Impact'!H83</f>
        <v>4.4166987103580998E-3</v>
      </c>
      <c r="I155" s="427"/>
      <c r="J155" s="427"/>
      <c r="M155" s="138" t="s">
        <v>223</v>
      </c>
      <c r="N155" s="427">
        <f>(N91-'Hypothetical Res Bill Impact'!L83)/'Hypothetical Res Bill Impact'!L83</f>
        <v>-3.0861074799420705E-2</v>
      </c>
      <c r="O155" s="427">
        <f>(O91-'Hypothetical Res Bill Impact'!M83)/'Hypothetical Res Bill Impact'!M83</f>
        <v>4.2694067779315429E-3</v>
      </c>
      <c r="P155" s="427">
        <f>(P91-'Hypothetical Res Bill Impact'!N83)/'Hypothetical Res Bill Impact'!N83</f>
        <v>-3.165261979271209E-2</v>
      </c>
      <c r="Q155" s="427">
        <f>(Q91-'Hypothetical Res Bill Impact'!O83)/'Hypothetical Res Bill Impact'!O83</f>
        <v>4.3784157116350773E-3</v>
      </c>
      <c r="R155" s="427">
        <f>(R91-'Hypothetical Res Bill Impact'!P83)/'Hypothetical Res Bill Impact'!P83</f>
        <v>-3.165261979271209E-2</v>
      </c>
      <c r="S155" s="427">
        <f>(S91-'Hypothetical Res Bill Impact'!Q83)/'Hypothetical Res Bill Impact'!Q83</f>
        <v>4.3784157116350773E-3</v>
      </c>
      <c r="T155" s="427"/>
      <c r="U155" s="427"/>
    </row>
    <row r="156" spans="2:21">
      <c r="B156" s="141" t="s">
        <v>225</v>
      </c>
      <c r="C156" s="427">
        <f>(C92-'Hypothetical Res Bill Impact'!C84)/'Hypothetical Res Bill Impact'!C84</f>
        <v>-3.3736701186425036E-2</v>
      </c>
      <c r="D156" s="427">
        <f>(D92-'Hypothetical Res Bill Impact'!D84)/'Hypothetical Res Bill Impact'!D84</f>
        <v>4.406920024756792E-3</v>
      </c>
      <c r="E156" s="427">
        <f>(E92-'Hypothetical Res Bill Impact'!E84)/'Hypothetical Res Bill Impact'!E84</f>
        <v>-3.46078398091322E-2</v>
      </c>
      <c r="F156" s="427">
        <f>(F92-'Hypothetical Res Bill Impact'!F84)/'Hypothetical Res Bill Impact'!F84</f>
        <v>4.5179583671480731E-3</v>
      </c>
      <c r="G156" s="427">
        <f>(G92-'Hypothetical Res Bill Impact'!G84)/'Hypothetical Res Bill Impact'!G84</f>
        <v>-3.46078398091322E-2</v>
      </c>
      <c r="H156" s="427">
        <f>(H92-'Hypothetical Res Bill Impact'!H84)/'Hypothetical Res Bill Impact'!H84</f>
        <v>4.5179583671480731E-3</v>
      </c>
      <c r="I156" s="427"/>
      <c r="J156" s="427"/>
      <c r="M156" s="141" t="s">
        <v>225</v>
      </c>
      <c r="N156" s="427">
        <f>(N92-'Hypothetical Res Bill Impact'!L84)/'Hypothetical Res Bill Impact'!L84</f>
        <v>-3.3736701186425036E-2</v>
      </c>
      <c r="O156" s="427">
        <f>(O92-'Hypothetical Res Bill Impact'!M84)/'Hypothetical Res Bill Impact'!M84</f>
        <v>4.406920024756792E-3</v>
      </c>
      <c r="P156" s="427">
        <f>(P92-'Hypothetical Res Bill Impact'!N84)/'Hypothetical Res Bill Impact'!N84</f>
        <v>-3.46078398091322E-2</v>
      </c>
      <c r="Q156" s="427">
        <f>(Q92-'Hypothetical Res Bill Impact'!O84)/'Hypothetical Res Bill Impact'!O84</f>
        <v>4.5179583671480731E-3</v>
      </c>
      <c r="R156" s="427">
        <f>(R92-'Hypothetical Res Bill Impact'!P84)/'Hypothetical Res Bill Impact'!P84</f>
        <v>-3.46078398091322E-2</v>
      </c>
      <c r="S156" s="427">
        <f>(S92-'Hypothetical Res Bill Impact'!Q84)/'Hypothetical Res Bill Impact'!Q84</f>
        <v>4.5179583671480731E-3</v>
      </c>
      <c r="T156" s="427"/>
      <c r="U156" s="427"/>
    </row>
    <row r="157" spans="2:21">
      <c r="B157" s="141" t="s">
        <v>222</v>
      </c>
      <c r="C157" s="427">
        <f>(C93-'Hypothetical Res Bill Impact'!C85)/'Hypothetical Res Bill Impact'!C85</f>
        <v>-3.3736701186425036E-2</v>
      </c>
      <c r="D157" s="427">
        <f>(D93-'Hypothetical Res Bill Impact'!D85)/'Hypothetical Res Bill Impact'!D85</f>
        <v>4.406920024756792E-3</v>
      </c>
      <c r="E157" s="427">
        <f>(E93-'Hypothetical Res Bill Impact'!E85)/'Hypothetical Res Bill Impact'!E85</f>
        <v>-3.46078398091322E-2</v>
      </c>
      <c r="F157" s="427">
        <f>(F93-'Hypothetical Res Bill Impact'!F85)/'Hypothetical Res Bill Impact'!F85</f>
        <v>4.5179583671480731E-3</v>
      </c>
      <c r="G157" s="427">
        <f>(G93-'Hypothetical Res Bill Impact'!G85)/'Hypothetical Res Bill Impact'!G85</f>
        <v>-3.46078398091322E-2</v>
      </c>
      <c r="H157" s="427">
        <f>(H93-'Hypothetical Res Bill Impact'!H85)/'Hypothetical Res Bill Impact'!H85</f>
        <v>4.5179583671480731E-3</v>
      </c>
      <c r="I157" s="427"/>
      <c r="J157" s="427"/>
      <c r="M157" s="141" t="s">
        <v>222</v>
      </c>
      <c r="N157" s="427">
        <f>(N93-'Hypothetical Res Bill Impact'!L85)/'Hypothetical Res Bill Impact'!L85</f>
        <v>-3.3736701186425036E-2</v>
      </c>
      <c r="O157" s="427">
        <f>(O93-'Hypothetical Res Bill Impact'!M85)/'Hypothetical Res Bill Impact'!M85</f>
        <v>4.406920024756792E-3</v>
      </c>
      <c r="P157" s="427">
        <f>(P93-'Hypothetical Res Bill Impact'!N85)/'Hypothetical Res Bill Impact'!N85</f>
        <v>-3.46078398091322E-2</v>
      </c>
      <c r="Q157" s="427">
        <f>(Q93-'Hypothetical Res Bill Impact'!O85)/'Hypothetical Res Bill Impact'!O85</f>
        <v>4.5179583671480731E-3</v>
      </c>
      <c r="R157" s="427">
        <f>(R93-'Hypothetical Res Bill Impact'!P85)/'Hypothetical Res Bill Impact'!P85</f>
        <v>-3.46078398091322E-2</v>
      </c>
      <c r="S157" s="427">
        <f>(S93-'Hypothetical Res Bill Impact'!Q85)/'Hypothetical Res Bill Impact'!Q85</f>
        <v>4.5179583671480731E-3</v>
      </c>
      <c r="T157" s="427"/>
      <c r="U157" s="427"/>
    </row>
    <row r="158" spans="2:21">
      <c r="B158" s="144" t="s">
        <v>224</v>
      </c>
      <c r="C158" s="427">
        <f>(C94-'Hypothetical Res Bill Impact'!C86)/'Hypothetical Res Bill Impact'!C86</f>
        <v>-3.3736701186425036E-2</v>
      </c>
      <c r="D158" s="427">
        <f>(D94-'Hypothetical Res Bill Impact'!D86)/'Hypothetical Res Bill Impact'!D86</f>
        <v>4.3431123942793025E-3</v>
      </c>
      <c r="E158" s="427">
        <f>(E94-'Hypothetical Res Bill Impact'!E86)/'Hypothetical Res Bill Impact'!E86</f>
        <v>-3.46078398091322E-2</v>
      </c>
      <c r="F158" s="427">
        <f>(F94-'Hypothetical Res Bill Impact'!F86)/'Hypothetical Res Bill Impact'!F86</f>
        <v>4.4532085699152176E-3</v>
      </c>
      <c r="G158" s="427">
        <f>(G94-'Hypothetical Res Bill Impact'!G86)/'Hypothetical Res Bill Impact'!G86</f>
        <v>-3.46078398091322E-2</v>
      </c>
      <c r="H158" s="427">
        <f>(H94-'Hypothetical Res Bill Impact'!H86)/'Hypothetical Res Bill Impact'!H86</f>
        <v>4.4532085699152176E-3</v>
      </c>
      <c r="I158" s="427"/>
      <c r="J158" s="427"/>
      <c r="M158" s="144" t="s">
        <v>224</v>
      </c>
      <c r="N158" s="427">
        <f>(N94-'Hypothetical Res Bill Impact'!L86)/'Hypothetical Res Bill Impact'!L86</f>
        <v>-3.2648875110696494E-2</v>
      </c>
      <c r="O158" s="427">
        <f>(O94-'Hypothetical Res Bill Impact'!M86)/'Hypothetical Res Bill Impact'!M86</f>
        <v>4.406920024756792E-3</v>
      </c>
      <c r="P158" s="427">
        <f>(P94-'Hypothetical Res Bill Impact'!N86)/'Hypothetical Res Bill Impact'!N86</f>
        <v>-3.3489876784483258E-2</v>
      </c>
      <c r="Q158" s="427">
        <f>(Q94-'Hypothetical Res Bill Impact'!O86)/'Hypothetical Res Bill Impact'!O86</f>
        <v>4.5179583671480731E-3</v>
      </c>
      <c r="R158" s="427">
        <f>(R94-'Hypothetical Res Bill Impact'!P86)/'Hypothetical Res Bill Impact'!P86</f>
        <v>-3.3489876784483258E-2</v>
      </c>
      <c r="S158" s="427">
        <f>(S94-'Hypothetical Res Bill Impact'!Q86)/'Hypothetical Res Bill Impact'!Q86</f>
        <v>4.5179583671480731E-3</v>
      </c>
      <c r="T158" s="427"/>
      <c r="U158" s="427"/>
    </row>
    <row r="159" spans="2:21">
      <c r="B159" s="6" t="s">
        <v>112</v>
      </c>
      <c r="C159" s="427">
        <f>(C95-'Hypothetical Res Bill Impact'!C87)/'Hypothetical Res Bill Impact'!C87</f>
        <v>-3.3192015551397593E-2</v>
      </c>
      <c r="D159" s="427">
        <f>(D95-'Hypothetical Res Bill Impact'!D87)/'Hypothetical Res Bill Impact'!D87</f>
        <v>4.3222987917731536E-3</v>
      </c>
      <c r="E159" s="427">
        <f>(E95-'Hypothetical Res Bill Impact'!E87)/'Hypothetical Res Bill Impact'!E87</f>
        <v>-3.4048060138811204E-2</v>
      </c>
      <c r="F159" s="427">
        <f>(F95-'Hypothetical Res Bill Impact'!F87)/'Hypothetical Res Bill Impact'!F87</f>
        <v>4.4320878261682201E-3</v>
      </c>
      <c r="G159" s="427">
        <f>(G95-'Hypothetical Res Bill Impact'!G87)/'Hypothetical Res Bill Impact'!G87</f>
        <v>-3.4048060138811204E-2</v>
      </c>
      <c r="H159" s="427">
        <f>(H95-'Hypothetical Res Bill Impact'!H87)/'Hypothetical Res Bill Impact'!H87</f>
        <v>4.4320878261682201E-3</v>
      </c>
      <c r="I159" s="427"/>
      <c r="J159" s="427"/>
      <c r="M159" s="6" t="s">
        <v>112</v>
      </c>
      <c r="N159" s="427">
        <f>(N95-'Hypothetical Res Bill Impact'!L87)/'Hypothetical Res Bill Impact'!L87</f>
        <v>-3.1606567530009511E-2</v>
      </c>
      <c r="O159" s="427">
        <f>(O95-'Hypothetical Res Bill Impact'!M87)/'Hypothetical Res Bill Impact'!M87</f>
        <v>4.3255788750538905E-3</v>
      </c>
      <c r="P159" s="427">
        <f>(P95-'Hypothetical Res Bill Impact'!N87)/'Hypothetical Res Bill Impact'!N87</f>
        <v>-3.2418724488206353E-2</v>
      </c>
      <c r="Q159" s="427">
        <f>(Q95-'Hypothetical Res Bill Impact'!O87)/'Hypothetical Res Bill Impact'!O87</f>
        <v>4.4354163067308362E-3</v>
      </c>
      <c r="R159" s="427">
        <f>(R95-'Hypothetical Res Bill Impact'!P87)/'Hypothetical Res Bill Impact'!P87</f>
        <v>-3.2418724488206353E-2</v>
      </c>
      <c r="S159" s="427">
        <f>(S95-'Hypothetical Res Bill Impact'!Q87)/'Hypothetical Res Bill Impact'!Q87</f>
        <v>4.4354163067308362E-3</v>
      </c>
      <c r="T159" s="427"/>
      <c r="U159" s="427"/>
    </row>
    <row r="160" spans="2:21">
      <c r="B160" s="7"/>
      <c r="M160" s="7"/>
    </row>
    <row r="161" spans="2:21" ht="15.75" thickBot="1">
      <c r="B161" s="7"/>
      <c r="M161" s="7"/>
    </row>
    <row r="162" spans="2:21" ht="15.75" thickBot="1">
      <c r="B162" s="755">
        <f>IF(Summary!$I$9="",400,Summary!$I$9)</f>
        <v>400</v>
      </c>
      <c r="C162" s="510" t="str">
        <f>C98</f>
        <v xml:space="preserve">Typical Monthly Usage Basic Bundled CARE Customer </v>
      </c>
      <c r="M162" s="755">
        <f>IF(Summary!$I$9="",400,Summary!$I$9)</f>
        <v>400</v>
      </c>
      <c r="N162" s="510" t="str">
        <f>N98</f>
        <v xml:space="preserve">Typical Monthly Usage All-Electric Bundled CARE Customer </v>
      </c>
    </row>
    <row r="163" spans="2:21">
      <c r="B163" s="7"/>
      <c r="M163" s="7"/>
    </row>
    <row r="164" spans="2:21">
      <c r="B164" s="7"/>
      <c r="M164" s="7"/>
    </row>
    <row r="165" spans="2:21">
      <c r="B165" s="138" t="s">
        <v>223</v>
      </c>
      <c r="C165" s="427">
        <f>(C101-'Hypothetical Res Bill Impact'!C93)/'Hypothetical Res Bill Impact'!C93</f>
        <v>-5.4586672626409122E-2</v>
      </c>
      <c r="D165" s="427">
        <f>(D101-'Hypothetical Res Bill Impact'!D93)/'Hypothetical Res Bill Impact'!D93</f>
        <v>-5.6379793148853396E-3</v>
      </c>
      <c r="E165" s="427">
        <f>(E101-'Hypothetical Res Bill Impact'!E93)/'Hypothetical Res Bill Impact'!E93</f>
        <v>-5.5973329171461285E-2</v>
      </c>
      <c r="F165" s="427">
        <f>(F101-'Hypothetical Res Bill Impact'!F93)/'Hypothetical Res Bill Impact'!F93</f>
        <v>-5.7850103660297561E-3</v>
      </c>
      <c r="G165" s="427">
        <f>(G101-'Hypothetical Res Bill Impact'!G93)/'Hypothetical Res Bill Impact'!G93</f>
        <v>-5.5973329171461285E-2</v>
      </c>
      <c r="H165" s="427">
        <f>(H101-'Hypothetical Res Bill Impact'!H93)/'Hypothetical Res Bill Impact'!H93</f>
        <v>-5.7850103660297561E-3</v>
      </c>
      <c r="I165" s="427"/>
      <c r="J165" s="427"/>
      <c r="M165" s="138" t="s">
        <v>223</v>
      </c>
      <c r="N165" s="427">
        <f>(N101-'Hypothetical Res Bill Impact'!L93)/'Hypothetical Res Bill Impact'!L93</f>
        <v>-5.0958351365861146E-2</v>
      </c>
      <c r="O165" s="427">
        <f>(O101-'Hypothetical Res Bill Impact'!M93)/'Hypothetical Res Bill Impact'!M93</f>
        <v>-5.5828797120382797E-3</v>
      </c>
      <c r="P165" s="427">
        <f>(P101-'Hypothetical Res Bill Impact'!N93)/'Hypothetical Res Bill Impact'!N93</f>
        <v>-5.2243550362437913E-2</v>
      </c>
      <c r="Q165" s="427">
        <f>(Q101-'Hypothetical Res Bill Impact'!O93)/'Hypothetical Res Bill Impact'!O93</f>
        <v>-5.7270731279332439E-3</v>
      </c>
      <c r="R165" s="427">
        <f>(R101-'Hypothetical Res Bill Impact'!P93)/'Hypothetical Res Bill Impact'!P93</f>
        <v>-5.2243550362437913E-2</v>
      </c>
      <c r="S165" s="427">
        <f>(S101-'Hypothetical Res Bill Impact'!Q93)/'Hypothetical Res Bill Impact'!Q93</f>
        <v>-5.7270731279332439E-3</v>
      </c>
      <c r="T165" s="427"/>
      <c r="U165" s="427"/>
    </row>
    <row r="166" spans="2:21">
      <c r="B166" s="141" t="s">
        <v>225</v>
      </c>
      <c r="C166" s="427">
        <f>(C102-'Hypothetical Res Bill Impact'!C94)/'Hypothetical Res Bill Impact'!C94</f>
        <v>-5.6279363418909052E-2</v>
      </c>
      <c r="D166" s="427">
        <f>(D102-'Hypothetical Res Bill Impact'!D94)/'Hypothetical Res Bill Impact'!D94</f>
        <v>-5.7842651462936424E-3</v>
      </c>
      <c r="E166" s="427">
        <f>(E102-'Hypothetical Res Bill Impact'!E94)/'Hypothetical Res Bill Impact'!E94</f>
        <v>-5.7713339008153709E-2</v>
      </c>
      <c r="F166" s="427">
        <f>(F102-'Hypothetical Res Bill Impact'!F94)/'Hypothetical Res Bill Impact'!F94</f>
        <v>-5.9388295061550264E-3</v>
      </c>
      <c r="G166" s="427">
        <f>(G102-'Hypothetical Res Bill Impact'!G94)/'Hypothetical Res Bill Impact'!G94</f>
        <v>-5.7713339008153709E-2</v>
      </c>
      <c r="H166" s="427">
        <f>(H102-'Hypothetical Res Bill Impact'!H94)/'Hypothetical Res Bill Impact'!H94</f>
        <v>-5.9388295061550264E-3</v>
      </c>
      <c r="I166" s="427"/>
      <c r="J166" s="427"/>
      <c r="M166" s="141" t="s">
        <v>225</v>
      </c>
      <c r="N166" s="427">
        <f>(N102-'Hypothetical Res Bill Impact'!L94)/'Hypothetical Res Bill Impact'!L94</f>
        <v>-5.6279363418909052E-2</v>
      </c>
      <c r="O166" s="427">
        <f>(O102-'Hypothetical Res Bill Impact'!M94)/'Hypothetical Res Bill Impact'!M94</f>
        <v>-5.7842651462936424E-3</v>
      </c>
      <c r="P166" s="427">
        <f>(P102-'Hypothetical Res Bill Impact'!N94)/'Hypothetical Res Bill Impact'!N94</f>
        <v>-5.7713339008153709E-2</v>
      </c>
      <c r="Q166" s="427">
        <f>(Q102-'Hypothetical Res Bill Impact'!O94)/'Hypothetical Res Bill Impact'!O94</f>
        <v>-5.9388295061550264E-3</v>
      </c>
      <c r="R166" s="427">
        <f>(R102-'Hypothetical Res Bill Impact'!P94)/'Hypothetical Res Bill Impact'!P94</f>
        <v>-5.7713339008153709E-2</v>
      </c>
      <c r="S166" s="427">
        <f>(S102-'Hypothetical Res Bill Impact'!Q94)/'Hypothetical Res Bill Impact'!Q94</f>
        <v>-5.9388295061550264E-3</v>
      </c>
      <c r="T166" s="427"/>
      <c r="U166" s="427"/>
    </row>
    <row r="167" spans="2:21">
      <c r="B167" s="141" t="s">
        <v>222</v>
      </c>
      <c r="C167" s="427">
        <f>(C103-'Hypothetical Res Bill Impact'!C95)/'Hypothetical Res Bill Impact'!C95</f>
        <v>-5.6279363418909052E-2</v>
      </c>
      <c r="D167" s="427">
        <f>(D103-'Hypothetical Res Bill Impact'!D95)/'Hypothetical Res Bill Impact'!D95</f>
        <v>-5.7842651462936424E-3</v>
      </c>
      <c r="E167" s="427">
        <f>(E103-'Hypothetical Res Bill Impact'!E95)/'Hypothetical Res Bill Impact'!E95</f>
        <v>-5.7713339008153709E-2</v>
      </c>
      <c r="F167" s="427">
        <f>(F103-'Hypothetical Res Bill Impact'!F95)/'Hypothetical Res Bill Impact'!F95</f>
        <v>-5.9388295061550264E-3</v>
      </c>
      <c r="G167" s="427">
        <f>(G103-'Hypothetical Res Bill Impact'!G95)/'Hypothetical Res Bill Impact'!G95</f>
        <v>-5.7713339008153709E-2</v>
      </c>
      <c r="H167" s="427">
        <f>(H103-'Hypothetical Res Bill Impact'!H95)/'Hypothetical Res Bill Impact'!H95</f>
        <v>-5.9388295061550264E-3</v>
      </c>
      <c r="I167" s="427"/>
      <c r="J167" s="427"/>
      <c r="M167" s="141" t="s">
        <v>222</v>
      </c>
      <c r="N167" s="427">
        <f>(N103-'Hypothetical Res Bill Impact'!L95)/'Hypothetical Res Bill Impact'!L95</f>
        <v>-5.6279363418909052E-2</v>
      </c>
      <c r="O167" s="427">
        <f>(O103-'Hypothetical Res Bill Impact'!M95)/'Hypothetical Res Bill Impact'!M95</f>
        <v>-5.7842651462936424E-3</v>
      </c>
      <c r="P167" s="427">
        <f>(P103-'Hypothetical Res Bill Impact'!N95)/'Hypothetical Res Bill Impact'!N95</f>
        <v>-5.7713339008153709E-2</v>
      </c>
      <c r="Q167" s="427">
        <f>(Q103-'Hypothetical Res Bill Impact'!O95)/'Hypothetical Res Bill Impact'!O95</f>
        <v>-5.9388295061550264E-3</v>
      </c>
      <c r="R167" s="427">
        <f>(R103-'Hypothetical Res Bill Impact'!P95)/'Hypothetical Res Bill Impact'!P95</f>
        <v>-5.7713339008153709E-2</v>
      </c>
      <c r="S167" s="427">
        <f>(S103-'Hypothetical Res Bill Impact'!Q95)/'Hypothetical Res Bill Impact'!Q95</f>
        <v>-5.9388295061550264E-3</v>
      </c>
      <c r="T167" s="427"/>
      <c r="U167" s="427"/>
    </row>
    <row r="168" spans="2:21">
      <c r="B168" s="144" t="s">
        <v>224</v>
      </c>
      <c r="C168" s="427">
        <f>(C104-'Hypothetical Res Bill Impact'!C96)/'Hypothetical Res Bill Impact'!C96</f>
        <v>-5.6279363418909052E-2</v>
      </c>
      <c r="D168" s="427">
        <f>(D104-'Hypothetical Res Bill Impact'!D96)/'Hypothetical Res Bill Impact'!D96</f>
        <v>-5.6906321777078148E-3</v>
      </c>
      <c r="E168" s="427">
        <f>(E104-'Hypothetical Res Bill Impact'!E96)/'Hypothetical Res Bill Impact'!E96</f>
        <v>-5.7713339008153709E-2</v>
      </c>
      <c r="F168" s="427">
        <f>(F104-'Hypothetical Res Bill Impact'!F96)/'Hypothetical Res Bill Impact'!F96</f>
        <v>-5.8403747745537525E-3</v>
      </c>
      <c r="G168" s="427">
        <f>(G104-'Hypothetical Res Bill Impact'!G96)/'Hypothetical Res Bill Impact'!G96</f>
        <v>-5.7713339008153709E-2</v>
      </c>
      <c r="H168" s="427">
        <f>(H104-'Hypothetical Res Bill Impact'!H96)/'Hypothetical Res Bill Impact'!H96</f>
        <v>-5.8403747745537525E-3</v>
      </c>
      <c r="I168" s="427"/>
      <c r="J168" s="427"/>
      <c r="M168" s="144" t="s">
        <v>224</v>
      </c>
      <c r="N168" s="427">
        <f>(N104-'Hypothetical Res Bill Impact'!L96)/'Hypothetical Res Bill Impact'!L96</f>
        <v>-5.4253659454050383E-2</v>
      </c>
      <c r="O168" s="427">
        <f>(O104-'Hypothetical Res Bill Impact'!M96)/'Hypothetical Res Bill Impact'!M96</f>
        <v>-5.7842651462936424E-3</v>
      </c>
      <c r="P168" s="427">
        <f>(P104-'Hypothetical Res Bill Impact'!N96)/'Hypothetical Res Bill Impact'!N96</f>
        <v>-5.563100565900634E-2</v>
      </c>
      <c r="Q168" s="427">
        <f>(Q104-'Hypothetical Res Bill Impact'!O96)/'Hypothetical Res Bill Impact'!O96</f>
        <v>-5.9388295061550264E-3</v>
      </c>
      <c r="R168" s="427">
        <f>(R104-'Hypothetical Res Bill Impact'!P96)/'Hypothetical Res Bill Impact'!P96</f>
        <v>-5.563100565900634E-2</v>
      </c>
      <c r="S168" s="427">
        <f>(S104-'Hypothetical Res Bill Impact'!Q96)/'Hypothetical Res Bill Impact'!Q96</f>
        <v>-5.9388295061550264E-3</v>
      </c>
      <c r="T168" s="427"/>
      <c r="U168" s="427"/>
    </row>
    <row r="169" spans="2:21">
      <c r="B169" s="6" t="s">
        <v>112</v>
      </c>
      <c r="C169" s="427">
        <f>(C105-'Hypothetical Res Bill Impact'!C97)/'Hypothetical Res Bill Impact'!C97</f>
        <v>-5.5419392534397337E-2</v>
      </c>
      <c r="D169" s="427">
        <f>(D105-'Hypothetical Res Bill Impact'!D97)/'Hypothetical Res Bill Impact'!D97</f>
        <v>-5.6650269153957298E-3</v>
      </c>
      <c r="E169" s="427">
        <f>(E105-'Hypothetical Res Bill Impact'!E97)/'Hypothetical Res Bill Impact'!E97</f>
        <v>-5.6829328744315483E-2</v>
      </c>
      <c r="F169" s="427">
        <f>(F105-'Hypothetical Res Bill Impact'!F97)/'Hypothetical Res Bill Impact'!F97</f>
        <v>-5.8134508885807111E-3</v>
      </c>
      <c r="G169" s="427">
        <f>(G105-'Hypothetical Res Bill Impact'!G97)/'Hypothetical Res Bill Impact'!G97</f>
        <v>-5.6829328744315483E-2</v>
      </c>
      <c r="H169" s="427">
        <f>(H105-'Hypothetical Res Bill Impact'!H97)/'Hypothetical Res Bill Impact'!H97</f>
        <v>-5.8134508885807111E-3</v>
      </c>
      <c r="I169" s="427"/>
      <c r="J169" s="427"/>
      <c r="M169" s="6" t="s">
        <v>112</v>
      </c>
      <c r="N169" s="427">
        <f>(N105-'Hypothetical Res Bill Impact'!L97)/'Hypothetical Res Bill Impact'!L97</f>
        <v>-5.2759303568682379E-2</v>
      </c>
      <c r="O169" s="427">
        <f>(O105-'Hypothetical Res Bill Impact'!M97)/'Hypothetical Res Bill Impact'!M97</f>
        <v>-5.6922678340482593E-3</v>
      </c>
      <c r="P169" s="427">
        <f>(P105-'Hypothetical Res Bill Impact'!N97)/'Hypothetical Res Bill Impact'!N97</f>
        <v>-5.4094866786564916E-2</v>
      </c>
      <c r="Q169" s="427">
        <f>(Q105-'Hypothetical Res Bill Impact'!O97)/'Hypothetical Res Bill Impact'!O97</f>
        <v>-5.8420946635257091E-3</v>
      </c>
      <c r="R169" s="427">
        <f>(R105-'Hypothetical Res Bill Impact'!P97)/'Hypothetical Res Bill Impact'!P97</f>
        <v>-5.4094866786564916E-2</v>
      </c>
      <c r="S169" s="427">
        <f>(S105-'Hypothetical Res Bill Impact'!Q97)/'Hypothetical Res Bill Impact'!Q97</f>
        <v>-5.8420946635257091E-3</v>
      </c>
      <c r="T169" s="427"/>
      <c r="U169" s="427"/>
    </row>
  </sheetData>
  <mergeCells count="48">
    <mergeCell ref="U24:V24"/>
    <mergeCell ref="U32:V32"/>
    <mergeCell ref="Q33:R33"/>
    <mergeCell ref="S33:T33"/>
    <mergeCell ref="I40:J40"/>
    <mergeCell ref="L40:M40"/>
    <mergeCell ref="Q40:R40"/>
    <mergeCell ref="T40:U40"/>
    <mergeCell ref="E99:F99"/>
    <mergeCell ref="G99:H99"/>
    <mergeCell ref="Q25:R25"/>
    <mergeCell ref="S25:T25"/>
    <mergeCell ref="C89:D89"/>
    <mergeCell ref="E89:F89"/>
    <mergeCell ref="G89:H89"/>
    <mergeCell ref="C98:H98"/>
    <mergeCell ref="N98:S98"/>
    <mergeCell ref="C79:D79"/>
    <mergeCell ref="E79:F79"/>
    <mergeCell ref="G79:H79"/>
    <mergeCell ref="C88:H88"/>
    <mergeCell ref="N88:S88"/>
    <mergeCell ref="C69:D69"/>
    <mergeCell ref="B2:D2"/>
    <mergeCell ref="E3:I3"/>
    <mergeCell ref="E69:F69"/>
    <mergeCell ref="G69:H69"/>
    <mergeCell ref="C78:H78"/>
    <mergeCell ref="C59:D59"/>
    <mergeCell ref="E59:F59"/>
    <mergeCell ref="G59:H59"/>
    <mergeCell ref="C68:H68"/>
    <mergeCell ref="P3:T3"/>
    <mergeCell ref="C113:D113"/>
    <mergeCell ref="E113:F113"/>
    <mergeCell ref="G113:H113"/>
    <mergeCell ref="I113:J113"/>
    <mergeCell ref="N113:O113"/>
    <mergeCell ref="P113:Q113"/>
    <mergeCell ref="R113:S113"/>
    <mergeCell ref="T113:U113"/>
    <mergeCell ref="B47:H47"/>
    <mergeCell ref="C49:D49"/>
    <mergeCell ref="E49:F49"/>
    <mergeCell ref="G49:H49"/>
    <mergeCell ref="N78:S78"/>
    <mergeCell ref="N68:S68"/>
    <mergeCell ref="C99:D99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611B6-392A-4CC6-9FF4-7D8D48F7E9FC}">
  <sheetPr>
    <tabColor rgb="FF92D050"/>
  </sheetPr>
  <dimension ref="A1:AC83"/>
  <sheetViews>
    <sheetView zoomScale="70" zoomScaleNormal="70" workbookViewId="0"/>
  </sheetViews>
  <sheetFormatPr defaultColWidth="8.85546875" defaultRowHeight="15"/>
  <cols>
    <col min="1" max="1" width="3.5703125" style="6" customWidth="1"/>
    <col min="2" max="2" width="19.42578125" style="6" customWidth="1"/>
    <col min="3" max="5" width="22.42578125" style="6" customWidth="1"/>
    <col min="6" max="6" width="20.85546875" style="6" customWidth="1"/>
    <col min="7" max="7" width="13.5703125" style="6" customWidth="1"/>
    <col min="8" max="8" width="14.140625" style="6" customWidth="1"/>
    <col min="9" max="9" width="13.5703125" style="6" customWidth="1"/>
    <col min="10" max="10" width="15.140625" style="6" customWidth="1"/>
    <col min="11" max="11" width="14.85546875" style="6" customWidth="1"/>
    <col min="12" max="14" width="15.42578125" style="6" customWidth="1"/>
    <col min="15" max="15" width="13" style="6" customWidth="1"/>
    <col min="16" max="16" width="17.140625" style="6" bestFit="1" customWidth="1"/>
    <col min="17" max="17" width="19.42578125" style="6" customWidth="1"/>
    <col min="18" max="18" width="13" style="6" customWidth="1"/>
    <col min="19" max="20" width="14" style="6" customWidth="1"/>
    <col min="21" max="21" width="15" style="6" customWidth="1"/>
    <col min="22" max="26" width="14.5703125" style="6" customWidth="1"/>
    <col min="27" max="27" width="20.140625" style="6" bestFit="1" customWidth="1"/>
    <col min="28" max="28" width="17.140625" style="6" bestFit="1" customWidth="1"/>
    <col min="29" max="16384" width="8.85546875" style="6"/>
  </cols>
  <sheetData>
    <row r="1" spans="1:27" s="170" customFormat="1" ht="25.5" customHeight="1">
      <c r="A1" s="384"/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5"/>
      <c r="AA1" s="385"/>
    </row>
    <row r="2" spans="1:27" ht="15.75">
      <c r="B2" s="78"/>
      <c r="C2" s="40"/>
      <c r="D2" s="40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</row>
    <row r="3" spans="1:27">
      <c r="B3" s="79"/>
      <c r="C3" s="41" t="s">
        <v>157</v>
      </c>
      <c r="D3" s="177"/>
      <c r="R3" s="81"/>
      <c r="S3" s="81"/>
      <c r="T3" s="81"/>
      <c r="U3" s="81"/>
      <c r="V3" s="81"/>
      <c r="W3" s="81"/>
      <c r="X3" s="81"/>
    </row>
    <row r="4" spans="1:27" ht="15.75">
      <c r="B4" s="184" t="s">
        <v>3</v>
      </c>
      <c r="C4" s="187">
        <f>'Hypothetical Summary'!D6</f>
        <v>0</v>
      </c>
      <c r="D4" s="1"/>
      <c r="G4" s="848" t="s">
        <v>159</v>
      </c>
      <c r="H4" s="849"/>
      <c r="I4" s="849"/>
      <c r="J4" s="849"/>
      <c r="K4" s="849"/>
      <c r="L4" s="849"/>
      <c r="M4" s="849"/>
      <c r="N4" s="849"/>
      <c r="O4" s="849"/>
      <c r="P4" s="849"/>
      <c r="Q4" s="849"/>
      <c r="R4" s="849"/>
      <c r="S4" s="849"/>
      <c r="T4" s="850"/>
      <c r="U4" s="41"/>
      <c r="V4" s="41"/>
      <c r="W4" s="41"/>
      <c r="X4" s="41"/>
      <c r="Y4" s="41"/>
      <c r="Z4" s="41"/>
      <c r="AA4" s="41"/>
    </row>
    <row r="5" spans="1:27" ht="31.5">
      <c r="B5" s="184" t="s">
        <v>372</v>
      </c>
      <c r="C5" s="187">
        <f>'Hypothetical Summary'!D7</f>
        <v>0</v>
      </c>
      <c r="D5" s="1"/>
      <c r="F5" s="1"/>
      <c r="G5" s="300" t="s">
        <v>3</v>
      </c>
      <c r="H5" s="84" t="s">
        <v>372</v>
      </c>
      <c r="I5" s="84" t="s">
        <v>59</v>
      </c>
      <c r="J5" s="84" t="s">
        <v>5</v>
      </c>
      <c r="K5" s="84" t="s">
        <v>98</v>
      </c>
      <c r="L5" s="84" t="s">
        <v>14</v>
      </c>
      <c r="M5" s="84" t="s">
        <v>80</v>
      </c>
      <c r="N5" s="84" t="s">
        <v>99</v>
      </c>
      <c r="O5" s="84" t="s">
        <v>97</v>
      </c>
      <c r="P5" s="84" t="s">
        <v>78</v>
      </c>
      <c r="Q5" s="84" t="s">
        <v>10</v>
      </c>
      <c r="R5" s="84" t="s">
        <v>221</v>
      </c>
      <c r="S5" s="84" t="s">
        <v>87</v>
      </c>
      <c r="T5" s="301" t="s">
        <v>251</v>
      </c>
    </row>
    <row r="6" spans="1:27" ht="15.75">
      <c r="B6" s="185" t="s">
        <v>59</v>
      </c>
      <c r="C6" s="187">
        <f>'Hypothetical Summary'!D8</f>
        <v>0</v>
      </c>
      <c r="D6" s="1"/>
      <c r="F6" s="1" t="s">
        <v>378</v>
      </c>
      <c r="G6" s="378">
        <f>'SAR and RAR (TOU-A)'!H6</f>
        <v>9.8976081918249942E-2</v>
      </c>
      <c r="H6" s="379">
        <f>'SAR and RAR (TOU-A)'!I6</f>
        <v>0.13851677628572273</v>
      </c>
      <c r="I6" s="379">
        <f>'SAR and RAR (TOU-A)'!J6</f>
        <v>8.557224030651249E-2</v>
      </c>
      <c r="J6" s="379">
        <f>'SAR and RAR (TOU-A)'!K6</f>
        <v>0.11910210032559836</v>
      </c>
      <c r="K6" s="379">
        <f>'SAR and RAR (TOU-A)'!L6</f>
        <v>6.2796313220630465E-2</v>
      </c>
      <c r="L6" s="379">
        <f>'SAR and RAR (TOU-A)'!M6</f>
        <v>9.3187706695315564E-2</v>
      </c>
      <c r="M6" s="379">
        <f>'SAR and RAR (TOU-A)'!N6</f>
        <v>8.8706999606321335E-2</v>
      </c>
      <c r="N6" s="379">
        <f>'SAR and RAR (TOU-A)'!O6</f>
        <v>0.10106825143001875</v>
      </c>
      <c r="O6" s="379">
        <f>'SAR and RAR (TOU-A)'!P6</f>
        <v>0</v>
      </c>
      <c r="P6" s="379">
        <f>'SAR and RAR (TOU-A)'!Q6</f>
        <v>0</v>
      </c>
      <c r="Q6" s="379">
        <f>'SAR and RAR (TOU-A)'!R6</f>
        <v>7.3002115917940216E-2</v>
      </c>
      <c r="R6" s="379">
        <f>'SAR and RAR (TOU-A)'!S6</f>
        <v>0.11293670736083332</v>
      </c>
      <c r="S6" s="379">
        <f>'SAR and RAR (TOU-A)'!T6</f>
        <v>9.7949746237437268E-2</v>
      </c>
      <c r="T6" s="380">
        <f>'SAR and RAR (TOU-A)'!U6</f>
        <v>9.7887065616048916E-2</v>
      </c>
    </row>
    <row r="7" spans="1:27" ht="15.75">
      <c r="B7" s="185" t="s">
        <v>5</v>
      </c>
      <c r="C7" s="187">
        <f>'Hypothetical Summary'!D9</f>
        <v>0</v>
      </c>
      <c r="D7" s="1"/>
      <c r="F7" s="1"/>
      <c r="G7" s="152"/>
      <c r="H7" s="152"/>
      <c r="I7" s="152"/>
      <c r="J7" s="152"/>
      <c r="K7" s="152"/>
      <c r="L7" s="152"/>
      <c r="M7" s="152"/>
      <c r="N7" s="152"/>
      <c r="O7" s="86"/>
      <c r="P7" s="86"/>
      <c r="Q7" s="86"/>
      <c r="R7" s="86"/>
      <c r="S7" s="86"/>
      <c r="T7" s="153"/>
    </row>
    <row r="8" spans="1:27" ht="15.6" customHeight="1">
      <c r="B8" s="185" t="s">
        <v>98</v>
      </c>
      <c r="C8" s="187"/>
      <c r="D8" s="1"/>
      <c r="F8" s="87"/>
      <c r="G8" s="848" t="s">
        <v>160</v>
      </c>
      <c r="H8" s="849"/>
      <c r="I8" s="849"/>
      <c r="J8" s="849"/>
      <c r="K8" s="849"/>
      <c r="L8" s="849"/>
      <c r="M8" s="849"/>
      <c r="N8" s="849"/>
      <c r="O8" s="849"/>
      <c r="P8" s="849"/>
      <c r="Q8" s="849"/>
      <c r="R8" s="849"/>
      <c r="S8" s="849"/>
      <c r="T8" s="850"/>
    </row>
    <row r="9" spans="1:27" ht="15.75" customHeight="1">
      <c r="B9" s="185" t="s">
        <v>14</v>
      </c>
      <c r="C9" s="187">
        <f>'Hypothetical Summary'!D11</f>
        <v>0</v>
      </c>
      <c r="D9" s="1"/>
      <c r="F9" s="88" t="s">
        <v>217</v>
      </c>
      <c r="G9" s="300" t="s">
        <v>3</v>
      </c>
      <c r="H9" s="84" t="s">
        <v>372</v>
      </c>
      <c r="I9" s="84" t="s">
        <v>59</v>
      </c>
      <c r="J9" s="84" t="s">
        <v>5</v>
      </c>
      <c r="K9" s="84" t="s">
        <v>98</v>
      </c>
      <c r="L9" s="84" t="s">
        <v>14</v>
      </c>
      <c r="M9" s="84" t="s">
        <v>80</v>
      </c>
      <c r="N9" s="84" t="s">
        <v>99</v>
      </c>
      <c r="O9" s="84" t="s">
        <v>97</v>
      </c>
      <c r="P9" s="84" t="s">
        <v>78</v>
      </c>
      <c r="Q9" s="84" t="s">
        <v>10</v>
      </c>
      <c r="R9" s="84" t="s">
        <v>221</v>
      </c>
      <c r="S9" s="84" t="s">
        <v>87</v>
      </c>
      <c r="T9" s="301" t="s">
        <v>251</v>
      </c>
    </row>
    <row r="10" spans="1:27" ht="15.75">
      <c r="B10" s="185" t="s">
        <v>80</v>
      </c>
      <c r="C10" s="187">
        <f>'Hypothetical Summary'!D12</f>
        <v>0</v>
      </c>
      <c r="D10" s="1"/>
      <c r="F10" s="1" t="s">
        <v>378</v>
      </c>
      <c r="G10" s="521">
        <f>G6*G11</f>
        <v>0</v>
      </c>
      <c r="H10" s="89">
        <f>H6*H11</f>
        <v>0</v>
      </c>
      <c r="I10" s="89">
        <f t="shared" ref="I10:T10" si="0">I6*I11</f>
        <v>0</v>
      </c>
      <c r="J10" s="89">
        <f>J6*J11</f>
        <v>0</v>
      </c>
      <c r="K10" s="89">
        <f t="shared" si="0"/>
        <v>0</v>
      </c>
      <c r="L10" s="89">
        <f t="shared" si="0"/>
        <v>0</v>
      </c>
      <c r="M10" s="89">
        <f t="shared" si="0"/>
        <v>0</v>
      </c>
      <c r="N10" s="89">
        <f t="shared" si="0"/>
        <v>0</v>
      </c>
      <c r="O10" s="89">
        <f t="shared" si="0"/>
        <v>0</v>
      </c>
      <c r="P10" s="89">
        <f t="shared" si="0"/>
        <v>0</v>
      </c>
      <c r="Q10" s="89">
        <f t="shared" si="0"/>
        <v>0</v>
      </c>
      <c r="R10" s="89">
        <f>R6*R11</f>
        <v>0</v>
      </c>
      <c r="S10" s="89">
        <f t="shared" si="0"/>
        <v>0</v>
      </c>
      <c r="T10" s="522">
        <f t="shared" si="0"/>
        <v>0</v>
      </c>
      <c r="U10" s="89">
        <f>SUM(G10:T10)</f>
        <v>0</v>
      </c>
      <c r="V10" s="174"/>
    </row>
    <row r="11" spans="1:27" ht="15.75">
      <c r="B11" s="186" t="s">
        <v>99</v>
      </c>
      <c r="C11" s="187">
        <f>'Hypothetical Summary'!D13</f>
        <v>0</v>
      </c>
      <c r="D11" s="1"/>
      <c r="F11" s="1" t="s">
        <v>161</v>
      </c>
      <c r="G11" s="517">
        <f>C4</f>
        <v>0</v>
      </c>
      <c r="H11" s="527">
        <f>C5</f>
        <v>0</v>
      </c>
      <c r="I11" s="527">
        <f>C6</f>
        <v>0</v>
      </c>
      <c r="J11" s="527">
        <f>C7</f>
        <v>0</v>
      </c>
      <c r="K11" s="527">
        <f>C8</f>
        <v>0</v>
      </c>
      <c r="L11" s="527">
        <f>C9</f>
        <v>0</v>
      </c>
      <c r="M11" s="527">
        <f>C10</f>
        <v>0</v>
      </c>
      <c r="N11" s="527">
        <f>C11</f>
        <v>0</v>
      </c>
      <c r="O11" s="527">
        <f>C12</f>
        <v>0</v>
      </c>
      <c r="P11" s="527">
        <f>C17</f>
        <v>0</v>
      </c>
      <c r="Q11" s="527">
        <f>C14</f>
        <v>0</v>
      </c>
      <c r="R11" s="527">
        <f>C16</f>
        <v>0</v>
      </c>
      <c r="S11" s="527">
        <f>C15</f>
        <v>0</v>
      </c>
      <c r="T11" s="519">
        <f>C13</f>
        <v>0</v>
      </c>
      <c r="U11" s="89">
        <f>SUM(G11:T11)</f>
        <v>0</v>
      </c>
      <c r="V11" s="173"/>
    </row>
    <row r="12" spans="1:27" ht="15.75">
      <c r="B12" s="185" t="s">
        <v>97</v>
      </c>
      <c r="C12" s="187">
        <f>'Hypothetical Summary'!D14</f>
        <v>0</v>
      </c>
      <c r="D12" s="1"/>
      <c r="F12" s="88"/>
      <c r="U12" s="89"/>
    </row>
    <row r="13" spans="1:27" ht="15.75" customHeight="1">
      <c r="B13" s="185" t="s">
        <v>251</v>
      </c>
      <c r="C13" s="187">
        <f>'Hypothetical Summary'!D15</f>
        <v>0</v>
      </c>
      <c r="D13" s="1"/>
      <c r="F13" s="1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174"/>
    </row>
    <row r="14" spans="1:27" ht="15.75" customHeight="1">
      <c r="B14" s="185" t="s">
        <v>10</v>
      </c>
      <c r="C14" s="187">
        <f>'Hypothetical Summary'!D16</f>
        <v>0</v>
      </c>
      <c r="D14" s="1"/>
      <c r="F14" s="1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89"/>
      <c r="V14" s="173"/>
    </row>
    <row r="15" spans="1:27" ht="15.75" customHeight="1">
      <c r="B15" s="185" t="s">
        <v>87</v>
      </c>
      <c r="C15" s="187">
        <f>'Hypothetical Summary'!D17</f>
        <v>0</v>
      </c>
      <c r="D15" s="1"/>
      <c r="F15" s="1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89"/>
      <c r="V15" s="173"/>
    </row>
    <row r="16" spans="1:27" ht="15.75">
      <c r="B16" s="185" t="s">
        <v>221</v>
      </c>
      <c r="C16" s="187">
        <f>'Hypothetical Summary'!D18</f>
        <v>0</v>
      </c>
      <c r="D16" s="1"/>
      <c r="F16" s="191"/>
      <c r="G16" s="39"/>
      <c r="H16" s="39"/>
      <c r="I16" s="39"/>
      <c r="J16" s="39"/>
      <c r="K16" s="87"/>
      <c r="Z16" s="1"/>
      <c r="AA16" s="92"/>
    </row>
    <row r="17" spans="2:29" ht="15.75">
      <c r="B17" s="185" t="s">
        <v>78</v>
      </c>
      <c r="C17" s="190">
        <f>'Hypothetical Summary'!D19</f>
        <v>0</v>
      </c>
      <c r="D17" s="1"/>
      <c r="G17" s="515"/>
      <c r="H17" s="516"/>
      <c r="I17" s="516"/>
      <c r="J17" s="516"/>
      <c r="K17" s="516"/>
      <c r="L17" s="516"/>
      <c r="M17" s="516"/>
      <c r="N17" s="516"/>
      <c r="O17" s="516"/>
      <c r="P17" s="516"/>
      <c r="Q17" s="516"/>
      <c r="R17" s="516"/>
      <c r="S17" s="516"/>
      <c r="T17" s="516"/>
      <c r="U17" s="851" t="s">
        <v>258</v>
      </c>
      <c r="V17" s="852"/>
      <c r="W17" s="851" t="s">
        <v>259</v>
      </c>
      <c r="X17" s="852"/>
      <c r="Z17" s="352"/>
      <c r="AA17" s="353"/>
      <c r="AC17" s="167"/>
    </row>
    <row r="18" spans="2:29" ht="15.75">
      <c r="B18" s="1" t="s">
        <v>112</v>
      </c>
      <c r="C18" s="187">
        <f>SUM(C4:C17)</f>
        <v>0</v>
      </c>
      <c r="D18" s="1"/>
      <c r="F18" s="87"/>
      <c r="G18" s="853" t="s">
        <v>164</v>
      </c>
      <c r="H18" s="855"/>
      <c r="I18" s="855"/>
      <c r="J18" s="855"/>
      <c r="K18" s="855"/>
      <c r="L18" s="855"/>
      <c r="M18" s="855"/>
      <c r="N18" s="855"/>
      <c r="O18" s="855"/>
      <c r="P18" s="855"/>
      <c r="Q18" s="855"/>
      <c r="R18" s="855"/>
      <c r="S18" s="855"/>
      <c r="T18" s="854"/>
      <c r="U18" s="853" t="s">
        <v>165</v>
      </c>
      <c r="V18" s="854"/>
      <c r="W18" s="853" t="s">
        <v>165</v>
      </c>
      <c r="X18" s="854"/>
      <c r="Z18" s="352"/>
      <c r="AA18" s="353"/>
    </row>
    <row r="19" spans="2:29" ht="31.5">
      <c r="B19" s="2"/>
      <c r="C19" s="2"/>
      <c r="D19" s="1"/>
      <c r="E19" s="87"/>
      <c r="G19" s="300" t="s">
        <v>3</v>
      </c>
      <c r="H19" s="84" t="s">
        <v>372</v>
      </c>
      <c r="I19" s="84" t="s">
        <v>59</v>
      </c>
      <c r="J19" s="84" t="s">
        <v>5</v>
      </c>
      <c r="K19" s="84" t="s">
        <v>98</v>
      </c>
      <c r="L19" s="84" t="s">
        <v>14</v>
      </c>
      <c r="M19" s="84" t="s">
        <v>80</v>
      </c>
      <c r="N19" s="84" t="s">
        <v>99</v>
      </c>
      <c r="O19" s="84" t="s">
        <v>97</v>
      </c>
      <c r="P19" s="84" t="s">
        <v>78</v>
      </c>
      <c r="Q19" s="84" t="s">
        <v>10</v>
      </c>
      <c r="R19" s="84" t="s">
        <v>221</v>
      </c>
      <c r="S19" s="84" t="s">
        <v>87</v>
      </c>
      <c r="T19" s="84" t="s">
        <v>251</v>
      </c>
      <c r="U19" s="94" t="s">
        <v>112</v>
      </c>
      <c r="V19" s="20"/>
      <c r="W19" s="94" t="s">
        <v>112</v>
      </c>
      <c r="X19" s="528"/>
      <c r="Z19" s="352"/>
      <c r="AA19" s="353"/>
      <c r="AC19" s="98"/>
    </row>
    <row r="20" spans="2:29" ht="15.75">
      <c r="B20" s="2" t="s">
        <v>245</v>
      </c>
      <c r="C20" s="224">
        <f>'SAR and RAR (TOU-A)'!C20</f>
        <v>1E-3</v>
      </c>
      <c r="D20" s="224"/>
      <c r="F20" s="1" t="s">
        <v>378</v>
      </c>
      <c r="G20" s="512">
        <v>1</v>
      </c>
      <c r="H20" s="513">
        <v>0</v>
      </c>
      <c r="I20" s="513">
        <v>1</v>
      </c>
      <c r="J20" s="513">
        <v>1</v>
      </c>
      <c r="K20" s="513">
        <v>1</v>
      </c>
      <c r="L20" s="513">
        <v>1</v>
      </c>
      <c r="M20" s="513">
        <v>1</v>
      </c>
      <c r="N20" s="513">
        <v>1</v>
      </c>
      <c r="O20" s="513">
        <v>1</v>
      </c>
      <c r="P20" s="513">
        <v>1</v>
      </c>
      <c r="Q20" s="513">
        <v>1</v>
      </c>
      <c r="R20" s="513">
        <v>1</v>
      </c>
      <c r="S20" s="513">
        <v>1</v>
      </c>
      <c r="T20" s="513">
        <v>0</v>
      </c>
      <c r="U20" s="95">
        <f>SUMPRODUCT(I10:S10,I20:S20)</f>
        <v>0</v>
      </c>
      <c r="V20" s="99"/>
      <c r="W20" s="95">
        <f>SUMPRODUCT(G10,G20)</f>
        <v>0</v>
      </c>
      <c r="X20" s="524"/>
      <c r="Z20" s="352"/>
      <c r="AA20" s="89"/>
    </row>
    <row r="21" spans="2:29" ht="15.75">
      <c r="B21" s="2"/>
      <c r="C21" s="2"/>
      <c r="D21" s="1"/>
      <c r="F21" s="1" t="s">
        <v>161</v>
      </c>
      <c r="G21" s="378">
        <v>1</v>
      </c>
      <c r="H21" s="379">
        <v>0</v>
      </c>
      <c r="I21" s="379">
        <v>1</v>
      </c>
      <c r="J21" s="379">
        <v>1</v>
      </c>
      <c r="K21" s="379">
        <v>1</v>
      </c>
      <c r="L21" s="379">
        <v>1</v>
      </c>
      <c r="M21" s="379">
        <v>1</v>
      </c>
      <c r="N21" s="379">
        <v>1</v>
      </c>
      <c r="O21" s="379">
        <v>1</v>
      </c>
      <c r="P21" s="379">
        <v>1</v>
      </c>
      <c r="Q21" s="379">
        <v>1</v>
      </c>
      <c r="R21" s="379">
        <v>1</v>
      </c>
      <c r="S21" s="379">
        <v>1</v>
      </c>
      <c r="T21" s="379">
        <v>0</v>
      </c>
      <c r="U21" s="517">
        <f>SUMPRODUCT(I11:S11,I21:S21)</f>
        <v>0</v>
      </c>
      <c r="V21" s="518"/>
      <c r="W21" s="517">
        <f>SUMPRODUCT(G11,G21)</f>
        <v>0</v>
      </c>
      <c r="X21" s="526"/>
      <c r="Z21" s="352"/>
      <c r="AA21" s="353"/>
      <c r="AC21" s="1"/>
    </row>
    <row r="22" spans="2:29" ht="15.75">
      <c r="B22" s="2"/>
      <c r="C22" s="792" t="str">
        <f>'SAR and RAR'!C23</f>
        <v>2026 SALES DETERMINANTS</v>
      </c>
      <c r="D22" s="869"/>
      <c r="E22" s="793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T22" s="1"/>
      <c r="U22" s="108"/>
      <c r="V22" s="1"/>
      <c r="Y22" s="352"/>
      <c r="Z22" s="99"/>
      <c r="AB22" s="168"/>
    </row>
    <row r="23" spans="2:29" ht="31.5">
      <c r="B23" s="1"/>
      <c r="C23" s="83" t="s">
        <v>333</v>
      </c>
      <c r="D23" s="83" t="s">
        <v>334</v>
      </c>
      <c r="E23" s="83" t="s">
        <v>335</v>
      </c>
      <c r="F23" s="41"/>
      <c r="T23" s="83"/>
      <c r="U23" s="1"/>
      <c r="Z23" s="100"/>
    </row>
    <row r="24" spans="2:29" ht="15.75">
      <c r="B24" s="106" t="s">
        <v>378</v>
      </c>
      <c r="C24" s="226">
        <f>'SAR and RAR (TOU-A)'!C25</f>
        <v>1785282.6652098768</v>
      </c>
      <c r="D24" s="226">
        <f>'SAR and RAR (TOU-A)'!D25</f>
        <v>1813227.9387441275</v>
      </c>
      <c r="E24" s="4">
        <f>'SAR and RAR (TOU-A)'!E25</f>
        <v>344525.3993103329</v>
      </c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93"/>
      <c r="U24" s="193"/>
      <c r="V24" s="1"/>
      <c r="W24" s="1"/>
      <c r="Y24" s="1"/>
      <c r="Z24" s="1"/>
    </row>
    <row r="25" spans="2:29" ht="15.75">
      <c r="B25" s="106" t="s">
        <v>161</v>
      </c>
      <c r="C25" s="226">
        <f>'SAR and RAR (TOU-A)'!C26</f>
        <v>17431428.836032141</v>
      </c>
      <c r="D25" s="226">
        <f>'SAR and RAR (TOU-A)'!D26</f>
        <v>19476455.216977414</v>
      </c>
      <c r="E25" s="4">
        <f>'SAR and RAR (TOU-A)'!E26</f>
        <v>3218717.0926473755</v>
      </c>
      <c r="F25" s="20"/>
      <c r="G25" s="101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193"/>
      <c r="U25" s="193"/>
      <c r="V25" s="102"/>
      <c r="W25" s="102"/>
      <c r="Y25" s="1"/>
      <c r="Z25" s="1"/>
    </row>
    <row r="26" spans="2:29" ht="15.75">
      <c r="B26" s="2"/>
      <c r="C26" s="2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103"/>
      <c r="U26" s="104"/>
      <c r="V26" s="104"/>
      <c r="W26" s="104"/>
      <c r="Y26" s="1"/>
      <c r="Z26" s="1"/>
    </row>
    <row r="27" spans="2:29" ht="15.75">
      <c r="B27" s="2"/>
      <c r="C27" s="2"/>
      <c r="D27" s="1"/>
      <c r="E27" s="1"/>
      <c r="F27" s="840" t="s">
        <v>168</v>
      </c>
      <c r="G27" s="841"/>
      <c r="H27" s="841"/>
      <c r="I27" s="842"/>
      <c r="J27" s="2"/>
      <c r="K27" s="2"/>
      <c r="O27" s="1"/>
      <c r="P27" s="840" t="s">
        <v>169</v>
      </c>
      <c r="Q27" s="841"/>
      <c r="R27" s="841"/>
      <c r="S27" s="841"/>
      <c r="T27" s="842"/>
      <c r="U27" s="194"/>
      <c r="V27" s="52"/>
      <c r="W27" s="399" t="str">
        <f>'SAR and RAR (TOU-A)'!AC23</f>
        <v>6/1/2026</v>
      </c>
      <c r="X27" s="399" t="str">
        <f>'SAR and RAR (TOU-A)'!AD23</f>
        <v>8/1/2026</v>
      </c>
      <c r="Y27" s="399" t="str">
        <f>'SAR and RAR (TOU-A)'!AE23</f>
        <v>6/1/2026</v>
      </c>
      <c r="Z27" s="399" t="str">
        <f>'SAR and RAR (TOU-A)'!AF23</f>
        <v>8/1/2026</v>
      </c>
      <c r="AA27" s="1"/>
      <c r="AB27" s="1"/>
    </row>
    <row r="28" spans="2:29" ht="63">
      <c r="B28" s="2"/>
      <c r="C28" s="2"/>
      <c r="D28" s="1"/>
      <c r="E28" s="1"/>
      <c r="F28" s="83" t="str">
        <f>Summary!I3&amp;" Authorized Sales Forecast - Bundled"</f>
        <v>2027 Authorized Sales Forecast - Bundled</v>
      </c>
      <c r="G28" s="83" t="str">
        <f>'SAR and RAR'!H23</f>
        <v>8/1/2026 Avg Rates(sales adj.)</v>
      </c>
      <c r="H28" s="83" t="s">
        <v>218</v>
      </c>
      <c r="I28" s="83" t="s">
        <v>219</v>
      </c>
      <c r="J28" s="83"/>
      <c r="K28" s="83"/>
      <c r="O28" s="1"/>
      <c r="P28" s="83" t="str">
        <f>F28</f>
        <v>2027 Authorized Sales Forecast - Bundled</v>
      </c>
      <c r="Q28" s="83" t="str">
        <f>G28</f>
        <v>8/1/2026 Avg Rates(sales adj.)</v>
      </c>
      <c r="R28" s="83" t="s">
        <v>218</v>
      </c>
      <c r="S28" s="83" t="s">
        <v>219</v>
      </c>
      <c r="U28" s="83"/>
      <c r="V28" s="52"/>
      <c r="W28" s="791" t="s">
        <v>421</v>
      </c>
      <c r="X28" s="791"/>
      <c r="Y28" s="791" t="s">
        <v>420</v>
      </c>
      <c r="Z28" s="791"/>
      <c r="AA28" s="1"/>
      <c r="AB28" s="1"/>
    </row>
    <row r="29" spans="2:29" ht="15.75">
      <c r="B29" s="2"/>
      <c r="C29" s="2"/>
      <c r="D29" s="1"/>
      <c r="E29" s="1"/>
      <c r="F29" s="226">
        <f>'SAR and RAR (TOU-A)'!G24</f>
        <v>335262.7827021245</v>
      </c>
      <c r="G29" s="747">
        <f>IF('Hypothetical Summary'!$H$8="N",Z30,X30)</f>
        <v>39.977999999999994</v>
      </c>
      <c r="H29" s="435">
        <f>IF('Hypothetical Summary'!$I$7="Y",(SUM($I10:$K10,$P10:$Q10,$S10)/(IF('Hypothetical Summary'!$D$2=2026,$C24,$C34))*100)+(SUM($K10:$O10,$R10)/(IF('Hypothetical Summary'!$D$2=2026,$D24,$D34))*100)+($G10/(IF('Hypothetical Summary'!$D$2=2026,$E24,$E34))*100),(SUM($I10:$K10,$P10:$Q10,$S10)/(IF('Hypothetical Summary'!$D$2=2026,$C24,$C34))*100)+(SUM($K10:$O10,$R10)/(IF('Hypothetical Summary'!$D$2=2026,$D24,$D34))*100)+($G10/(IF('Hypothetical Summary'!$D$2=2026,$E24,$E34))*100))+G29</f>
        <v>39.977999999999994</v>
      </c>
      <c r="I29" s="408">
        <f>H29/G29-1</f>
        <v>0</v>
      </c>
      <c r="J29" s="107"/>
      <c r="K29" s="107"/>
      <c r="O29" s="106" t="s">
        <v>378</v>
      </c>
      <c r="P29" s="97">
        <f>'SAR and RAR (TOU-A)'!R24</f>
        <v>1716028.948759289</v>
      </c>
      <c r="Q29" s="748">
        <f>(('SDG&amp;E INPUTS'!L43*$T$6)/($C24-$E24)*100)+(('SDG&amp;E INPUTS'!L42*$H$6)/($C24-$E24)*100)+G29</f>
        <v>42.231384788503121</v>
      </c>
      <c r="R29" s="435">
        <f>H29+($Q29-$G29)+($T10/((IF('Hypothetical Summary'!$D$2=2026,$C24,$C34))-(IF('Hypothetical Summary'!$D$2=2026,$E24,$E34)))*100)+($H10/((IF('Hypothetical Summary'!$D$2=2026,$C24,$C34))-(IF('Hypothetical Summary'!$D$2=2026,$E24,$E34)))*100)</f>
        <v>42.231384788503121</v>
      </c>
      <c r="S29" s="408">
        <f>R29/Q29-1</f>
        <v>0</v>
      </c>
      <c r="U29" s="107"/>
      <c r="V29" s="52" t="s">
        <v>335</v>
      </c>
      <c r="W29" s="52"/>
      <c r="X29" s="52"/>
      <c r="Y29" s="52"/>
      <c r="Z29" s="52"/>
    </row>
    <row r="30" spans="2:29" ht="15.75">
      <c r="B30" s="2"/>
      <c r="C30" s="2"/>
      <c r="D30" s="1"/>
      <c r="E30" s="1"/>
      <c r="F30" s="226">
        <f>'SAR and RAR (TOU-A)'!G25</f>
        <v>3056061.0825226498</v>
      </c>
      <c r="G30" s="747">
        <f>IF('Hypothetical Summary'!$H$8="N",Z31,X31)</f>
        <v>39.259</v>
      </c>
      <c r="H30" s="435">
        <f>IF('Hypothetical Summary'!$I$7="Y",(SUM($I11:$K11,$P11:$Q11,$S11)/(IF('Hypothetical Summary'!$D$2=2026,$C25,$C35))*100)+(SUM($K11:$O11,$R11)/(IF('Hypothetical Summary'!$D$2=2026,$D25,$D35))*100)+($G11/(IF('Hypothetical Summary'!$D$2=2026,$E25,$E35))*100),(SUM($I11:$J11,$P11:$Q11,$S11)/(IF('Hypothetical Summary'!$D$2=2026,$C25,$C35))*100)+(SUM($K11:$O11,$R11)/(IF('Hypothetical Summary'!$D$2=2026,$D25,$D35))*100)+($G11/(IF('Hypothetical Summary'!$D$2=2026,$E25,$E35))*100))+G30</f>
        <v>39.259</v>
      </c>
      <c r="I30" s="408">
        <f>H30/G30-1</f>
        <v>0</v>
      </c>
      <c r="J30" s="107"/>
      <c r="K30" s="107"/>
      <c r="O30" s="106" t="s">
        <v>161</v>
      </c>
      <c r="P30" s="97">
        <f>'SAR and RAR (TOU-A)'!R25</f>
        <v>17519483.354244851</v>
      </c>
      <c r="Q30" s="748">
        <f>('SDG&amp;E INPUTS'!L41/($C25-$E25)*100)+G30</f>
        <v>41.591672408872029</v>
      </c>
      <c r="R30" s="435">
        <f>H30+($Q30-$G30)+($T11/((IF('Hypothetical Summary'!$D$2=2026,$C25,$C35))-(IF('Hypothetical Summary'!$D$2=2026,$E25,$E35)))*100)+($H11/((IF('Hypothetical Summary'!$D$2=2026,$C25,$C35))-(IF('Hypothetical Summary'!$D$2=2026,$E25,$E35)))*100)</f>
        <v>41.591672408872029</v>
      </c>
      <c r="S30" s="408">
        <f>R30/Q30-1</f>
        <v>0</v>
      </c>
      <c r="U30" s="107"/>
      <c r="V30" s="52" t="s">
        <v>378</v>
      </c>
      <c r="W30" s="400">
        <f>'SAR and RAR (TOU-A)'!AC26</f>
        <v>39.82</v>
      </c>
      <c r="X30" s="400">
        <f>'SAR and RAR (TOU-A)'!AD26</f>
        <v>39.977999999999994</v>
      </c>
      <c r="Y30" s="400">
        <f>'SAR and RAR (TOU-A)'!AE26</f>
        <v>40.344999999999999</v>
      </c>
      <c r="Z30" s="400">
        <f>'SAR and RAR (TOU-A)'!AF26</f>
        <v>40.503</v>
      </c>
    </row>
    <row r="31" spans="2:29" ht="15.75">
      <c r="B31" s="2"/>
      <c r="C31" s="2"/>
      <c r="D31" s="1"/>
      <c r="E31" s="1"/>
      <c r="H31" s="98"/>
      <c r="R31" s="1"/>
      <c r="S31" s="1"/>
      <c r="T31" s="103"/>
      <c r="U31" s="104"/>
      <c r="V31" s="52" t="s">
        <v>161</v>
      </c>
      <c r="W31" s="400">
        <f>'SAR and RAR (TOU-A)'!AC27</f>
        <v>38.957000000000001</v>
      </c>
      <c r="X31" s="400">
        <f>'SAR and RAR (TOU-A)'!AD27</f>
        <v>39.259</v>
      </c>
      <c r="Y31" s="400">
        <f>'SAR and RAR (TOU-A)'!AE27</f>
        <v>39.811999999999998</v>
      </c>
      <c r="Z31" s="400">
        <f>'SAR and RAR (TOU-A)'!AF27</f>
        <v>40.114000000000004</v>
      </c>
    </row>
    <row r="32" spans="2:29" ht="15.75">
      <c r="C32" s="792" t="str">
        <f>'SAR and RAR'!C36</f>
        <v>2027 ERRA FORECAST</v>
      </c>
      <c r="D32" s="869"/>
      <c r="E32" s="793"/>
      <c r="R32" s="1"/>
      <c r="S32" s="1"/>
      <c r="T32" s="103"/>
      <c r="U32" s="104"/>
      <c r="V32" s="103"/>
      <c r="W32" s="109"/>
      <c r="X32" s="109"/>
    </row>
    <row r="33" spans="2:25" ht="31.5">
      <c r="B33" s="1"/>
      <c r="C33" s="83" t="s">
        <v>333</v>
      </c>
      <c r="D33" s="83" t="s">
        <v>334</v>
      </c>
      <c r="E33" s="83" t="s">
        <v>335</v>
      </c>
      <c r="F33" s="271"/>
      <c r="G33" s="271"/>
      <c r="H33" s="271"/>
      <c r="I33" s="20"/>
      <c r="J33" s="20"/>
      <c r="K33" s="20"/>
      <c r="L33" s="1"/>
      <c r="M33" s="1"/>
      <c r="N33" s="1"/>
      <c r="O33" s="1"/>
      <c r="P33" s="1"/>
      <c r="Q33" s="1"/>
      <c r="R33" s="1"/>
      <c r="S33" s="1"/>
      <c r="T33" s="103"/>
      <c r="U33" s="104"/>
      <c r="V33" s="103"/>
      <c r="W33" s="109"/>
      <c r="X33" s="109"/>
      <c r="Y33" s="105"/>
    </row>
    <row r="34" spans="2:25" ht="15.75">
      <c r="B34" s="106" t="s">
        <v>378</v>
      </c>
      <c r="C34" s="293">
        <f>'SAR and RAR (TOU-A)'!C38</f>
        <v>1716028.948759289</v>
      </c>
      <c r="D34" s="293">
        <f>'SAR and RAR (TOU-A)'!D38</f>
        <v>1742979.4407214243</v>
      </c>
      <c r="E34" s="4">
        <f>'SAR and RAR (TOU-A)'!E38</f>
        <v>335262.7827021245</v>
      </c>
      <c r="F34" s="83"/>
      <c r="G34" s="83"/>
      <c r="H34" s="297"/>
      <c r="I34" s="20"/>
      <c r="J34" s="20"/>
      <c r="K34" s="20"/>
      <c r="L34" s="1"/>
      <c r="M34" s="1"/>
      <c r="N34" s="1"/>
      <c r="O34" s="1"/>
      <c r="P34" s="1"/>
      <c r="Q34" s="1"/>
      <c r="R34" s="1"/>
      <c r="S34" s="1"/>
      <c r="T34" s="103"/>
      <c r="U34" s="104"/>
      <c r="V34" s="103"/>
      <c r="W34" s="105"/>
      <c r="X34" s="109"/>
      <c r="Y34" s="105"/>
    </row>
    <row r="35" spans="2:25" ht="15.75">
      <c r="B35" s="106" t="s">
        <v>161</v>
      </c>
      <c r="C35" s="293">
        <f>'SAR and RAR (TOU-A)'!C39</f>
        <v>17519483.354244851</v>
      </c>
      <c r="D35" s="293">
        <f>'SAR and RAR (TOU-A)'!D39</f>
        <v>19648724.998666488</v>
      </c>
      <c r="E35" s="4">
        <f>'SAR and RAR (TOU-A)'!E39</f>
        <v>3056061.0825226498</v>
      </c>
      <c r="F35" s="3"/>
      <c r="G35" s="4"/>
      <c r="H35" s="5"/>
      <c r="I35" s="20"/>
      <c r="J35" s="20"/>
      <c r="K35" s="20"/>
      <c r="L35" s="1"/>
      <c r="M35" s="1"/>
      <c r="N35" s="1"/>
      <c r="O35" s="1"/>
      <c r="P35" s="1"/>
      <c r="Q35" s="1"/>
      <c r="R35" s="1"/>
      <c r="S35" s="1"/>
      <c r="T35" s="103"/>
      <c r="U35" s="104"/>
      <c r="V35" s="104"/>
      <c r="W35" s="102"/>
      <c r="X35" s="109"/>
      <c r="Y35" s="105"/>
    </row>
    <row r="36" spans="2:25" ht="15.75">
      <c r="E36" s="1"/>
      <c r="F36" s="3"/>
      <c r="G36" s="4"/>
      <c r="H36" s="5"/>
      <c r="I36" s="20"/>
      <c r="J36" s="20"/>
      <c r="K36" s="20"/>
      <c r="L36" s="1"/>
      <c r="M36" s="1"/>
      <c r="N36" s="1"/>
      <c r="O36" s="1"/>
      <c r="P36" s="1"/>
      <c r="Q36" s="1"/>
      <c r="R36" s="1"/>
      <c r="S36" s="1"/>
      <c r="T36" s="103"/>
      <c r="U36" s="104"/>
      <c r="V36" s="103"/>
      <c r="W36" s="105"/>
      <c r="X36" s="109"/>
      <c r="Y36" s="109"/>
    </row>
    <row r="37" spans="2:25" ht="15.75">
      <c r="E37" s="1"/>
      <c r="F37" s="3"/>
      <c r="G37" s="4"/>
      <c r="H37" s="5"/>
      <c r="I37" s="20"/>
      <c r="J37" s="20"/>
      <c r="K37" s="20"/>
      <c r="L37" s="1"/>
      <c r="M37" s="1"/>
      <c r="N37" s="1"/>
      <c r="O37" s="1"/>
      <c r="P37" s="1"/>
      <c r="Q37" s="1"/>
      <c r="R37" s="1"/>
      <c r="S37" s="1"/>
      <c r="T37" s="103"/>
      <c r="U37" s="104"/>
      <c r="V37" s="104"/>
      <c r="W37" s="104"/>
      <c r="X37" s="104"/>
      <c r="Y37" s="105"/>
    </row>
    <row r="38" spans="2:25" ht="15.75">
      <c r="E38" s="1"/>
      <c r="F38" s="3"/>
      <c r="G38" s="4"/>
      <c r="H38" s="5"/>
      <c r="I38" s="20"/>
      <c r="J38" s="20"/>
      <c r="K38" s="20"/>
      <c r="L38" s="1"/>
      <c r="M38" s="1"/>
      <c r="N38" s="1"/>
      <c r="O38" s="1"/>
      <c r="P38" s="1"/>
      <c r="Q38" s="1"/>
      <c r="R38" s="1"/>
      <c r="S38" s="1"/>
      <c r="T38" s="103"/>
      <c r="U38" s="843"/>
      <c r="V38" s="843"/>
      <c r="W38" s="104"/>
      <c r="X38" s="109"/>
      <c r="Y38" s="104"/>
    </row>
    <row r="39" spans="2:25" ht="15.75">
      <c r="B39" s="2"/>
      <c r="C39" s="2"/>
      <c r="E39" s="1"/>
      <c r="F39" s="3"/>
      <c r="G39" s="4"/>
      <c r="H39" s="5"/>
      <c r="I39" s="20"/>
      <c r="J39" s="20"/>
      <c r="K39" s="20"/>
      <c r="L39" s="1"/>
      <c r="M39" s="1"/>
      <c r="N39" s="1"/>
      <c r="O39" s="1"/>
      <c r="P39" s="1"/>
      <c r="Q39" s="1"/>
      <c r="R39" s="1"/>
      <c r="S39" s="1"/>
      <c r="T39" s="103"/>
      <c r="U39" s="104"/>
      <c r="V39" s="103"/>
      <c r="W39" s="109"/>
      <c r="X39" s="105"/>
      <c r="Y39" s="105"/>
    </row>
    <row r="40" spans="2:25" ht="15.75">
      <c r="B40" s="2"/>
      <c r="C40" s="2"/>
      <c r="E40" s="1"/>
      <c r="F40" s="3"/>
      <c r="G40" s="4"/>
      <c r="H40" s="5"/>
      <c r="I40" s="20"/>
      <c r="J40" s="20"/>
      <c r="K40" s="20"/>
      <c r="L40" s="1"/>
      <c r="M40" s="1"/>
      <c r="N40" s="1"/>
      <c r="O40" s="1"/>
      <c r="P40" s="1"/>
      <c r="Q40" s="1"/>
      <c r="R40" s="1"/>
      <c r="S40" s="1"/>
      <c r="T40" s="103"/>
      <c r="U40" s="104"/>
      <c r="V40" s="103"/>
      <c r="W40" s="109"/>
      <c r="X40" s="109"/>
      <c r="Y40" s="105"/>
    </row>
    <row r="41" spans="2:25" ht="15.75">
      <c r="B41" s="2"/>
      <c r="C41" s="2"/>
      <c r="E41" s="1"/>
      <c r="F41" s="3"/>
      <c r="G41" s="4"/>
      <c r="H41" s="5"/>
      <c r="I41" s="20"/>
      <c r="J41" s="20"/>
      <c r="K41" s="20"/>
      <c r="L41" s="1"/>
      <c r="M41" s="1"/>
      <c r="N41" s="1"/>
      <c r="O41" s="1"/>
      <c r="P41" s="1"/>
      <c r="Q41" s="1"/>
      <c r="R41" s="1"/>
      <c r="S41" s="1"/>
      <c r="T41" s="103"/>
      <c r="U41" s="104"/>
      <c r="V41" s="103"/>
      <c r="W41" s="109"/>
      <c r="X41" s="109"/>
      <c r="Y41" s="109"/>
    </row>
    <row r="42" spans="2:25" ht="15.75">
      <c r="B42" s="2"/>
      <c r="C42" s="2"/>
      <c r="D42" s="1"/>
      <c r="E42" s="1"/>
      <c r="F42" s="20"/>
      <c r="G42" s="20"/>
      <c r="H42" s="20"/>
      <c r="I42" s="20"/>
      <c r="J42" s="20"/>
      <c r="K42" s="20"/>
      <c r="L42" s="1"/>
      <c r="M42" s="1"/>
      <c r="N42" s="1"/>
      <c r="O42" s="1"/>
      <c r="P42" s="1"/>
      <c r="Q42" s="1"/>
      <c r="R42" s="1"/>
      <c r="S42" s="1"/>
      <c r="T42" s="103"/>
      <c r="U42" s="104"/>
      <c r="V42" s="103"/>
      <c r="W42" s="109"/>
      <c r="X42" s="105"/>
      <c r="Y42" s="105"/>
    </row>
    <row r="43" spans="2:25" ht="15.75">
      <c r="B43" s="2"/>
      <c r="C43" s="2"/>
      <c r="D43" s="1"/>
      <c r="E43" s="1"/>
      <c r="F43" s="20"/>
      <c r="G43" s="20"/>
      <c r="H43" s="20"/>
      <c r="I43" s="20"/>
      <c r="J43" s="20"/>
      <c r="K43" s="20"/>
      <c r="L43" s="1"/>
      <c r="M43" s="1"/>
      <c r="N43" s="1"/>
      <c r="O43" s="1"/>
      <c r="P43" s="1"/>
      <c r="Q43" s="1"/>
      <c r="R43" s="1"/>
      <c r="S43" s="1"/>
      <c r="T43" s="103"/>
      <c r="U43" s="104"/>
      <c r="V43" s="103"/>
      <c r="W43" s="109"/>
      <c r="X43" s="102"/>
      <c r="Y43" s="105"/>
    </row>
    <row r="44" spans="2:25" ht="15.75">
      <c r="B44" s="2"/>
      <c r="C44" s="2"/>
      <c r="D44" s="1"/>
      <c r="E44" s="1"/>
      <c r="F44" s="20"/>
      <c r="G44" s="20"/>
      <c r="H44" s="20"/>
      <c r="I44" s="20"/>
      <c r="J44" s="20"/>
      <c r="K44" s="20"/>
      <c r="L44" s="1"/>
      <c r="M44" s="1"/>
      <c r="N44" s="1"/>
      <c r="O44" s="1"/>
      <c r="P44" s="1"/>
      <c r="Q44" s="1"/>
      <c r="R44" s="1"/>
      <c r="S44" s="1"/>
      <c r="T44" s="103"/>
      <c r="U44" s="104"/>
      <c r="V44" s="103"/>
      <c r="W44" s="109"/>
      <c r="X44" s="105"/>
      <c r="Y44" s="102"/>
    </row>
    <row r="45" spans="2:25" ht="15.75">
      <c r="B45" s="2"/>
      <c r="C45" s="2"/>
      <c r="D45" s="1"/>
      <c r="E45" s="1"/>
      <c r="F45" s="20"/>
      <c r="G45" s="20"/>
      <c r="H45" s="20"/>
      <c r="I45" s="20"/>
      <c r="J45" s="20"/>
      <c r="K45" s="20"/>
      <c r="L45" s="1"/>
      <c r="M45" s="1"/>
      <c r="N45" s="1"/>
      <c r="O45" s="1"/>
      <c r="P45" s="1"/>
      <c r="Q45" s="1"/>
      <c r="R45" s="1"/>
      <c r="S45" s="1"/>
      <c r="T45" s="103"/>
      <c r="U45" s="104"/>
      <c r="V45" s="104"/>
      <c r="W45" s="102"/>
      <c r="X45" s="104"/>
      <c r="Y45" s="105"/>
    </row>
    <row r="46" spans="2:25" ht="15.75">
      <c r="B46" s="2"/>
      <c r="C46" s="2"/>
      <c r="D46" s="1"/>
      <c r="E46" s="1"/>
      <c r="F46" s="20"/>
      <c r="G46" s="20"/>
      <c r="H46" s="20"/>
      <c r="I46" s="20"/>
      <c r="J46" s="20"/>
      <c r="K46" s="20"/>
      <c r="L46" s="1"/>
      <c r="M46" s="1"/>
      <c r="N46" s="1"/>
      <c r="O46" s="1"/>
      <c r="P46" s="1"/>
      <c r="Q46" s="1"/>
      <c r="R46" s="1"/>
      <c r="S46" s="1"/>
      <c r="T46" s="103"/>
      <c r="U46" s="104"/>
      <c r="V46" s="103"/>
      <c r="W46" s="109"/>
      <c r="X46" s="104"/>
      <c r="Y46" s="104"/>
    </row>
    <row r="47" spans="2:25" ht="15.75">
      <c r="B47" s="2"/>
      <c r="C47" s="2"/>
      <c r="D47" s="1"/>
      <c r="E47" s="1"/>
      <c r="F47" s="20"/>
      <c r="G47" s="20"/>
      <c r="H47" s="20"/>
      <c r="I47" s="20"/>
      <c r="J47" s="20"/>
      <c r="K47" s="20"/>
      <c r="L47" s="1"/>
      <c r="M47" s="1"/>
      <c r="N47" s="1"/>
      <c r="O47" s="1"/>
      <c r="P47" s="1"/>
      <c r="Q47" s="1"/>
      <c r="R47" s="1"/>
      <c r="S47" s="1"/>
      <c r="T47" s="103"/>
      <c r="U47" s="104"/>
      <c r="V47" s="104"/>
      <c r="W47" s="104"/>
      <c r="X47" s="105"/>
      <c r="Y47" s="104"/>
    </row>
    <row r="48" spans="2:25" ht="15.75">
      <c r="B48" s="2"/>
      <c r="C48" s="2"/>
      <c r="D48" s="1"/>
      <c r="E48" s="1"/>
      <c r="F48" s="20"/>
      <c r="G48" s="20"/>
      <c r="H48" s="20"/>
      <c r="I48" s="20"/>
      <c r="J48" s="20"/>
      <c r="K48" s="20"/>
      <c r="L48" s="1"/>
      <c r="M48" s="1"/>
      <c r="N48" s="1"/>
      <c r="O48" s="1"/>
      <c r="P48" s="1"/>
      <c r="Q48" s="1"/>
      <c r="R48" s="1"/>
      <c r="S48" s="1"/>
      <c r="T48" s="103"/>
      <c r="U48" s="843"/>
      <c r="V48" s="843"/>
      <c r="W48" s="104"/>
      <c r="X48" s="105"/>
      <c r="Y48" s="105"/>
    </row>
    <row r="49" spans="2:25" ht="15.75">
      <c r="B49" s="2"/>
      <c r="C49" s="2"/>
      <c r="D49" s="1"/>
      <c r="E49" s="1"/>
      <c r="F49" s="20"/>
      <c r="G49" s="20"/>
      <c r="H49" s="20"/>
      <c r="I49" s="20"/>
      <c r="J49" s="20"/>
      <c r="K49" s="20"/>
      <c r="L49" s="1"/>
      <c r="M49" s="1"/>
      <c r="N49" s="1"/>
      <c r="O49" s="1"/>
      <c r="P49" s="1"/>
      <c r="Q49" s="1"/>
      <c r="R49" s="1"/>
      <c r="S49" s="1"/>
      <c r="T49" s="103"/>
      <c r="U49" s="104"/>
      <c r="V49" s="103"/>
      <c r="W49" s="109"/>
      <c r="X49" s="105"/>
      <c r="Y49" s="105"/>
    </row>
    <row r="50" spans="2:25" ht="15.75">
      <c r="B50" s="2"/>
      <c r="C50" s="2"/>
      <c r="D50" s="1"/>
      <c r="E50" s="1"/>
      <c r="F50" s="20"/>
      <c r="G50" s="20"/>
      <c r="H50" s="20"/>
      <c r="I50" s="20"/>
      <c r="J50" s="20"/>
      <c r="K50" s="20"/>
      <c r="L50" s="1"/>
      <c r="M50" s="1"/>
      <c r="N50" s="1"/>
      <c r="O50" s="1"/>
      <c r="P50" s="1"/>
      <c r="Q50" s="1"/>
      <c r="R50" s="1"/>
      <c r="S50" s="1"/>
      <c r="T50" s="103"/>
      <c r="U50" s="104"/>
      <c r="V50" s="103"/>
      <c r="W50" s="109"/>
      <c r="X50" s="109"/>
      <c r="Y50" s="105"/>
    </row>
    <row r="51" spans="2:25" ht="15.75">
      <c r="B51" s="2"/>
      <c r="C51" s="2"/>
      <c r="D51" s="1"/>
      <c r="E51" s="1"/>
      <c r="F51" s="20"/>
      <c r="G51" s="20"/>
      <c r="H51" s="20"/>
      <c r="I51" s="20"/>
      <c r="J51" s="20"/>
      <c r="K51" s="20"/>
      <c r="L51" s="1"/>
      <c r="M51" s="1"/>
      <c r="N51" s="1"/>
      <c r="O51" s="1"/>
      <c r="P51" s="1"/>
      <c r="Q51" s="1"/>
      <c r="R51" s="1"/>
      <c r="S51" s="1"/>
      <c r="T51" s="103"/>
      <c r="U51" s="104"/>
      <c r="V51" s="104"/>
      <c r="W51" s="102"/>
      <c r="X51" s="109"/>
      <c r="Y51" s="105"/>
    </row>
    <row r="52" spans="2:25" ht="15.75">
      <c r="B52" s="2"/>
      <c r="C52" s="2"/>
      <c r="D52" s="1"/>
      <c r="E52" s="1"/>
      <c r="F52" s="20"/>
      <c r="G52" s="20"/>
      <c r="H52" s="20"/>
      <c r="I52" s="20"/>
      <c r="J52" s="20"/>
      <c r="K52" s="20"/>
      <c r="L52" s="1"/>
      <c r="M52" s="1"/>
      <c r="N52" s="1"/>
      <c r="O52" s="1"/>
      <c r="P52" s="1"/>
      <c r="Q52" s="1"/>
      <c r="R52" s="1"/>
      <c r="S52" s="1"/>
      <c r="T52" s="103"/>
      <c r="U52" s="104"/>
      <c r="V52" s="103"/>
      <c r="W52" s="109"/>
      <c r="X52" s="105"/>
      <c r="Y52" s="105"/>
    </row>
    <row r="53" spans="2:25" ht="15.75">
      <c r="B53" s="2"/>
      <c r="C53" s="2"/>
      <c r="D53" s="1"/>
      <c r="E53" s="1"/>
      <c r="F53" s="20"/>
      <c r="G53" s="20"/>
      <c r="H53" s="20"/>
      <c r="I53" s="20"/>
      <c r="J53" s="20"/>
      <c r="K53" s="20"/>
      <c r="L53" s="1"/>
      <c r="M53" s="1"/>
      <c r="N53" s="1"/>
      <c r="O53" s="1"/>
      <c r="P53" s="1"/>
      <c r="Q53" s="1"/>
      <c r="R53" s="1"/>
      <c r="S53" s="1"/>
      <c r="T53" s="103"/>
      <c r="U53" s="104"/>
      <c r="V53" s="104"/>
      <c r="W53" s="104"/>
      <c r="X53" s="102"/>
      <c r="Y53" s="105"/>
    </row>
    <row r="54" spans="2:25" ht="15.75">
      <c r="B54" s="2"/>
      <c r="C54" s="2"/>
      <c r="D54" s="1"/>
      <c r="E54" s="1"/>
      <c r="F54" s="20"/>
      <c r="G54" s="20"/>
      <c r="H54" s="20"/>
      <c r="I54" s="20"/>
      <c r="J54" s="20"/>
      <c r="K54" s="20"/>
      <c r="L54" s="1"/>
      <c r="M54" s="1"/>
      <c r="N54" s="1"/>
      <c r="O54" s="1"/>
      <c r="P54" s="1"/>
      <c r="Q54" s="1"/>
      <c r="R54" s="1"/>
      <c r="S54" s="1"/>
      <c r="T54" s="103"/>
      <c r="U54" s="843"/>
      <c r="V54" s="843"/>
      <c r="W54" s="104"/>
      <c r="X54" s="105"/>
      <c r="Y54" s="102"/>
    </row>
    <row r="55" spans="2:25" ht="15.75">
      <c r="B55" s="1"/>
      <c r="C55" s="1"/>
      <c r="D55" s="1"/>
      <c r="E55" s="1"/>
      <c r="F55" s="20"/>
      <c r="G55" s="20"/>
      <c r="H55" s="20"/>
      <c r="I55" s="20"/>
      <c r="J55" s="20"/>
      <c r="K55" s="20"/>
      <c r="L55" s="1"/>
      <c r="M55" s="1"/>
      <c r="N55" s="1"/>
      <c r="O55" s="1"/>
      <c r="P55" s="1"/>
      <c r="Q55" s="1"/>
      <c r="R55" s="1"/>
      <c r="S55" s="1"/>
      <c r="T55" s="103"/>
      <c r="U55" s="104"/>
      <c r="V55" s="103"/>
      <c r="W55" s="109"/>
      <c r="X55" s="104"/>
      <c r="Y55" s="105"/>
    </row>
    <row r="56" spans="2:25" ht="15.75">
      <c r="B56" s="1"/>
      <c r="C56" s="1"/>
      <c r="D56" s="1"/>
      <c r="E56" s="1"/>
      <c r="F56" s="20"/>
      <c r="G56" s="20"/>
      <c r="H56" s="20"/>
      <c r="I56" s="20"/>
      <c r="J56" s="20"/>
      <c r="K56" s="20"/>
      <c r="L56" s="1"/>
      <c r="M56" s="1"/>
      <c r="N56" s="1"/>
      <c r="O56" s="1"/>
      <c r="P56" s="1"/>
      <c r="Q56" s="1"/>
      <c r="R56" s="1"/>
      <c r="S56" s="1"/>
      <c r="T56" s="103"/>
      <c r="U56" s="104"/>
      <c r="V56" s="103"/>
      <c r="W56" s="109"/>
      <c r="X56" s="104"/>
      <c r="Y56" s="104"/>
    </row>
    <row r="57" spans="2:25" ht="15.75">
      <c r="B57" s="1"/>
      <c r="C57" s="1"/>
      <c r="D57" s="1"/>
      <c r="E57" s="1"/>
      <c r="F57" s="20"/>
      <c r="G57" s="20"/>
      <c r="H57" s="20"/>
      <c r="I57" s="20"/>
      <c r="J57" s="20"/>
      <c r="K57" s="20"/>
      <c r="L57" s="1"/>
      <c r="M57" s="1"/>
      <c r="N57" s="1"/>
      <c r="O57" s="1"/>
      <c r="P57" s="1"/>
      <c r="Q57" s="1"/>
      <c r="R57" s="1"/>
      <c r="S57" s="1"/>
      <c r="T57" s="103"/>
      <c r="U57" s="104"/>
      <c r="V57" s="103"/>
      <c r="W57" s="105"/>
      <c r="X57" s="109"/>
      <c r="Y57" s="104"/>
    </row>
    <row r="58" spans="2:25" ht="15.75">
      <c r="B58" s="1"/>
      <c r="C58" s="1"/>
      <c r="D58" s="1"/>
      <c r="E58" s="1"/>
      <c r="F58" s="20"/>
      <c r="G58" s="20"/>
      <c r="H58" s="20"/>
      <c r="I58" s="20"/>
      <c r="J58" s="20"/>
      <c r="K58" s="20"/>
      <c r="L58" s="1"/>
      <c r="M58" s="1"/>
      <c r="N58" s="1"/>
      <c r="O58" s="1"/>
      <c r="P58" s="1"/>
      <c r="Q58" s="1"/>
      <c r="R58" s="1"/>
      <c r="S58" s="1"/>
      <c r="T58" s="103"/>
      <c r="U58" s="104"/>
      <c r="V58" s="103"/>
      <c r="W58" s="109"/>
      <c r="X58" s="109"/>
      <c r="Y58" s="105"/>
    </row>
    <row r="59" spans="2:25" ht="15.75">
      <c r="B59" s="1"/>
      <c r="C59" s="1"/>
      <c r="D59" s="1"/>
      <c r="E59" s="1"/>
      <c r="F59" s="20"/>
      <c r="G59" s="20"/>
      <c r="H59" s="20"/>
      <c r="I59" s="20"/>
      <c r="J59" s="20"/>
      <c r="K59" s="20"/>
      <c r="L59" s="1"/>
      <c r="M59" s="1"/>
      <c r="N59" s="1"/>
      <c r="O59" s="1"/>
      <c r="P59" s="1"/>
      <c r="Q59" s="1"/>
      <c r="R59" s="1"/>
      <c r="S59" s="1"/>
      <c r="T59" s="103"/>
      <c r="U59" s="104"/>
      <c r="V59" s="103"/>
      <c r="W59" s="109"/>
      <c r="X59" s="102"/>
      <c r="Y59" s="105"/>
    </row>
    <row r="60" spans="2:25" ht="15.75">
      <c r="B60" s="1"/>
      <c r="C60" s="1"/>
      <c r="D60" s="1"/>
      <c r="E60" s="1"/>
      <c r="F60" s="20"/>
      <c r="G60" s="20"/>
      <c r="H60" s="20"/>
      <c r="I60" s="20"/>
      <c r="J60" s="20"/>
      <c r="K60" s="20"/>
      <c r="L60" s="1"/>
      <c r="M60" s="1"/>
      <c r="N60" s="1"/>
      <c r="O60" s="1"/>
      <c r="P60" s="1"/>
      <c r="Q60" s="1"/>
      <c r="R60" s="1"/>
      <c r="S60" s="1"/>
      <c r="T60" s="103"/>
      <c r="U60" s="104"/>
      <c r="V60" s="104"/>
      <c r="W60" s="102"/>
      <c r="X60" s="109"/>
      <c r="Y60" s="102"/>
    </row>
    <row r="61" spans="2:25" ht="15.75">
      <c r="B61" s="1"/>
      <c r="C61" s="1"/>
      <c r="D61" s="1"/>
      <c r="E61" s="1"/>
      <c r="F61" s="20"/>
      <c r="G61" s="20"/>
      <c r="H61" s="20"/>
      <c r="I61" s="20"/>
      <c r="J61" s="20"/>
      <c r="K61" s="20"/>
      <c r="L61" s="1"/>
      <c r="M61" s="1"/>
      <c r="N61" s="1"/>
      <c r="O61" s="1"/>
      <c r="P61" s="1"/>
      <c r="Q61" s="1"/>
      <c r="R61" s="1"/>
      <c r="S61" s="1"/>
      <c r="T61" s="103"/>
      <c r="U61" s="104"/>
      <c r="V61" s="103"/>
      <c r="W61" s="105"/>
      <c r="X61" s="104"/>
      <c r="Y61" s="105"/>
    </row>
    <row r="62" spans="2:25" ht="15.75">
      <c r="B62" s="1"/>
      <c r="C62" s="1"/>
      <c r="D62" s="1"/>
      <c r="E62" s="1"/>
      <c r="F62" s="20"/>
      <c r="G62" s="20"/>
      <c r="H62" s="20"/>
      <c r="I62" s="20"/>
      <c r="J62" s="20"/>
      <c r="K62" s="20"/>
      <c r="L62" s="1"/>
      <c r="M62" s="1"/>
      <c r="N62" s="1"/>
      <c r="O62" s="1"/>
      <c r="P62" s="1"/>
      <c r="Q62" s="1"/>
      <c r="R62" s="1"/>
      <c r="S62" s="1"/>
      <c r="T62" s="103"/>
      <c r="U62" s="104"/>
      <c r="V62" s="104"/>
      <c r="W62" s="104"/>
      <c r="X62" s="104"/>
      <c r="Y62" s="104"/>
    </row>
    <row r="63" spans="2:25" ht="15.75">
      <c r="B63" s="1"/>
      <c r="C63" s="1"/>
      <c r="D63" s="1"/>
      <c r="E63" s="1"/>
      <c r="F63" s="20"/>
      <c r="G63" s="20"/>
      <c r="H63" s="20"/>
      <c r="I63" s="20"/>
      <c r="J63" s="20"/>
      <c r="K63" s="20"/>
      <c r="L63" s="1"/>
      <c r="M63" s="1"/>
      <c r="N63" s="1"/>
      <c r="O63" s="1"/>
      <c r="P63" s="1"/>
      <c r="Q63" s="1"/>
      <c r="R63" s="1"/>
      <c r="S63" s="1"/>
      <c r="T63" s="103"/>
      <c r="U63" s="104"/>
      <c r="V63" s="104"/>
      <c r="W63" s="104"/>
      <c r="X63" s="109"/>
      <c r="Y63" s="104"/>
    </row>
    <row r="64" spans="2:25" ht="15.75">
      <c r="B64" s="1"/>
      <c r="C64" s="1"/>
      <c r="D64" s="1"/>
      <c r="E64" s="1"/>
      <c r="F64" s="20"/>
      <c r="G64" s="20"/>
      <c r="H64" s="20"/>
      <c r="I64" s="20"/>
      <c r="J64" s="20"/>
      <c r="K64" s="20"/>
      <c r="L64" s="1"/>
      <c r="M64" s="1"/>
      <c r="N64" s="1"/>
      <c r="O64" s="1"/>
      <c r="P64" s="1"/>
      <c r="Q64" s="1"/>
      <c r="R64" s="1"/>
      <c r="S64" s="1"/>
      <c r="T64" s="103"/>
      <c r="U64" s="104"/>
      <c r="V64" s="103"/>
      <c r="W64" s="105"/>
      <c r="X64" s="109"/>
      <c r="Y64" s="105"/>
    </row>
    <row r="65" spans="2:25" ht="15.75">
      <c r="B65" s="1"/>
      <c r="C65" s="1"/>
      <c r="D65" s="1"/>
      <c r="E65" s="1"/>
      <c r="F65" s="20"/>
      <c r="G65" s="20"/>
      <c r="H65" s="20"/>
      <c r="I65" s="20"/>
      <c r="J65" s="20"/>
      <c r="K65" s="20"/>
      <c r="L65" s="1"/>
      <c r="M65" s="1"/>
      <c r="N65" s="1"/>
      <c r="O65" s="1"/>
      <c r="P65" s="1"/>
      <c r="Q65" s="1"/>
      <c r="R65" s="1"/>
      <c r="S65" s="1"/>
      <c r="T65" s="103"/>
      <c r="U65" s="104"/>
      <c r="V65" s="104"/>
      <c r="W65" s="102"/>
      <c r="X65" s="109"/>
      <c r="Y65" s="105"/>
    </row>
    <row r="66" spans="2:25" ht="15.75">
      <c r="B66" s="1"/>
      <c r="C66" s="1"/>
      <c r="D66" s="1"/>
      <c r="E66" s="1"/>
      <c r="F66" s="20"/>
      <c r="G66" s="20"/>
      <c r="H66" s="20"/>
      <c r="I66" s="20"/>
      <c r="J66" s="20"/>
      <c r="K66" s="20"/>
      <c r="L66" s="1"/>
      <c r="M66" s="1"/>
      <c r="N66" s="1"/>
      <c r="O66" s="1"/>
      <c r="P66" s="1"/>
      <c r="Q66" s="1"/>
      <c r="R66" s="1"/>
      <c r="S66" s="1"/>
      <c r="T66" s="103"/>
      <c r="U66" s="843"/>
      <c r="V66" s="843"/>
      <c r="W66" s="104"/>
      <c r="X66" s="109"/>
      <c r="Y66" s="105"/>
    </row>
    <row r="67" spans="2:25" ht="15.75">
      <c r="B67" s="1"/>
      <c r="C67" s="1"/>
      <c r="D67" s="1"/>
      <c r="E67" s="1"/>
      <c r="F67" s="20"/>
      <c r="G67" s="20"/>
      <c r="H67" s="20"/>
      <c r="I67" s="20"/>
      <c r="J67" s="20"/>
      <c r="K67" s="20"/>
      <c r="L67" s="1"/>
      <c r="M67" s="1"/>
      <c r="N67" s="1"/>
      <c r="O67" s="1"/>
      <c r="P67" s="1"/>
      <c r="Q67" s="1"/>
      <c r="R67" s="1"/>
      <c r="S67" s="1"/>
      <c r="T67" s="103"/>
      <c r="U67" s="104"/>
      <c r="V67" s="104"/>
      <c r="W67" s="104"/>
      <c r="X67" s="109"/>
      <c r="Y67" s="109"/>
    </row>
    <row r="68" spans="2:25" ht="15.75">
      <c r="B68" s="1"/>
      <c r="C68" s="1"/>
      <c r="D68" s="1"/>
      <c r="E68" s="1"/>
      <c r="F68" s="20"/>
      <c r="G68" s="20"/>
      <c r="H68" s="20"/>
      <c r="I68" s="20"/>
      <c r="J68" s="20"/>
      <c r="K68" s="20"/>
      <c r="L68" s="1"/>
      <c r="M68" s="1"/>
      <c r="N68" s="1"/>
      <c r="O68" s="1"/>
      <c r="P68" s="1"/>
      <c r="Q68" s="1"/>
      <c r="R68" s="1"/>
      <c r="S68" s="1"/>
      <c r="T68" s="103"/>
      <c r="U68" s="104"/>
      <c r="V68" s="103"/>
      <c r="W68" s="104"/>
      <c r="X68" s="102"/>
      <c r="Y68" s="109"/>
    </row>
    <row r="69" spans="2:25" ht="15.75">
      <c r="B69" s="1"/>
      <c r="C69" s="1"/>
      <c r="D69" s="1"/>
      <c r="E69" s="1"/>
      <c r="F69" s="20"/>
      <c r="G69" s="20"/>
      <c r="H69" s="20"/>
      <c r="I69" s="20"/>
      <c r="J69" s="20"/>
      <c r="K69" s="20"/>
      <c r="L69" s="1"/>
      <c r="M69" s="1"/>
      <c r="N69" s="1"/>
      <c r="O69" s="1"/>
      <c r="P69" s="1"/>
      <c r="Q69" s="1"/>
      <c r="R69" s="1"/>
      <c r="S69" s="1"/>
      <c r="T69" s="103"/>
      <c r="U69" s="104"/>
      <c r="V69" s="104"/>
      <c r="W69" s="102"/>
      <c r="X69" s="109"/>
      <c r="Y69" s="102"/>
    </row>
    <row r="70" spans="2:25" ht="15.75">
      <c r="B70" s="1"/>
      <c r="C70" s="1"/>
      <c r="D70" s="1"/>
      <c r="E70" s="1"/>
      <c r="F70" s="20"/>
      <c r="G70" s="20"/>
      <c r="H70" s="20"/>
      <c r="I70" s="20"/>
      <c r="J70" s="20"/>
      <c r="K70" s="20"/>
      <c r="L70" s="1"/>
      <c r="M70" s="1"/>
      <c r="N70" s="1"/>
      <c r="O70" s="1"/>
      <c r="P70" s="1"/>
      <c r="Q70" s="1"/>
      <c r="R70" s="1"/>
      <c r="S70" s="1"/>
      <c r="T70" s="103"/>
      <c r="U70" s="104"/>
      <c r="V70" s="103"/>
      <c r="W70" s="104"/>
      <c r="X70" s="104"/>
      <c r="Y70" s="105"/>
    </row>
    <row r="71" spans="2:25" ht="15.75">
      <c r="B71" s="1"/>
      <c r="C71" s="1"/>
      <c r="D71" s="1"/>
      <c r="E71" s="1"/>
      <c r="F71" s="20"/>
      <c r="G71" s="20"/>
      <c r="H71" s="20"/>
      <c r="I71" s="20"/>
      <c r="J71" s="20"/>
      <c r="K71" s="20"/>
      <c r="L71" s="1"/>
      <c r="M71" s="1"/>
      <c r="N71" s="1"/>
      <c r="O71" s="1"/>
      <c r="P71" s="1"/>
      <c r="Q71" s="1"/>
      <c r="R71" s="1"/>
      <c r="S71" s="1"/>
      <c r="T71" s="103"/>
      <c r="U71" s="104"/>
      <c r="V71" s="104"/>
      <c r="W71" s="104"/>
      <c r="X71" s="104"/>
      <c r="Y71" s="104"/>
    </row>
    <row r="72" spans="2:25" ht="15.75">
      <c r="B72" s="1"/>
      <c r="C72" s="1"/>
      <c r="D72" s="1"/>
      <c r="E72" s="1"/>
      <c r="F72" s="20"/>
      <c r="G72" s="20"/>
      <c r="H72" s="20"/>
      <c r="I72" s="20"/>
      <c r="J72" s="20"/>
      <c r="K72" s="20"/>
      <c r="L72" s="1"/>
      <c r="M72" s="1"/>
      <c r="N72" s="1"/>
      <c r="O72" s="1"/>
      <c r="P72" s="1"/>
      <c r="Q72" s="1"/>
      <c r="R72" s="1"/>
      <c r="S72" s="1"/>
      <c r="T72" s="103"/>
      <c r="U72" s="104"/>
      <c r="V72" s="104"/>
      <c r="W72" s="102"/>
      <c r="X72" s="105"/>
      <c r="Y72" s="104"/>
    </row>
    <row r="73" spans="2:25" ht="15.75">
      <c r="B73" s="1"/>
      <c r="C73" s="1"/>
      <c r="D73" s="1"/>
      <c r="E73" s="1"/>
      <c r="F73" s="20"/>
      <c r="G73" s="20"/>
      <c r="H73" s="20"/>
      <c r="I73" s="20"/>
      <c r="J73" s="20"/>
      <c r="K73" s="20"/>
      <c r="L73" s="1"/>
      <c r="M73" s="1"/>
      <c r="N73" s="1"/>
      <c r="O73" s="1"/>
      <c r="P73" s="1"/>
      <c r="Q73" s="1"/>
      <c r="R73" s="1"/>
      <c r="S73" s="1"/>
      <c r="T73" s="103"/>
      <c r="U73" s="843"/>
      <c r="V73" s="843"/>
      <c r="W73" s="105"/>
      <c r="X73" s="102"/>
      <c r="Y73" s="105"/>
    </row>
    <row r="74" spans="2:25" ht="15.75">
      <c r="B74" s="1"/>
      <c r="C74" s="1"/>
      <c r="D74" s="1"/>
      <c r="E74" s="1"/>
      <c r="F74" s="20"/>
      <c r="G74" s="20"/>
      <c r="H74" s="20"/>
      <c r="I74" s="20"/>
      <c r="J74" s="20"/>
      <c r="K74" s="20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04"/>
      <c r="Y74" s="102"/>
    </row>
    <row r="75" spans="2:25" ht="15.75">
      <c r="B75" s="1"/>
      <c r="C75" s="1"/>
      <c r="D75" s="1"/>
      <c r="X75" s="104"/>
      <c r="Y75" s="104"/>
    </row>
    <row r="76" spans="2:25" ht="15.75">
      <c r="B76" s="1"/>
      <c r="C76" s="1"/>
      <c r="D76" s="1"/>
      <c r="X76" s="104"/>
      <c r="Y76" s="104"/>
    </row>
    <row r="77" spans="2:25" ht="15.75">
      <c r="B77" s="1"/>
      <c r="C77" s="1"/>
      <c r="D77" s="1"/>
      <c r="X77" s="102"/>
      <c r="Y77" s="104"/>
    </row>
    <row r="78" spans="2:25" ht="15.75">
      <c r="B78" s="1"/>
      <c r="C78" s="1"/>
      <c r="D78" s="1"/>
      <c r="X78" s="104"/>
      <c r="Y78" s="102"/>
    </row>
    <row r="79" spans="2:25" ht="15.75">
      <c r="B79" s="1"/>
      <c r="C79" s="1"/>
      <c r="D79" s="1"/>
      <c r="X79" s="104"/>
      <c r="Y79" s="104"/>
    </row>
    <row r="80" spans="2:25" ht="15.75">
      <c r="B80" s="1"/>
      <c r="C80" s="1"/>
      <c r="D80" s="1"/>
      <c r="X80" s="102"/>
      <c r="Y80" s="104"/>
    </row>
    <row r="81" spans="2:25" ht="15.75">
      <c r="B81" s="1"/>
      <c r="C81" s="1"/>
      <c r="D81" s="1"/>
      <c r="X81" s="105"/>
      <c r="Y81" s="102"/>
    </row>
    <row r="82" spans="2:25" ht="15.75">
      <c r="B82" s="1"/>
      <c r="C82" s="1"/>
      <c r="D82" s="1"/>
      <c r="X82" s="1"/>
      <c r="Y82" s="105"/>
    </row>
    <row r="83" spans="2:25" ht="15.75">
      <c r="B83" s="1"/>
      <c r="C83" s="1"/>
      <c r="D83" s="1"/>
      <c r="Y83" s="1"/>
    </row>
  </sheetData>
  <mergeCells count="18">
    <mergeCell ref="W28:X28"/>
    <mergeCell ref="Y28:Z28"/>
    <mergeCell ref="G4:T4"/>
    <mergeCell ref="C22:E22"/>
    <mergeCell ref="U66:V66"/>
    <mergeCell ref="U18:V18"/>
    <mergeCell ref="W18:X18"/>
    <mergeCell ref="U17:V17"/>
    <mergeCell ref="W17:X17"/>
    <mergeCell ref="G18:T18"/>
    <mergeCell ref="G8:T8"/>
    <mergeCell ref="U73:V73"/>
    <mergeCell ref="F27:I27"/>
    <mergeCell ref="P27:T27"/>
    <mergeCell ref="C32:E32"/>
    <mergeCell ref="U38:V38"/>
    <mergeCell ref="U48:V48"/>
    <mergeCell ref="U54:V5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EBC01-342E-4F6B-9164-F0157642FF95}">
  <sheetPr>
    <tabColor rgb="FF92D050"/>
  </sheetPr>
  <dimension ref="A1:AE40"/>
  <sheetViews>
    <sheetView zoomScale="85" zoomScaleNormal="85" workbookViewId="0"/>
  </sheetViews>
  <sheetFormatPr defaultColWidth="8.85546875" defaultRowHeight="15"/>
  <cols>
    <col min="1" max="1" width="7.42578125" style="6" customWidth="1"/>
    <col min="2" max="2" width="14.42578125" style="6" customWidth="1"/>
    <col min="3" max="3" width="15.5703125" style="6" customWidth="1"/>
    <col min="4" max="4" width="16.140625" style="6" customWidth="1"/>
    <col min="5" max="5" width="18" style="6" bestFit="1" customWidth="1"/>
    <col min="6" max="6" width="16.42578125" style="6" customWidth="1"/>
    <col min="7" max="7" width="17.42578125" style="6" customWidth="1"/>
    <col min="8" max="8" width="18" style="6" customWidth="1"/>
    <col min="9" max="10" width="15.5703125" style="6" customWidth="1"/>
    <col min="11" max="11" width="15" style="6" bestFit="1" customWidth="1"/>
    <col min="12" max="14" width="15.5703125" style="6" customWidth="1"/>
    <col min="15" max="15" width="18.5703125" style="6" customWidth="1"/>
    <col min="16" max="17" width="15.5703125" style="6" customWidth="1"/>
    <col min="18" max="18" width="15" style="6" customWidth="1"/>
    <col min="19" max="19" width="14" style="6" customWidth="1"/>
    <col min="20" max="20" width="15.5703125" style="6" customWidth="1"/>
    <col min="21" max="21" width="16.5703125" style="6" customWidth="1"/>
    <col min="22" max="23" width="14" style="6" customWidth="1"/>
    <col min="24" max="24" width="37.5703125" style="6" customWidth="1"/>
    <col min="25" max="25" width="14.85546875" style="6" bestFit="1" customWidth="1"/>
    <col min="26" max="26" width="12.85546875" style="6" customWidth="1"/>
    <col min="27" max="27" width="14.5703125" style="6" customWidth="1"/>
    <col min="28" max="28" width="8.85546875" style="6"/>
    <col min="29" max="31" width="16.42578125" style="6" customWidth="1"/>
    <col min="32" max="16384" width="8.85546875" style="6"/>
  </cols>
  <sheetData>
    <row r="1" spans="1:31" s="170" customFormat="1" ht="25.5" customHeight="1">
      <c r="A1" s="384"/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5"/>
      <c r="AA1" s="385"/>
    </row>
    <row r="2" spans="1:31">
      <c r="A2" s="87"/>
      <c r="B2" s="858"/>
      <c r="C2" s="858"/>
      <c r="D2" s="858"/>
      <c r="F2" s="87"/>
    </row>
    <row r="3" spans="1:31">
      <c r="E3" s="859" t="s">
        <v>379</v>
      </c>
      <c r="F3" s="859"/>
      <c r="G3" s="859"/>
      <c r="H3" s="859"/>
      <c r="I3" s="859"/>
      <c r="J3" s="241"/>
      <c r="K3" s="241"/>
      <c r="M3" s="110"/>
      <c r="N3" s="110"/>
      <c r="O3" s="110"/>
      <c r="P3" s="316"/>
      <c r="Q3" s="316"/>
      <c r="R3" s="316"/>
      <c r="S3" s="316"/>
      <c r="T3" s="316"/>
      <c r="U3" s="241"/>
      <c r="V3" s="241"/>
    </row>
    <row r="4" spans="1:31" ht="15.75" customHeight="1">
      <c r="D4" s="1"/>
      <c r="E4" s="148">
        <f>'Res Bill Impact'!E4</f>
        <v>2026</v>
      </c>
      <c r="F4" s="175">
        <f>'Res Bill Impact'!F4</f>
        <v>46174</v>
      </c>
      <c r="G4" s="175">
        <f>'Res Bill Impact'!G4</f>
        <v>46174</v>
      </c>
      <c r="H4" s="111" t="s">
        <v>174</v>
      </c>
      <c r="I4" s="111" t="s">
        <v>174</v>
      </c>
      <c r="J4" s="111"/>
      <c r="K4" s="111"/>
      <c r="L4" s="20"/>
      <c r="O4" s="1"/>
      <c r="P4" s="148"/>
      <c r="Q4" s="175"/>
      <c r="R4" s="175"/>
      <c r="S4" s="111"/>
      <c r="T4" s="111"/>
      <c r="U4" s="111"/>
      <c r="V4" s="111"/>
    </row>
    <row r="5" spans="1:31" ht="30.75" customHeight="1">
      <c r="D5" s="1"/>
      <c r="E5" s="111" t="s">
        <v>126</v>
      </c>
      <c r="F5" s="111" t="s">
        <v>175</v>
      </c>
      <c r="G5" s="111" t="s">
        <v>176</v>
      </c>
      <c r="H5" s="111" t="s">
        <v>175</v>
      </c>
      <c r="I5" s="111" t="s">
        <v>176</v>
      </c>
      <c r="J5" s="111"/>
      <c r="K5" s="111"/>
      <c r="L5" s="83"/>
      <c r="M5" s="112"/>
      <c r="N5" s="112"/>
      <c r="O5" s="83"/>
      <c r="P5" s="111"/>
      <c r="Q5" s="111"/>
      <c r="R5" s="111"/>
      <c r="S5" s="111"/>
      <c r="T5" s="111"/>
      <c r="U5" s="111"/>
      <c r="V5" s="111"/>
      <c r="AD5" s="47"/>
      <c r="AE5" s="47"/>
    </row>
    <row r="6" spans="1:31" ht="42" customHeight="1">
      <c r="B6" s="113"/>
      <c r="D6" s="113"/>
      <c r="E6" s="1"/>
      <c r="F6" s="1"/>
      <c r="G6" s="1"/>
      <c r="J6" s="20"/>
      <c r="K6" s="20"/>
      <c r="L6" s="20"/>
      <c r="O6" s="113"/>
      <c r="P6" s="1"/>
      <c r="Q6" s="1"/>
      <c r="R6" s="1"/>
      <c r="U6" s="20"/>
      <c r="V6" s="20"/>
      <c r="Y6" s="259" t="s">
        <v>112</v>
      </c>
      <c r="Z6" s="259" t="s">
        <v>324</v>
      </c>
      <c r="AA6" s="259" t="s">
        <v>3</v>
      </c>
      <c r="AC6" s="112"/>
      <c r="AD6" s="112"/>
      <c r="AE6" s="112"/>
    </row>
    <row r="7" spans="1:31" ht="15.75">
      <c r="D7" s="114" t="s">
        <v>380</v>
      </c>
      <c r="E7" s="238">
        <f>'Bill Impact (TOU-A)'!E7</f>
        <v>144918773.06242311</v>
      </c>
      <c r="F7" s="115">
        <f>'Bill Impact (TOU-A)'!F7</f>
        <v>0.58221999999999996</v>
      </c>
      <c r="G7" s="116">
        <f>F7*E7</f>
        <v>84374608.052403972</v>
      </c>
      <c r="H7" s="172">
        <f>F7+(F7*$AD$12)</f>
        <v>0.58221999999999996</v>
      </c>
      <c r="I7" s="116">
        <f>E7*H7</f>
        <v>84374608.052403972</v>
      </c>
      <c r="J7" s="172"/>
      <c r="K7" s="264"/>
      <c r="L7" s="117"/>
      <c r="O7" s="114"/>
      <c r="P7" s="319"/>
      <c r="Q7" s="121"/>
      <c r="R7" s="320"/>
      <c r="S7" s="172"/>
      <c r="T7" s="320"/>
      <c r="U7" s="172"/>
      <c r="V7" s="264"/>
      <c r="W7" s="117"/>
      <c r="X7" s="6" t="s">
        <v>381</v>
      </c>
      <c r="AC7" s="299"/>
      <c r="AD7" s="270"/>
      <c r="AE7" s="270"/>
    </row>
    <row r="8" spans="1:31" ht="15.75">
      <c r="D8" s="118"/>
      <c r="E8" s="238"/>
      <c r="F8" s="115"/>
      <c r="G8" s="116"/>
      <c r="H8" s="172"/>
      <c r="I8" s="116"/>
      <c r="J8" s="172"/>
      <c r="K8" s="264"/>
      <c r="L8" s="117"/>
      <c r="O8" s="118"/>
      <c r="P8" s="319"/>
      <c r="Q8" s="121"/>
      <c r="R8" s="320"/>
      <c r="S8" s="172"/>
      <c r="T8" s="320"/>
      <c r="U8" s="172"/>
      <c r="V8" s="264"/>
      <c r="W8" s="117"/>
      <c r="X8" s="6" t="s">
        <v>184</v>
      </c>
      <c r="Y8" s="119">
        <f>'Bill Impact (TOU-A)'!Y8</f>
        <v>491332957</v>
      </c>
      <c r="Z8" s="119">
        <f>'Bill Impact (TOU-A)'!Z8</f>
        <v>435740640</v>
      </c>
      <c r="AA8" s="119">
        <f>'Bill Impact (TOU-A)'!AA8</f>
        <v>55592317</v>
      </c>
    </row>
    <row r="9" spans="1:31" ht="15.75">
      <c r="D9" s="114" t="s">
        <v>382</v>
      </c>
      <c r="E9" s="238">
        <f>'Bill Impact (TOU-A)'!E9</f>
        <v>480370175.56755698</v>
      </c>
      <c r="F9" s="115">
        <f>'Bill Impact (TOU-A)'!F9</f>
        <v>0.42529</v>
      </c>
      <c r="G9" s="116">
        <f>F9*E9</f>
        <v>204296631.96712631</v>
      </c>
      <c r="H9" s="172">
        <f>F9+(F9*$AD$12)</f>
        <v>0.42529</v>
      </c>
      <c r="I9" s="116">
        <f>E9*H9</f>
        <v>204296631.96712631</v>
      </c>
      <c r="J9" s="172"/>
      <c r="K9" s="264"/>
      <c r="L9" s="117"/>
      <c r="O9" s="114"/>
      <c r="P9" s="319"/>
      <c r="Q9" s="121"/>
      <c r="R9" s="320"/>
      <c r="S9" s="172"/>
      <c r="T9" s="320"/>
      <c r="U9" s="172"/>
      <c r="V9" s="264"/>
      <c r="W9" s="117"/>
      <c r="X9" s="6" t="s">
        <v>262</v>
      </c>
      <c r="Y9" s="195">
        <f>('Hypoth. SAR and RAR (TOU-A)'!U20+'Hypoth. SAR and RAR (TOU-A)'!W20)*1000</f>
        <v>0</v>
      </c>
      <c r="Z9" s="195">
        <f>('Hypoth. SAR and RAR (TOU-A)'!U20)*1000</f>
        <v>0</v>
      </c>
      <c r="AA9" s="171">
        <f>('Hypoth. SAR and RAR (TOU-A)'!W20)*1000</f>
        <v>0</v>
      </c>
      <c r="AB9" s="316"/>
    </row>
    <row r="10" spans="1:31" ht="15.75">
      <c r="D10" s="118"/>
      <c r="E10" s="238"/>
      <c r="F10" s="115"/>
      <c r="G10" s="116"/>
      <c r="H10" s="172"/>
      <c r="I10" s="116"/>
      <c r="J10" s="172"/>
      <c r="K10" s="264"/>
      <c r="L10" s="117"/>
      <c r="O10" s="118"/>
      <c r="P10" s="319"/>
      <c r="Q10" s="121"/>
      <c r="R10" s="320"/>
      <c r="S10" s="172"/>
      <c r="T10" s="320"/>
      <c r="U10" s="172"/>
      <c r="V10" s="264"/>
      <c r="W10" s="117"/>
      <c r="X10" s="6" t="s">
        <v>263</v>
      </c>
      <c r="Y10" s="119">
        <f>Y8+Y9</f>
        <v>491332957</v>
      </c>
      <c r="Z10" s="119">
        <f>Z8+Z9</f>
        <v>435740640</v>
      </c>
      <c r="AA10" s="119">
        <f>AA8+AA9</f>
        <v>55592317</v>
      </c>
      <c r="AD10" s="47" t="s">
        <v>326</v>
      </c>
      <c r="AE10" s="47"/>
    </row>
    <row r="11" spans="1:31" ht="15.75">
      <c r="D11" s="114" t="s">
        <v>383</v>
      </c>
      <c r="E11" s="238">
        <f>'Bill Impact (TOU-A)'!E11</f>
        <v>174817040.8013483</v>
      </c>
      <c r="F11" s="115">
        <f>'Bill Impact (TOU-A)'!F11</f>
        <v>0.43767999999999996</v>
      </c>
      <c r="G11" s="116">
        <f>F11*E11</f>
        <v>76513922.41793412</v>
      </c>
      <c r="H11" s="172">
        <f>F11+(F11*$AD$12)</f>
        <v>0.43767999999999996</v>
      </c>
      <c r="I11" s="116">
        <f>E11*H11</f>
        <v>76513922.41793412</v>
      </c>
      <c r="J11" s="172"/>
      <c r="K11" s="264"/>
      <c r="L11" s="117"/>
      <c r="O11" s="114"/>
      <c r="P11" s="319"/>
      <c r="Q11" s="121"/>
      <c r="R11" s="320"/>
      <c r="S11" s="172"/>
      <c r="T11" s="320"/>
      <c r="U11" s="172"/>
      <c r="V11" s="264"/>
      <c r="W11" s="117"/>
      <c r="Y11" s="119"/>
      <c r="AC11" s="133" t="s">
        <v>325</v>
      </c>
      <c r="AD11" s="259" t="s">
        <v>327</v>
      </c>
      <c r="AE11" s="47"/>
    </row>
    <row r="12" spans="1:31" ht="15.75">
      <c r="D12" s="118"/>
      <c r="E12" s="238"/>
      <c r="F12" s="115"/>
      <c r="G12" s="116"/>
      <c r="H12" s="172"/>
      <c r="I12" s="116"/>
      <c r="J12" s="172"/>
      <c r="K12" s="264"/>
      <c r="L12" s="117"/>
      <c r="O12" s="118"/>
      <c r="P12" s="319"/>
      <c r="Q12" s="121"/>
      <c r="R12" s="320"/>
      <c r="S12" s="172"/>
      <c r="T12" s="320"/>
      <c r="U12" s="172"/>
      <c r="V12" s="264"/>
      <c r="W12" s="117"/>
      <c r="X12" s="6" t="s">
        <v>385</v>
      </c>
      <c r="Y12" s="259" t="s">
        <v>112</v>
      </c>
      <c r="Z12" s="259" t="s">
        <v>324</v>
      </c>
      <c r="AA12" s="259" t="s">
        <v>3</v>
      </c>
      <c r="AC12" s="6">
        <f>'Bill Impact (TOU-A)'!AC16</f>
        <v>0.40503</v>
      </c>
      <c r="AD12" s="167">
        <f>Y14/100/AC12</f>
        <v>0</v>
      </c>
      <c r="AE12" s="267"/>
    </row>
    <row r="13" spans="1:31" ht="15.75">
      <c r="D13" s="114" t="s">
        <v>384</v>
      </c>
      <c r="E13" s="238">
        <f>'Bill Impact (TOU-A)'!E13</f>
        <v>605751798.04639816</v>
      </c>
      <c r="F13" s="115">
        <f>'Bill Impact (TOU-A)'!F13</f>
        <v>0.33551999999999998</v>
      </c>
      <c r="G13" s="116">
        <f>F13*E13</f>
        <v>203241843.2805275</v>
      </c>
      <c r="H13" s="172">
        <f>F13+(F13*$AD$12)</f>
        <v>0.33551999999999998</v>
      </c>
      <c r="I13" s="116">
        <f>E13*H13</f>
        <v>203241843.2805275</v>
      </c>
      <c r="J13" s="1"/>
      <c r="K13" s="123"/>
      <c r="L13" s="117"/>
      <c r="O13" s="118"/>
      <c r="P13" s="122"/>
      <c r="Q13" s="121"/>
      <c r="R13" s="122"/>
      <c r="S13" s="1"/>
      <c r="T13" s="123"/>
      <c r="U13" s="1"/>
      <c r="V13" s="123"/>
      <c r="X13" s="6" t="s">
        <v>363</v>
      </c>
      <c r="Y13" s="296">
        <f>+Z13+AA13</f>
        <v>40.503</v>
      </c>
      <c r="Z13" s="296">
        <f>'Bill Impact (TOU-A)'!Z15</f>
        <v>24.366999999999997</v>
      </c>
      <c r="AA13" s="296">
        <f>'Bill Impact (TOU-A)'!AA15</f>
        <v>16.135999999999999</v>
      </c>
      <c r="AC13" s="266"/>
      <c r="AD13" s="98"/>
      <c r="AE13" s="260"/>
    </row>
    <row r="14" spans="1:31" ht="15.75">
      <c r="D14" s="118"/>
      <c r="E14" s="238"/>
      <c r="F14" s="115"/>
      <c r="G14" s="116"/>
      <c r="H14" s="172"/>
      <c r="I14" s="116"/>
      <c r="J14" s="122"/>
      <c r="K14" s="122"/>
      <c r="L14" s="117"/>
      <c r="O14" s="118"/>
      <c r="P14" s="122"/>
      <c r="Q14" s="121"/>
      <c r="R14" s="122"/>
      <c r="S14" s="122"/>
      <c r="T14" s="122"/>
      <c r="U14" s="122"/>
      <c r="V14" s="122"/>
      <c r="X14" s="6" t="s">
        <v>262</v>
      </c>
      <c r="Y14" s="296">
        <f>+Z14+AA14</f>
        <v>0</v>
      </c>
      <c r="Z14" s="296">
        <f>+Z9/(IF('Hypothetical Summary'!$H$3,'Hypoth. SAR and RAR (TOU-A)'!$C$24,'Hypoth. SAR and RAR (TOU-A)'!$C$34)*1000)*100</f>
        <v>0</v>
      </c>
      <c r="AA14" s="296">
        <f>+AA9/(IF('Hypothetical Summary'!$H$3=2026,'Hypoth. SAR and RAR (TOU-A)'!$E$24,'Hypoth. SAR and RAR (TOU-A)'!$E$34)*1000)*100</f>
        <v>0</v>
      </c>
      <c r="AD14" s="47"/>
      <c r="AE14" s="47"/>
    </row>
    <row r="15" spans="1:31" ht="15.75">
      <c r="D15" s="118"/>
      <c r="E15" s="120"/>
      <c r="F15" s="121"/>
      <c r="G15" s="122"/>
      <c r="H15" s="122"/>
      <c r="I15" s="122"/>
      <c r="J15" s="122"/>
      <c r="K15" s="122"/>
      <c r="L15" s="117"/>
      <c r="O15" s="124"/>
      <c r="P15" s="122"/>
      <c r="Q15" s="121"/>
      <c r="R15" s="122"/>
      <c r="S15" s="122"/>
      <c r="T15" s="122"/>
      <c r="U15" s="122"/>
      <c r="V15" s="122"/>
      <c r="X15" s="6" t="s">
        <v>263</v>
      </c>
      <c r="Y15" s="296">
        <f>+Y14+Y13</f>
        <v>40.503</v>
      </c>
      <c r="Z15" s="296">
        <f>+Z14+Z13</f>
        <v>24.366999999999997</v>
      </c>
      <c r="AA15" s="296">
        <f>+AA14+AA13</f>
        <v>16.135999999999999</v>
      </c>
      <c r="AC15" s="47"/>
      <c r="AD15" s="47"/>
      <c r="AE15" s="47"/>
    </row>
    <row r="16" spans="1:31" ht="15.75">
      <c r="P16" s="122"/>
      <c r="Q16" s="121"/>
      <c r="R16" s="122"/>
      <c r="AC16" s="262"/>
      <c r="AD16" s="261"/>
      <c r="AE16" s="262"/>
    </row>
    <row r="17" spans="1:31" ht="15.75">
      <c r="O17" s="125"/>
      <c r="R17" s="122"/>
      <c r="Y17" s="47"/>
      <c r="Z17" s="294"/>
      <c r="AA17" s="294"/>
    </row>
    <row r="18" spans="1:31" ht="15.75">
      <c r="Y18" s="47"/>
      <c r="Z18" s="294"/>
      <c r="AA18" s="294"/>
    </row>
    <row r="19" spans="1:31">
      <c r="B19" s="7"/>
      <c r="AD19" s="47"/>
      <c r="AE19" s="47"/>
    </row>
    <row r="20" spans="1:31">
      <c r="B20" s="126" t="s">
        <v>386</v>
      </c>
      <c r="C20" s="126"/>
      <c r="E20" s="127"/>
      <c r="F20" s="127"/>
      <c r="H20" s="126"/>
      <c r="I20" s="6" t="str">
        <f>'Bill Impact (TOU-A)'!I20</f>
        <v>2025 Recorded Data</v>
      </c>
      <c r="P20" s="354"/>
      <c r="Q20" s="355"/>
      <c r="R20" s="355"/>
      <c r="S20" s="355"/>
      <c r="T20" s="355"/>
      <c r="U20" s="865"/>
      <c r="V20" s="865"/>
      <c r="AD20" s="47"/>
      <c r="AE20" s="47"/>
    </row>
    <row r="21" spans="1:31">
      <c r="B21" s="130" t="s">
        <v>175</v>
      </c>
      <c r="C21" s="131" t="str">
        <f>'Res Bill Impact'!C21</f>
        <v>6/1/2026</v>
      </c>
      <c r="D21" s="315" t="str">
        <f>'Res Bill Impact'!D21</f>
        <v>8/1/2026</v>
      </c>
      <c r="E21" s="132" t="s">
        <v>174</v>
      </c>
      <c r="F21" s="127"/>
      <c r="I21" s="128" t="s">
        <v>387</v>
      </c>
      <c r="J21" s="794" t="s">
        <v>192</v>
      </c>
      <c r="K21" s="795"/>
      <c r="L21" s="794" t="s">
        <v>193</v>
      </c>
      <c r="M21" s="795"/>
      <c r="Q21" s="865"/>
      <c r="R21" s="865"/>
      <c r="S21" s="865"/>
      <c r="T21" s="865"/>
      <c r="U21" s="47"/>
      <c r="V21" s="47"/>
      <c r="AD21" s="267"/>
      <c r="AE21" s="267"/>
    </row>
    <row r="22" spans="1:31">
      <c r="A22" s="6" t="s">
        <v>192</v>
      </c>
      <c r="B22" s="134" t="s">
        <v>388</v>
      </c>
      <c r="C22" s="137">
        <f>'Bill Impact (TOU-A)'!C22</f>
        <v>0.57574000000000003</v>
      </c>
      <c r="D22" s="137">
        <f>'Bill Impact (TOU-A)'!D22</f>
        <v>0.58221999999999996</v>
      </c>
      <c r="E22" s="137">
        <f>H7</f>
        <v>0.58221999999999996</v>
      </c>
      <c r="F22" s="242"/>
      <c r="H22" s="356"/>
      <c r="I22" s="357" t="s">
        <v>389</v>
      </c>
      <c r="J22" s="327" t="s">
        <v>390</v>
      </c>
      <c r="K22" s="327" t="s">
        <v>391</v>
      </c>
      <c r="L22" s="327" t="s">
        <v>390</v>
      </c>
      <c r="M22" s="327" t="s">
        <v>391</v>
      </c>
      <c r="N22" s="327" t="s">
        <v>196</v>
      </c>
      <c r="O22" s="327" t="s">
        <v>392</v>
      </c>
      <c r="Q22" s="149"/>
      <c r="R22" s="149"/>
      <c r="S22" s="149"/>
      <c r="T22" s="149"/>
      <c r="U22" s="358"/>
      <c r="V22" s="358"/>
    </row>
    <row r="23" spans="1:31">
      <c r="B23" s="134" t="s">
        <v>393</v>
      </c>
      <c r="C23" s="137">
        <f>'Bill Impact (TOU-A)'!C23</f>
        <v>0.42312000000000005</v>
      </c>
      <c r="D23" s="137">
        <f>'Bill Impact (TOU-A)'!D23</f>
        <v>0.42529</v>
      </c>
      <c r="E23" s="137">
        <f>H9</f>
        <v>0.42529</v>
      </c>
      <c r="F23" s="242"/>
      <c r="I23" s="331" t="s">
        <v>394</v>
      </c>
      <c r="J23" s="332">
        <f>'Bill Impact (TOU-A)'!L23</f>
        <v>155.26415030752301</v>
      </c>
      <c r="K23" s="332">
        <f>'Bill Impact (TOU-A)'!M23</f>
        <v>818.50720363973301</v>
      </c>
      <c r="L23" s="332">
        <f>'Bill Impact (TOU-A)'!N23</f>
        <v>149.84836849896999</v>
      </c>
      <c r="M23" s="332">
        <f>'Bill Impact (TOU-A)'!O23</f>
        <v>778.46741210596599</v>
      </c>
      <c r="N23" s="333">
        <f>'Bill Impact (TOU-A)'!P23</f>
        <v>0.5490840118430792</v>
      </c>
      <c r="O23" s="334">
        <f>'Bill Impact (TOU-A)'!Q23</f>
        <v>4.2966256634931304</v>
      </c>
      <c r="Q23" s="149"/>
      <c r="R23" s="149"/>
      <c r="S23" s="149"/>
      <c r="T23" s="149"/>
      <c r="U23" s="358"/>
      <c r="V23" s="358"/>
    </row>
    <row r="24" spans="1:31">
      <c r="A24" s="6" t="s">
        <v>193</v>
      </c>
      <c r="B24" s="134" t="s">
        <v>388</v>
      </c>
      <c r="C24" s="136">
        <f>'Bill Impact (TOU-A)'!C24</f>
        <v>0.43513000000000002</v>
      </c>
      <c r="D24" s="136">
        <f>'Bill Impact (TOU-A)'!D24</f>
        <v>0.43767999999999996</v>
      </c>
      <c r="E24" s="136">
        <f>H11</f>
        <v>0.43767999999999996</v>
      </c>
      <c r="F24" s="242"/>
      <c r="I24" s="331" t="s">
        <v>395</v>
      </c>
      <c r="J24" s="335">
        <f>'Bill Impact (TOU-A)'!L24</f>
        <v>179.56444444444401</v>
      </c>
      <c r="K24" s="335">
        <f>'Bill Impact (TOU-A)'!M24</f>
        <v>948.39886792452796</v>
      </c>
      <c r="L24" s="335">
        <f>'Bill Impact (TOU-A)'!N24</f>
        <v>141.06277328541401</v>
      </c>
      <c r="M24" s="335">
        <f>'Bill Impact (TOU-A)'!O24</f>
        <v>810.51623240491097</v>
      </c>
      <c r="N24" s="333">
        <f>'Bill Impact (TOU-A)'!P24</f>
        <v>0.22066987416728348</v>
      </c>
      <c r="O24" s="334">
        <f>'Bill Impact (TOU-A)'!Q24</f>
        <v>6.5895195667365396</v>
      </c>
      <c r="Q24" s="149"/>
      <c r="R24" s="149"/>
      <c r="S24" s="149"/>
      <c r="T24" s="149"/>
      <c r="U24" s="358"/>
      <c r="V24" s="358"/>
    </row>
    <row r="25" spans="1:31">
      <c r="B25" s="134" t="s">
        <v>393</v>
      </c>
      <c r="C25" s="136">
        <f>'Bill Impact (TOU-A)'!C25</f>
        <v>0.33589000000000002</v>
      </c>
      <c r="D25" s="136">
        <f>'Bill Impact (TOU-A)'!D25</f>
        <v>0.33551999999999998</v>
      </c>
      <c r="E25" s="136">
        <f>H13</f>
        <v>0.33551999999999998</v>
      </c>
      <c r="F25" s="242"/>
      <c r="I25" s="336" t="s">
        <v>396</v>
      </c>
      <c r="J25" s="337">
        <f>'Bill Impact (TOU-A)'!L25</f>
        <v>550.87936507936502</v>
      </c>
      <c r="K25" s="337">
        <f>'Bill Impact (TOU-A)'!M25</f>
        <v>2425.57355836849</v>
      </c>
      <c r="L25" s="337">
        <f>'Bill Impact (TOU-A)'!N25</f>
        <v>441.43732598524599</v>
      </c>
      <c r="M25" s="337">
        <f>'Bill Impact (TOU-A)'!O25</f>
        <v>1989.22549441717</v>
      </c>
      <c r="N25" s="338">
        <f>'Bill Impact (TOU-A)'!P25</f>
        <v>0.23024611398963732</v>
      </c>
      <c r="O25" s="339">
        <f>'Bill Impact (TOU-A)'!Q25</f>
        <v>9.3798992030004609</v>
      </c>
      <c r="Q25" s="149"/>
      <c r="R25" s="149"/>
      <c r="S25" s="149"/>
      <c r="T25" s="149"/>
      <c r="U25" s="358"/>
      <c r="V25" s="358"/>
    </row>
    <row r="26" spans="1:31">
      <c r="I26" s="119"/>
      <c r="J26" s="119"/>
      <c r="M26" s="119"/>
      <c r="N26" s="119"/>
      <c r="Q26" s="149"/>
      <c r="R26" s="149"/>
      <c r="S26" s="149"/>
      <c r="T26" s="149"/>
      <c r="U26" s="197"/>
      <c r="V26" s="197"/>
    </row>
    <row r="27" spans="1:31">
      <c r="B27" s="7"/>
      <c r="C27" s="198"/>
      <c r="D27" s="198"/>
      <c r="E27" s="199"/>
      <c r="F27" s="199"/>
      <c r="I27" s="119"/>
      <c r="J27" s="119"/>
      <c r="M27" s="119"/>
      <c r="N27" s="119"/>
      <c r="Q27" s="149"/>
      <c r="R27" s="149"/>
      <c r="S27" s="149"/>
      <c r="T27" s="149"/>
      <c r="U27" s="197"/>
      <c r="V27" s="197"/>
    </row>
    <row r="28" spans="1:31">
      <c r="B28" s="7"/>
      <c r="C28" s="198"/>
      <c r="D28" s="198"/>
      <c r="E28" s="199"/>
      <c r="F28" s="199"/>
      <c r="I28" s="119"/>
      <c r="J28" s="119"/>
      <c r="M28" s="119"/>
      <c r="N28" s="119"/>
    </row>
    <row r="29" spans="1:31">
      <c r="B29" s="7"/>
      <c r="C29" s="198"/>
      <c r="D29" s="198"/>
      <c r="E29" s="199"/>
      <c r="F29" s="199"/>
      <c r="I29" s="119"/>
      <c r="J29" s="119"/>
      <c r="M29" s="119"/>
      <c r="N29" s="119"/>
      <c r="Q29" s="149"/>
      <c r="R29" s="149"/>
      <c r="S29" s="149"/>
      <c r="T29" s="149"/>
      <c r="U29" s="197"/>
      <c r="V29" s="197"/>
    </row>
    <row r="30" spans="1:31">
      <c r="B30" s="7"/>
      <c r="C30" s="198"/>
      <c r="D30" s="198"/>
      <c r="E30" s="199"/>
      <c r="F30" s="199"/>
    </row>
    <row r="31" spans="1:31" ht="18.75">
      <c r="A31" s="234"/>
      <c r="B31" s="7"/>
      <c r="C31" s="198"/>
      <c r="D31" s="198"/>
      <c r="E31" s="199"/>
      <c r="F31" s="199"/>
      <c r="I31" s="234"/>
      <c r="J31" s="234"/>
      <c r="N31" s="51"/>
    </row>
    <row r="32" spans="1:31" ht="27">
      <c r="B32" s="885" t="s">
        <v>397</v>
      </c>
      <c r="C32" s="885"/>
      <c r="D32" s="885"/>
      <c r="E32" s="885"/>
      <c r="F32" s="885"/>
      <c r="G32" s="885"/>
      <c r="H32" s="885"/>
      <c r="L32" s="127" t="s">
        <v>398</v>
      </c>
      <c r="O32" s="127"/>
    </row>
    <row r="33" spans="2:27">
      <c r="B33" s="7"/>
      <c r="C33" s="457" t="str">
        <f>'Bill Impact (TOU-A)'!C33</f>
        <v>2025 Recorded Average Basic Bundled Non-CARE Customer Bill</v>
      </c>
      <c r="D33" s="357"/>
      <c r="E33" s="357"/>
      <c r="F33" s="357"/>
      <c r="G33" s="357"/>
      <c r="H33" s="456"/>
      <c r="I33" s="880"/>
      <c r="J33" s="881"/>
      <c r="K33" s="7"/>
      <c r="L33" s="134" t="s">
        <v>399</v>
      </c>
      <c r="M33" s="344" t="str">
        <f>C21</f>
        <v>6/1/2026</v>
      </c>
      <c r="N33" s="315" t="str">
        <f>D21</f>
        <v>8/1/2026</v>
      </c>
      <c r="O33" s="134"/>
      <c r="P33" s="175"/>
      <c r="Q33" s="359"/>
    </row>
    <row r="34" spans="2:27">
      <c r="B34" s="7"/>
      <c r="C34" s="881" t="str">
        <f>C21</f>
        <v>6/1/2026</v>
      </c>
      <c r="D34" s="881"/>
      <c r="E34" s="880" t="str">
        <f>D21</f>
        <v>8/1/2026</v>
      </c>
      <c r="F34" s="881"/>
      <c r="G34" s="881" t="str">
        <f>E21</f>
        <v>Proposed</v>
      </c>
      <c r="H34" s="881"/>
      <c r="I34" s="198"/>
      <c r="J34" s="198"/>
      <c r="K34" s="7"/>
      <c r="L34" s="134" t="s">
        <v>400</v>
      </c>
      <c r="M34" s="348">
        <f>'Bill Impact (TOU-A)'!M34</f>
        <v>12.02</v>
      </c>
      <c r="N34" s="348">
        <f>'Bill Impact (TOU-A)'!N34</f>
        <v>12.02</v>
      </c>
      <c r="O34" s="134"/>
      <c r="P34" s="348"/>
      <c r="Q34" s="348"/>
    </row>
    <row r="35" spans="2:27">
      <c r="B35" s="7"/>
      <c r="C35" s="198" t="s">
        <v>192</v>
      </c>
      <c r="D35" s="198" t="s">
        <v>193</v>
      </c>
      <c r="E35" s="198" t="s">
        <v>192</v>
      </c>
      <c r="F35" s="198" t="s">
        <v>193</v>
      </c>
      <c r="G35" s="198" t="s">
        <v>192</v>
      </c>
      <c r="H35" s="198" t="s">
        <v>193</v>
      </c>
      <c r="I35" s="243"/>
      <c r="J35" s="243"/>
      <c r="L35" s="134" t="s">
        <v>401</v>
      </c>
      <c r="M35" s="348">
        <f>'Bill Impact (TOU-A)'!M35</f>
        <v>19.23</v>
      </c>
      <c r="N35" s="348">
        <f>'Bill Impact (TOU-A)'!N35</f>
        <v>19.23</v>
      </c>
      <c r="O35" s="134"/>
      <c r="P35" s="348"/>
      <c r="Q35" s="348"/>
      <c r="S35" s="251"/>
    </row>
    <row r="36" spans="2:27">
      <c r="B36" s="138" t="s">
        <v>394</v>
      </c>
      <c r="C36" s="159">
        <f>((C22*$J$23)+(C23*$K$23))+IF($O23&lt;5.1,$M$34,IF(AND($O23&gt;5,$O23&lt;20.1),$M$35,IF(AND($O23&gt;20,$O23&lt;50.1),$M$36,IF($O23&gt;50,$M$37))))+('Incremental Rev Req'!F87*$J$23+'Incremental Rev Req'!F87*$K$23)</f>
        <v>448.71232125604439</v>
      </c>
      <c r="D36" s="159">
        <f>((C24*$L$23)+(C25*$M$23))+IF($O23&lt;5.1,$M$34,IF(AND($O23&gt;5,$O23&lt;20.1),$M$35,IF(AND($O23&gt;20,$O23&lt;50.1),$M$36,IF($O23&gt;50,$M$37))))+('Incremental Rev Req'!F87*$L$23+'Incremental Rev Req'!F87*$M$23)</f>
        <v>339.63125541783467</v>
      </c>
      <c r="E36" s="159">
        <f>((D22*$J$23)+(D23*$K$23))+IF($O23&lt;5.1,$N$34,IF(AND($O23&gt;5,$O23&lt;20.1),$N$35,IF(AND($O23&gt;20,$O23&lt;50.1),$N$36,IF($O23&gt;50,$N$37))))+('Incremental Rev Req'!F87*$J$23+'Incremental Rev Req'!F87*$K$23)</f>
        <v>451.49459358193536</v>
      </c>
      <c r="F36" s="159">
        <f>((D24*$L$23)+(D25*$M$23))+IF($O23&lt;5.1,$N$34,IF(AND($O23&gt;5,$O23&lt;20.1),$N$35,IF(AND($O23&gt;20,$O23&lt;50.1),$N$36,IF($O23&gt;50,$N$37))))+('Incremental Rev Req'!F87*$L$23+'Incremental Rev Req'!F87*$M$23)</f>
        <v>339.72533581502779</v>
      </c>
      <c r="G36" s="159">
        <f>((E22*$J$23)+(E23*$K$23))+IF($O23&lt;5.1,$N$34,IF(AND($O23&gt;5,$O23&lt;20.1),$N$35,IF(AND($O23&gt;20,$O23&lt;50.1),$N$36,IF($O23&gt;50,$N$37))))+('Incremental Rev Req'!F87*$J$23+'Incremental Rev Req'!F87*$K$23)</f>
        <v>451.49459358193536</v>
      </c>
      <c r="H36" s="159">
        <f>((E24*$L$23)+(E25*$M$23))+IF($O23&lt;5.1,$N$34,IF(AND($O23&gt;5,$O23&lt;20.1),$N$35,IF(AND($O23&gt;20,$O23&lt;50.1),$N$36,IF($O23&gt;50,$N$37))))+('Incremental Rev Req'!F87*$L$23+'Incremental Rev Req'!F87*$M$23)</f>
        <v>339.72533581502779</v>
      </c>
      <c r="I36" s="298"/>
      <c r="J36" s="298"/>
      <c r="L36" s="134" t="s">
        <v>402</v>
      </c>
      <c r="M36" s="348">
        <f>'Bill Impact (TOU-A)'!M36</f>
        <v>36.06</v>
      </c>
      <c r="N36" s="348">
        <f>'Bill Impact (TOU-A)'!N36</f>
        <v>36.06</v>
      </c>
      <c r="O36" s="134"/>
      <c r="P36" s="348"/>
      <c r="Q36" s="348"/>
    </row>
    <row r="37" spans="2:27">
      <c r="B37" s="141" t="s">
        <v>395</v>
      </c>
      <c r="C37" s="159">
        <f>((C22*$J$24)+(C23*$K$24))+IF($O24&lt;5.1,$M$34,IF(AND($O24&gt;5,$O24&lt;20.1),$M$35,IF(AND($O24&gt;20,$O24&lt;50.1),$M$36,IF($O24&gt;50,$M$37))))+('Incremental Rev Req'!F87*$J$24+'Incremental Rev Req'!F87*$K$24)</f>
        <v>525.0269255530394</v>
      </c>
      <c r="D37" s="159">
        <f>((C24*$L$24)+(C25*$M$24))+IF($O24&lt;5.1,$M$34,IF(AND($O24&gt;5,$O24&lt;20.1),$M$35,IF(AND($O24&gt;20,$O24&lt;50.1),$M$36,IF($O24&gt;50,$M$37))))+('Incremental Rev Req'!F87*$L$24+'Incremental Rev Req'!F87*$M$24)</f>
        <v>353.80652084785811</v>
      </c>
      <c r="E37" s="159">
        <f>((D22*$J$24)+(D23*$K$24))+IF($O24&lt;5.1,$N$34,IF(AND($O24&gt;5,$O24&lt;20.1),$N$35,IF(AND($O24&gt;20,$O24&lt;50.1),$N$36,IF($O24&gt;50,$N$37))))+('Incremental Rev Req'!F87*$J$24+'Incremental Rev Req'!F87*$K$24)</f>
        <v>528.24852869643564</v>
      </c>
      <c r="F37" s="159">
        <f>((D24*$L$24)+(D25*$M$24))+IF($O24&lt;5.1,$N$34,IF(AND($O24&gt;5,$O24&lt;20.1),$N$35,IF(AND($O24&gt;20,$O24&lt;50.1),$N$36,IF($O24&gt;50,$N$37))))+('Incremental Rev Req'!F87*$L$24+'Incremental Rev Req'!F87*$M$24)</f>
        <v>353.86633991374612</v>
      </c>
      <c r="G37" s="159">
        <f>((E22*$J$24)+(E23*$K$24))+IF($O24&lt;5.1,$N$34,IF(AND($O24&gt;5,$O24&lt;20.1),$N$35,IF(AND($O24&gt;20,$O24&lt;50.1),$N$36,IF($O24&gt;50,$N$37))))+('Incremental Rev Req'!F87*$J$24+'Incremental Rev Req'!F87*$K$24)</f>
        <v>528.24852869643564</v>
      </c>
      <c r="H37" s="159">
        <f>((E24*$L$24)+(E25*$M$24))+IF($O24&lt;5.1,$N$34,IF(AND($O24&gt;5,$O24&lt;20.1),$N$35,IF(AND($O24&gt;20,$O24&lt;50.1),$N$36,IF($O24&gt;50,$N$37))))+('Incremental Rev Req'!F87*$L$24+'Incremental Rev Req'!F87*$M$24)</f>
        <v>353.86633991374612</v>
      </c>
      <c r="I37" s="298"/>
      <c r="J37" s="298"/>
      <c r="L37" s="134" t="s">
        <v>403</v>
      </c>
      <c r="M37" s="348">
        <f>'Bill Impact (TOU-A)'!M37</f>
        <v>90.16</v>
      </c>
      <c r="N37" s="348">
        <f>'Bill Impact (TOU-A)'!N37</f>
        <v>90.16</v>
      </c>
      <c r="O37" s="134"/>
      <c r="P37" s="348"/>
      <c r="Q37" s="348"/>
      <c r="X37" s="10"/>
      <c r="Y37" s="10"/>
      <c r="Z37" s="10"/>
      <c r="AA37" s="10"/>
    </row>
    <row r="38" spans="2:27">
      <c r="B38" s="144" t="s">
        <v>396</v>
      </c>
      <c r="C38" s="159">
        <f>((C22*$J$25)+(C23*$K$25))+IF($O25&lt;5.1,$M$34,IF(AND($O25&gt;5,$O25&lt;20.1),$M$35,IF(AND($O25&gt;20,$O25&lt;50.1),$M$36,IF($O25&gt;50,$M$37))))+('Incremental Rev Req'!F87*$J$25+'Incremental Rev Req'!F87*$K$25)</f>
        <v>1365.6784225911169</v>
      </c>
      <c r="D38" s="159">
        <f>((C24*$L$25)+(C25*$M$25))+IF($O25&lt;5.1,$M$34,IF(AND($O25&gt;5,$O25&lt;20.1),$M$35,IF(AND($O25&gt;20,$O25&lt;50.1),$M$36,IF($O25&gt;50,$M$37))))+('Incremental Rev Req'!F87*$L$25+'Incremental Rev Req'!F87*$M$25)</f>
        <v>881.90423779614582</v>
      </c>
      <c r="E38" s="159">
        <f>((D22*$J$25)+(D23*$K$25))+IF($O25&lt;5.1,$N$34,IF(AND($O25&gt;5,$O25&lt;20.1),$N$35,IF(AND($O25&gt;20,$O25&lt;50.1),$N$36,IF($O25&gt;50,$N$37))))+('Incremental Rev Req'!F87*$J$25+'Incremental Rev Req'!F87*$K$25)</f>
        <v>1374.511615498491</v>
      </c>
      <c r="F38" s="159">
        <f>((D24*$L$25)+(D25*$M$25))+IF($O25&lt;5.1,$N$34,IF(AND($O25&gt;5,$O25&lt;20.1),$N$35,IF(AND($O25&gt;20,$O25&lt;50.1),$N$36,IF($O25&gt;50,$N$37))))+('Incremental Rev Req'!F87*$L$25+'Incremental Rev Req'!F87*$M$25)</f>
        <v>882.2938895444737</v>
      </c>
      <c r="G38" s="159">
        <f>((E22*$J$25)+(E23*$K$25))+IF($O25&lt;5.1,$N$34,IF(AND($O25&gt;5,$O25&lt;20.1),$N$35,IF(AND($O25&gt;20,$O25&lt;50.1),$N$36,IF($O25&gt;50,$N$37))))+('Incremental Rev Req'!F87*$J$25+'Incremental Rev Req'!F87*$K$25)</f>
        <v>1374.511615498491</v>
      </c>
      <c r="H38" s="159">
        <f>((E24*$L$25)+(E25*$M$25))+IF($O25&lt;5.1,$N$34,IF(AND($O25&gt;5,$O25&lt;20.1),$N$35,IF(AND($O25&gt;20,$O25&lt;50.1),$N$36,IF($O25&gt;50,$N$37))))+('Incremental Rev Req'!F87*$L$25+'Incremental Rev Req'!F87*$M$25)</f>
        <v>882.2938895444737</v>
      </c>
      <c r="I38" s="298"/>
      <c r="J38" s="298"/>
      <c r="L38" s="143"/>
      <c r="M38" s="143"/>
      <c r="N38" s="143"/>
      <c r="O38" s="143"/>
      <c r="P38" s="143"/>
      <c r="Q38" s="143"/>
    </row>
    <row r="39" spans="2:27">
      <c r="B39" s="6" t="s">
        <v>112</v>
      </c>
      <c r="C39" s="157">
        <f t="shared" ref="C39:H39" si="0">SUMPRODUCT(C36:C38,$N$23:$N$25)</f>
        <v>676.68053687601673</v>
      </c>
      <c r="D39" s="157">
        <f t="shared" si="0"/>
        <v>467.61555637074298</v>
      </c>
      <c r="E39" s="157">
        <f t="shared" si="0"/>
        <v>680.95295722807077</v>
      </c>
      <c r="F39" s="157">
        <f t="shared" si="0"/>
        <v>467.77013047927369</v>
      </c>
      <c r="G39" s="157">
        <f t="shared" si="0"/>
        <v>680.95295722807077</v>
      </c>
      <c r="H39" s="157">
        <f t="shared" si="0"/>
        <v>467.77013047927369</v>
      </c>
      <c r="I39" s="147"/>
      <c r="J39" s="147"/>
      <c r="K39" s="7"/>
      <c r="L39" s="143"/>
      <c r="M39" s="143"/>
      <c r="N39" s="158"/>
      <c r="O39" s="143"/>
      <c r="P39" s="147"/>
      <c r="Q39" s="147"/>
    </row>
    <row r="40" spans="2:27">
      <c r="B40" s="360"/>
      <c r="C40" s="361"/>
      <c r="D40" s="361"/>
      <c r="E40" s="361"/>
      <c r="F40" s="361"/>
      <c r="G40" s="147"/>
      <c r="H40" s="147"/>
    </row>
  </sheetData>
  <mergeCells count="12">
    <mergeCell ref="B32:H32"/>
    <mergeCell ref="I33:J33"/>
    <mergeCell ref="C34:D34"/>
    <mergeCell ref="E34:F34"/>
    <mergeCell ref="G34:H34"/>
    <mergeCell ref="B2:D2"/>
    <mergeCell ref="E3:I3"/>
    <mergeCell ref="U20:V20"/>
    <mergeCell ref="J21:K21"/>
    <mergeCell ref="L21:M21"/>
    <mergeCell ref="Q21:R21"/>
    <mergeCell ref="S21:T21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9B048-FAAD-4923-9831-A369F9903490}">
  <sheetPr codeName="Sheet11">
    <tabColor rgb="FFFF99FF"/>
  </sheetPr>
  <dimension ref="A1:C5"/>
  <sheetViews>
    <sheetView workbookViewId="0"/>
  </sheetViews>
  <sheetFormatPr defaultRowHeight="15"/>
  <cols>
    <col min="1" max="1" width="22.42578125" customWidth="1"/>
    <col min="2" max="2" width="17.5703125" customWidth="1"/>
    <col min="3" max="3" width="13.85546875" customWidth="1"/>
  </cols>
  <sheetData>
    <row r="1" spans="1:3" ht="25.5">
      <c r="A1" s="213" t="s">
        <v>230</v>
      </c>
      <c r="B1" s="213" t="s">
        <v>478</v>
      </c>
      <c r="C1" s="213" t="s">
        <v>229</v>
      </c>
    </row>
    <row r="2" spans="1:3">
      <c r="A2" s="214" t="s">
        <v>227</v>
      </c>
      <c r="B2" s="214" t="s">
        <v>228</v>
      </c>
    </row>
    <row r="3" spans="1:3">
      <c r="A3" s="215">
        <f>'SDG&amp;E INPUTS'!K93</f>
        <v>1427523211.5190728</v>
      </c>
      <c r="B3" s="215">
        <f>'SDG&amp;E INPUTS'!K94</f>
        <v>7311830317.4004517</v>
      </c>
      <c r="C3" s="451">
        <f>A3/B3</f>
        <v>0.19523472913777831</v>
      </c>
    </row>
    <row r="5" spans="1:3">
      <c r="A5" t="s">
        <v>336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08F375954AB64099D51457439E4AE5" ma:contentTypeVersion="2" ma:contentTypeDescription="Create a new document." ma:contentTypeScope="" ma:versionID="66577174593b819ef36cb5c14413b3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45b1eb723395c1f2f5ab635b757ccd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03733F-400F-4A33-BEAC-A0F541BFE9C3}">
  <ds:schemaRefs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2B4B413-4F52-4644-A212-849DA6920F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C9681C-E5B5-4BBE-99AC-F9DC208A56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SDG&amp;E INPUTS</vt:lpstr>
      <vt:lpstr>Notable Assumptions</vt:lpstr>
      <vt:lpstr>Summary</vt:lpstr>
      <vt:lpstr>Selected Data</vt:lpstr>
      <vt:lpstr>Authorized Rev Req</vt:lpstr>
      <vt:lpstr>Incremental Rev Req</vt:lpstr>
      <vt:lpstr>SAR and RAR</vt:lpstr>
      <vt:lpstr>Res Bill Impact (TOU-DR1)</vt:lpstr>
      <vt:lpstr>Res Bill Impact</vt:lpstr>
      <vt:lpstr>SAR and RAR (TOU-A)</vt:lpstr>
      <vt:lpstr>Bill Impact (TOU-A)</vt:lpstr>
      <vt:lpstr>Hypothetical Summary</vt:lpstr>
      <vt:lpstr>Hypothetical SAR and RAR</vt:lpstr>
      <vt:lpstr>Hypothetical Res Bill Impact</vt:lpstr>
      <vt:lpstr>Hypoth. Res Bill Imp. (TOU-DR1)</vt:lpstr>
      <vt:lpstr>Hypoth. SAR and RAR (TOU-A)</vt:lpstr>
      <vt:lpstr>Hypoth. Bill Impact (TOU-A)</vt:lpstr>
      <vt:lpstr>% of CARE Sales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Sieren-Smith, Bridget</dc:creator>
  <cp:lastModifiedBy>Baez, Rachelle R</cp:lastModifiedBy>
  <cp:lastPrinted>2025-11-20T00:43:10Z</cp:lastPrinted>
  <dcterms:created xsi:type="dcterms:W3CDTF">2019-06-24T18:17:17Z</dcterms:created>
  <dcterms:modified xsi:type="dcterms:W3CDTF">2026-08-31T17:32:56Z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0x010100C208F375954AB64099D51457439E4AE5</vt:lpwstr>
  </property>
  <property fmtid="{D5CDD505-2E9C-101B-9397-08002B2CF9AE}" pid="3" name="MSIP_Label_cd97076e-e5a9-49b1-9873-62b6e38f493d_Enabled">
    <vt:lpwstr>true</vt:lpwstr>
  </property>
  <property fmtid="{D5CDD505-2E9C-101B-9397-08002B2CF9AE}" pid="4" name="MSIP_Label_cd97076e-e5a9-49b1-9873-62b6e38f493d_SetDate">
    <vt:lpwstr>2026-05-26T21:26:35Z</vt:lpwstr>
  </property>
  <property fmtid="{D5CDD505-2E9C-101B-9397-08002B2CF9AE}" pid="5" name="MSIP_Label_cd97076e-e5a9-49b1-9873-62b6e38f493d_Method">
    <vt:lpwstr>Standard</vt:lpwstr>
  </property>
  <property fmtid="{D5CDD505-2E9C-101B-9397-08002B2CF9AE}" pid="6" name="MSIP_Label_cd97076e-e5a9-49b1-9873-62b6e38f493d_Name">
    <vt:lpwstr>IP-Internal</vt:lpwstr>
  </property>
  <property fmtid="{D5CDD505-2E9C-101B-9397-08002B2CF9AE}" pid="7" name="MSIP_Label_cd97076e-e5a9-49b1-9873-62b6e38f493d_SiteId">
    <vt:lpwstr>a2e7980c-11ea-4838-8f1a-2f497d8c4072</vt:lpwstr>
  </property>
  <property fmtid="{D5CDD505-2E9C-101B-9397-08002B2CF9AE}" pid="8" name="MSIP_Label_cd97076e-e5a9-49b1-9873-62b6e38f493d_ActionId">
    <vt:lpwstr>49c463b8-a19d-423c-96ee-3143a6b237c7</vt:lpwstr>
  </property>
  <property fmtid="{D5CDD505-2E9C-101B-9397-08002B2CF9AE}" pid="9" name="MSIP_Label_cd97076e-e5a9-49b1-9873-62b6e38f493d_ContentBits">
    <vt:lpwstr>0</vt:lpwstr>
  </property>
  <property fmtid="{D5CDD505-2E9C-101B-9397-08002B2CF9AE}" pid="10" name="MSIP_Label_cd97076e-e5a9-49b1-9873-62b6e38f493d_Tag">
    <vt:lpwstr>10, 3, 0, 1</vt:lpwstr>
  </property>
</Properties>
</file>