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tmy\Documents\Projects\GO 131 Update\Implementation\Pilot\Dashboard\"/>
    </mc:Choice>
  </mc:AlternateContent>
  <xr:revisionPtr revIDLastSave="0" documentId="13_ncr:1_{F6D06AA9-C3F9-4C8B-BB4A-7B60BEF7AEEF}" xr6:coauthVersionLast="47" xr6:coauthVersionMax="47" xr10:uidLastSave="{00000000-0000-0000-0000-000000000000}"/>
  <bookViews>
    <workbookView xWindow="2268" yWindow="2268" windowWidth="17280" windowHeight="8928" xr2:uid="{40B3D802-8BC5-4526-A86B-FC07EE47892A}"/>
  </bookViews>
  <sheets>
    <sheet name="Data" sheetId="1" r:id="rId1"/>
    <sheet name="Metrics (Detailed)" sheetId="4" r:id="rId2"/>
    <sheet name="Metrics (High-Level)" sheetId="2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" i="4" l="1" a="1"/>
  <c r="S3" i="4"/>
  <c r="S4" i="4" a="1"/>
  <c r="S4" i="4"/>
  <c r="S5" i="4" a="1"/>
  <c r="S5" i="4"/>
  <c r="S6" i="4" a="1"/>
  <c r="S6" i="4"/>
  <c r="S7" i="4" a="1"/>
  <c r="S7" i="4"/>
  <c r="S8" i="4" a="1"/>
  <c r="S8" i="4"/>
  <c r="S9" i="4" a="1"/>
  <c r="S9" i="4"/>
  <c r="S10" i="4" a="1"/>
  <c r="S10" i="4"/>
  <c r="R4" i="4" a="1"/>
  <c r="R4" i="4"/>
  <c r="R5" i="4" a="1"/>
  <c r="R5" i="4"/>
  <c r="R6" i="4" a="1"/>
  <c r="R6" i="4"/>
  <c r="R7" i="4" a="1"/>
  <c r="R7" i="4"/>
  <c r="R8" i="4" a="1"/>
  <c r="R8" i="4"/>
  <c r="R9" i="4" a="1"/>
  <c r="R9" i="4"/>
  <c r="R10" i="4" a="1"/>
  <c r="R10" i="4"/>
  <c r="R3" i="4" a="1"/>
  <c r="R3" i="4"/>
  <c r="Q3" i="4" a="1"/>
  <c r="Q3" i="4"/>
  <c r="Q4" i="4" a="1"/>
  <c r="Q4" i="4"/>
  <c r="Q5" i="4" a="1"/>
  <c r="Q5" i="4"/>
  <c r="Q6" i="4" a="1"/>
  <c r="Q6" i="4"/>
  <c r="Q7" i="4" a="1"/>
  <c r="Q7" i="4"/>
  <c r="Q8" i="4" a="1"/>
  <c r="Q8" i="4"/>
  <c r="Q9" i="4" a="1"/>
  <c r="Q9" i="4"/>
  <c r="Q10" i="4" a="1"/>
  <c r="Q10" i="4"/>
  <c r="K3" i="4"/>
  <c r="K4" i="4"/>
  <c r="K5" i="4"/>
  <c r="K6" i="4"/>
  <c r="J6" i="4"/>
  <c r="E10" i="4"/>
  <c r="E3" i="4"/>
  <c r="E4" i="4"/>
  <c r="E5" i="4"/>
  <c r="E6" i="4"/>
  <c r="E7" i="4"/>
  <c r="E8" i="4"/>
  <c r="E9" i="4"/>
  <c r="D9" i="4"/>
  <c r="J5" i="4"/>
  <c r="J4" i="4"/>
  <c r="J3" i="4"/>
  <c r="J8" i="4"/>
  <c r="J9" i="4"/>
  <c r="J10" i="4"/>
  <c r="J7" i="4"/>
  <c r="I4" i="4"/>
  <c r="I5" i="4"/>
  <c r="I6" i="4"/>
  <c r="I7" i="4"/>
  <c r="I8" i="4"/>
  <c r="I9" i="4"/>
  <c r="I10" i="4"/>
  <c r="I3" i="4"/>
  <c r="F3" i="4"/>
  <c r="F4" i="4"/>
  <c r="F5" i="4"/>
  <c r="F6" i="4"/>
  <c r="F7" i="4"/>
  <c r="F8" i="4"/>
  <c r="F9" i="4"/>
  <c r="F10" i="4"/>
  <c r="D10" i="4"/>
  <c r="N10" i="4"/>
  <c r="O10" i="4"/>
  <c r="P10" i="4"/>
  <c r="L10" i="4"/>
  <c r="G10" i="4"/>
  <c r="H10" i="4"/>
  <c r="K10" i="4"/>
  <c r="C10" i="4"/>
  <c r="B10" i="4"/>
  <c r="L10" i="2"/>
  <c r="L3" i="2"/>
  <c r="L4" i="2"/>
  <c r="L5" i="2"/>
  <c r="L6" i="2"/>
  <c r="L7" i="2"/>
  <c r="L8" i="2"/>
  <c r="L9" i="2"/>
  <c r="K10" i="2"/>
  <c r="H10" i="2"/>
  <c r="I10" i="2"/>
  <c r="J10" i="2"/>
  <c r="M10" i="2"/>
  <c r="N10" i="2"/>
  <c r="O10" i="2"/>
  <c r="H3" i="2"/>
  <c r="H8" i="2"/>
  <c r="F4" i="2"/>
  <c r="F5" i="2"/>
  <c r="F6" i="2"/>
  <c r="F7" i="2"/>
  <c r="F8" i="2"/>
  <c r="F9" i="2"/>
  <c r="F3" i="2"/>
  <c r="G4" i="2"/>
  <c r="G5" i="2"/>
  <c r="G6" i="2"/>
  <c r="G7" i="2"/>
  <c r="G8" i="2"/>
  <c r="G9" i="2"/>
  <c r="G3" i="2"/>
  <c r="H9" i="2"/>
  <c r="H7" i="2"/>
  <c r="H6" i="2"/>
  <c r="H5" i="2"/>
  <c r="H4" i="2"/>
  <c r="D4" i="4"/>
  <c r="D5" i="4"/>
  <c r="D6" i="4"/>
  <c r="D7" i="4"/>
  <c r="D8" i="4"/>
  <c r="D3" i="4"/>
  <c r="O6" i="2"/>
  <c r="I3" i="2"/>
  <c r="I4" i="2"/>
  <c r="I5" i="2"/>
  <c r="I6" i="2"/>
  <c r="I8" i="2"/>
  <c r="I9" i="2"/>
  <c r="I7" i="2"/>
  <c r="J4" i="2"/>
  <c r="J6" i="2"/>
  <c r="J5" i="2"/>
  <c r="J3" i="2"/>
  <c r="J9" i="2"/>
  <c r="J7" i="2"/>
  <c r="J8" i="2"/>
  <c r="K4" i="2"/>
  <c r="K6" i="2"/>
  <c r="K5" i="2"/>
  <c r="K3" i="2"/>
  <c r="K9" i="2"/>
  <c r="K7" i="2"/>
  <c r="K8" i="2"/>
  <c r="C6" i="4"/>
  <c r="C5" i="4"/>
  <c r="C3" i="4"/>
  <c r="C9" i="4"/>
  <c r="C7" i="4"/>
  <c r="C8" i="4"/>
  <c r="C4" i="4"/>
  <c r="B9" i="4"/>
  <c r="B7" i="4"/>
  <c r="B8" i="4"/>
  <c r="B4" i="4"/>
  <c r="B6" i="4"/>
  <c r="B5" i="4"/>
  <c r="B3" i="4"/>
  <c r="O5" i="2" l="1"/>
  <c r="O3" i="2"/>
  <c r="O9" i="2"/>
  <c r="O7" i="2"/>
  <c r="O8" i="2"/>
  <c r="M6" i="2"/>
  <c r="G6" i="4"/>
  <c r="H6" i="4"/>
  <c r="N6" i="2"/>
  <c r="L6" i="4"/>
  <c r="N6" i="4"/>
  <c r="O6" i="4"/>
  <c r="P6" i="4"/>
  <c r="M5" i="2"/>
  <c r="G5" i="4"/>
  <c r="H5" i="4"/>
  <c r="N5" i="2"/>
  <c r="L5" i="4"/>
  <c r="N5" i="4"/>
  <c r="O5" i="4"/>
  <c r="P5" i="4"/>
  <c r="M3" i="2"/>
  <c r="G3" i="4"/>
  <c r="H3" i="4"/>
  <c r="N3" i="2"/>
  <c r="L3" i="4"/>
  <c r="N3" i="4"/>
  <c r="O3" i="4"/>
  <c r="P3" i="4"/>
  <c r="M9" i="2"/>
  <c r="G9" i="4"/>
  <c r="H9" i="4"/>
  <c r="N9" i="2"/>
  <c r="K9" i="4"/>
  <c r="L9" i="4"/>
  <c r="N9" i="4"/>
  <c r="O9" i="4"/>
  <c r="P9" i="4"/>
  <c r="M7" i="2"/>
  <c r="G7" i="4"/>
  <c r="H7" i="4"/>
  <c r="N7" i="2"/>
  <c r="K7" i="4"/>
  <c r="L7" i="4"/>
  <c r="N7" i="4"/>
  <c r="O7" i="4"/>
  <c r="P7" i="4"/>
  <c r="M8" i="2"/>
  <c r="G8" i="4"/>
  <c r="H8" i="4"/>
  <c r="N8" i="2"/>
  <c r="K8" i="4"/>
  <c r="L8" i="4"/>
  <c r="N8" i="4"/>
  <c r="O8" i="4"/>
  <c r="P8" i="4"/>
  <c r="P4" i="4" l="1"/>
  <c r="O4" i="4"/>
  <c r="L4" i="4" l="1"/>
  <c r="N4" i="4"/>
  <c r="G4" i="4"/>
  <c r="H4" i="4"/>
  <c r="M4" i="2"/>
  <c r="N4" i="2"/>
  <c r="O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<sst xmlns="http://schemas.openxmlformats.org/spreadsheetml/2006/main" count="414" uniqueCount="168">
  <si>
    <t xml:space="preserve">     Project Attributes</t>
  </si>
  <si>
    <t xml:space="preserve">     Dates</t>
  </si>
  <si>
    <t>Project Name</t>
  </si>
  <si>
    <t>Applicant(s)</t>
  </si>
  <si>
    <t>Application No.</t>
  </si>
  <si>
    <t>Filed Under</t>
  </si>
  <si>
    <t>Federal Involvement</t>
  </si>
  <si>
    <t>Permit Type</t>
  </si>
  <si>
    <t>CEQA Document Type (Expected)</t>
  </si>
  <si>
    <t>NEPA Document Type</t>
  </si>
  <si>
    <t>Voltage(s)</t>
  </si>
  <si>
    <t>Miles or Acreage</t>
  </si>
  <si>
    <t>Competively Bid or Non-Competitively Bid</t>
  </si>
  <si>
    <t>CAISO Approval Year</t>
  </si>
  <si>
    <t>Expected In-Service Date</t>
  </si>
  <si>
    <t>CAISO Award Date</t>
  </si>
  <si>
    <t>12-Month Notice Date</t>
  </si>
  <si>
    <t>Date MOU Executed</t>
  </si>
  <si>
    <t>Date Contractor Selected</t>
  </si>
  <si>
    <t>Date Contract Executed</t>
  </si>
  <si>
    <t>Pre-Filing Date</t>
  </si>
  <si>
    <t>File Date</t>
  </si>
  <si>
    <t>Deficiency Letter 1 Date</t>
  </si>
  <si>
    <t>Deficiency Letter 1 Response Date</t>
  </si>
  <si>
    <t>Deficiency Letter 1 Topic(s)</t>
  </si>
  <si>
    <t>Deficiency Letter 2 Date</t>
  </si>
  <si>
    <t>Deficiency Letter 2 Response Date</t>
  </si>
  <si>
    <t>Deficiency Letter 2 Topic(s)</t>
  </si>
  <si>
    <t>Deficiency Letter 3 Date</t>
  </si>
  <si>
    <t>Deficiency Letter 3 Response Date</t>
  </si>
  <si>
    <t>Deficiency Letter 3 Topic(s)</t>
  </si>
  <si>
    <t>Date Deemed Complete</t>
  </si>
  <si>
    <t>Amendment 1 File Date(s)</t>
  </si>
  <si>
    <t>Amendment 2 File Date</t>
  </si>
  <si>
    <t>Amendment 3 File Date</t>
  </si>
  <si>
    <t>Data Request 1 Date</t>
  </si>
  <si>
    <t>Data Request 1 Response Date</t>
  </si>
  <si>
    <t>Data Request 1 Topic(s)</t>
  </si>
  <si>
    <t>Data Request 2 Date</t>
  </si>
  <si>
    <t>Data Request 2 Response Date</t>
  </si>
  <si>
    <t>Data Request 2 Topic(s)</t>
  </si>
  <si>
    <t>Data Request 3 Date</t>
  </si>
  <si>
    <t>Data Request 3 Response Date</t>
  </si>
  <si>
    <t>Data Request 3 Topic(s)</t>
  </si>
  <si>
    <t>Data Request 4 Date</t>
  </si>
  <si>
    <t>Data Request 4 Response Date</t>
  </si>
  <si>
    <t>Data Request 4 Topic(s)</t>
  </si>
  <si>
    <t>Data Request 5 Date</t>
  </si>
  <si>
    <t>Data Request 5 Response Date</t>
  </si>
  <si>
    <t>Data Request 5 Topic(s)</t>
  </si>
  <si>
    <t>Data Request 6 Date</t>
  </si>
  <si>
    <t>Data Request 6 Response Date</t>
  </si>
  <si>
    <t>Data Request 6 Topic(s)</t>
  </si>
  <si>
    <t>Data Request 7 Date</t>
  </si>
  <si>
    <t>Data Request 7 Response Date</t>
  </si>
  <si>
    <t>Data Request 7 Topic(s)</t>
  </si>
  <si>
    <t>Data Request 8 Date</t>
  </si>
  <si>
    <t>Data Request 8 Response Date</t>
  </si>
  <si>
    <t>Data Request 8 Topic(s)</t>
  </si>
  <si>
    <t>Public Draft CEQA Document Date</t>
  </si>
  <si>
    <t>Final CEQA Document Date</t>
  </si>
  <si>
    <t>Prehearing Conference Date</t>
  </si>
  <si>
    <t>Proposed Decision Date</t>
  </si>
  <si>
    <t>Final Decision Date</t>
  </si>
  <si>
    <t>Construction Start Date</t>
  </si>
  <si>
    <t>NEPA - Lead Agency</t>
  </si>
  <si>
    <t>NEPA - Lead Agency File Date</t>
  </si>
  <si>
    <t>NEPA - NOI Date (if EIS)</t>
  </si>
  <si>
    <t>NEPA - Public Draft NEPA Document Date</t>
  </si>
  <si>
    <t>NEPA - NHPA Section 106 Completion Date</t>
  </si>
  <si>
    <t>NEPA - ESA Consultation Completion Date</t>
  </si>
  <si>
    <t>NEPA - FONSI Date (if EA)</t>
  </si>
  <si>
    <t>NEPA - Record of Decision Date (if EIS)</t>
  </si>
  <si>
    <t>Gorman-Kern River TLRR Project</t>
  </si>
  <si>
    <t>A.22-02-014</t>
  </si>
  <si>
    <t>GO 131-D</t>
  </si>
  <si>
    <t>Yes</t>
  </si>
  <si>
    <t>PTC</t>
  </si>
  <si>
    <t>IS/MND</t>
  </si>
  <si>
    <t>N/A</t>
  </si>
  <si>
    <t>66 kV</t>
  </si>
  <si>
    <t>65.3 miles</t>
  </si>
  <si>
    <t>Non-Competitively Bid</t>
  </si>
  <si>
    <t>Q3 2029</t>
  </si>
  <si>
    <t>Details on project description needed, gaps in cultural inventory survey areas &amp; findings</t>
  </si>
  <si>
    <t>Continued comments on cultural analysis</t>
  </si>
  <si>
    <t>Continued comment on response to Deficiency Letter #1</t>
  </si>
  <si>
    <t>Environmental information</t>
  </si>
  <si>
    <t>Environmental information, Environmental analysis methodology</t>
  </si>
  <si>
    <t>Project description information, environmental information</t>
  </si>
  <si>
    <t>Environmental analysis methodology</t>
  </si>
  <si>
    <t>USFS</t>
  </si>
  <si>
    <t>Manning 500/230 kV Substation Project</t>
  </si>
  <si>
    <t>A.24-06-017</t>
  </si>
  <si>
    <t>No</t>
  </si>
  <si>
    <t>CPCN</t>
  </si>
  <si>
    <t>230 kV, 500 kV</t>
  </si>
  <si>
    <t>11.5 miles</t>
  </si>
  <si>
    <t>Competitively Bid</t>
  </si>
  <si>
    <t>Project description information, Environmental information, Environmental analysis methodology</t>
  </si>
  <si>
    <t>Plainfield Substation Upgrade Project</t>
  </si>
  <si>
    <t>A.24-06-008</t>
  </si>
  <si>
    <t>60 kV</t>
  </si>
  <si>
    <t>6.1 acres</t>
  </si>
  <si>
    <t>Project description information, Environmental information, Environmental analysis methodology, Data</t>
  </si>
  <si>
    <t>Project description information</t>
  </si>
  <si>
    <t xml:space="preserve">Power the South Bay Project </t>
  </si>
  <si>
    <t>A.24-05-014</t>
  </si>
  <si>
    <t>EIR</t>
  </si>
  <si>
    <t>230 kV</t>
  </si>
  <si>
    <t>12 miles</t>
  </si>
  <si>
    <t>APSA</t>
  </si>
  <si>
    <t>Project description information, Consultation</t>
  </si>
  <si>
    <t>Project description information, environmental information, Consultation</t>
  </si>
  <si>
    <t>North of SONGS-Serrano 500 kV Project</t>
  </si>
  <si>
    <t>TBD</t>
  </si>
  <si>
    <t>GO 131-E</t>
  </si>
  <si>
    <t>500 kV</t>
  </si>
  <si>
    <t>30 miles</t>
  </si>
  <si>
    <t>Suncrest 230 kV Loop-in Project</t>
  </si>
  <si>
    <t>16 miles</t>
  </si>
  <si>
    <t>Timepiece 115/33 kV Substation Project</t>
  </si>
  <si>
    <t>115 kV, 33 kV</t>
  </si>
  <si>
    <t>Q2 2030</t>
  </si>
  <si>
    <t>Ironwood Transmission Line Project</t>
  </si>
  <si>
    <t>A.25-09-008</t>
  </si>
  <si>
    <t>EIS</t>
  </si>
  <si>
    <t>86 miles</t>
  </si>
  <si>
    <t>BLM</t>
  </si>
  <si>
    <t xml:space="preserve">     Performance Metrics (Detailed)</t>
  </si>
  <si>
    <t>Time from CAISO Award to 12-Month Notice (days)</t>
  </si>
  <si>
    <t>Time from 12-Month Notice to Pre-Filing Date (days)</t>
  </si>
  <si>
    <t>Pre-Filing Time to Date (days)</t>
  </si>
  <si>
    <t>Contract Execution Time (days)</t>
  </si>
  <si>
    <t>Number of Deficiency Letters</t>
  </si>
  <si>
    <t>Deficiency Letter Response Time (Average)</t>
  </si>
  <si>
    <t>Deficiency Letter Response Time (Total) (days)</t>
  </si>
  <si>
    <t>Number of Data Requests</t>
  </si>
  <si>
    <t>Data Request Response Time (Average) (days)</t>
  </si>
  <si>
    <t>Data Request Response Time (Total) (days)</t>
  </si>
  <si>
    <t>Time to Release Public Draft (days)</t>
  </si>
  <si>
    <t>Number of Public Comments</t>
  </si>
  <si>
    <t>Time from Draft CEQA to PHC</t>
  </si>
  <si>
    <t>Time from Final CEQA to Final Decision</t>
  </si>
  <si>
    <t>Time from PHC to Final Decision</t>
  </si>
  <si>
    <t>Time from NEPA Filing to NHPA Completion</t>
  </si>
  <si>
    <t>Time from NEPA Filing to ESA Completion</t>
  </si>
  <si>
    <t>Time from NEPA Filing to FONSI or Record of Decision</t>
  </si>
  <si>
    <t>Plainfield Substation Project</t>
  </si>
  <si>
    <r>
      <t xml:space="preserve">     </t>
    </r>
    <r>
      <rPr>
        <b/>
        <sz val="11"/>
        <color theme="1"/>
        <rFont val="Aptos Narrow"/>
        <family val="2"/>
        <scheme val="minor"/>
      </rPr>
      <t>Performance Metrics (High-Level)</t>
    </r>
  </si>
  <si>
    <t>Clock: Pre-Filing Time to Date</t>
  </si>
  <si>
    <t>Clock: Total Time to Deem Application Complete</t>
  </si>
  <si>
    <t>Clock: Total CEQA Time</t>
  </si>
  <si>
    <t>Clock: Total CPUC Permit Time</t>
  </si>
  <si>
    <t>Clock: Total NEPA Time</t>
  </si>
  <si>
    <t>Number of Amendments</t>
  </si>
  <si>
    <t>Status</t>
  </si>
  <si>
    <t>Approved</t>
  </si>
  <si>
    <t>Pending</t>
  </si>
  <si>
    <t>Prefiling Support</t>
  </si>
  <si>
    <t>Draft Document Preparation</t>
  </si>
  <si>
    <t>EIR (expected)</t>
  </si>
  <si>
    <t>IS/MND (expected)</t>
  </si>
  <si>
    <t>Southern California Edison (SCE)</t>
  </si>
  <si>
    <t>LS Power Grid California (LSPGC)</t>
  </si>
  <si>
    <t>Pacific Gas &amp; Electric (PG&amp;E)</t>
  </si>
  <si>
    <t>San Diego Gas &amp; Electric (SDG&amp;E)</t>
  </si>
  <si>
    <t>Horizon West Transmission (HWT)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</si>
</sst>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2F2F2"/>
        <bgColor rgb="FF000000"/>
      </patternFill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14" fontId="0" fillId="0" borderId="0" xfId="0" applyNumberFormat="1"/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2" fontId="0" fillId="0" borderId="0" xfId="0" applyNumberFormat="1"/>
    <xf numFmtId="1" fontId="0" fillId="0" borderId="0" xfId="0" applyNumberFormat="1"/>
    <xf numFmtId="1" fontId="0" fillId="0" borderId="0" xfId="0" applyNumberFormat="1" applyAlignment="1">
      <alignment horizontal="right"/>
    </xf>
    <xf numFmtId="14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2" fontId="0" fillId="0" borderId="0" xfId="0" applyNumberFormat="1" applyAlignment="1">
      <alignment horizontal="right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/>
    </xf>
    <xf numFmtId="0" fontId="2" fillId="3" borderId="2" xfId="0" applyFont="1" applyFill="1" applyBorder="1" applyAlignment="1">
      <alignment horizontal="left" vertical="center"/>
    </xf>
    <xf numFmtId="0" fontId="2" fillId="3" borderId="3" xfId="0" applyFont="1" applyFill="1" applyBorder="1" applyAlignment="1">
      <alignment horizontal="left" vertical="center"/>
    </xf>
    <xf numFmtId="0" fontId="2" fillId="3" borderId="14" xfId="0" applyFont="1" applyFill="1" applyBorder="1" applyAlignment="1">
      <alignment horizontal="left" vertical="center"/>
    </xf>
    <xf numFmtId="0" fontId="2" fillId="3" borderId="15" xfId="0" applyFont="1" applyFill="1" applyBorder="1" applyAlignment="1">
      <alignment horizontal="left" vertical="center"/>
    </xf>
    <xf numFmtId="0" fontId="2" fillId="3" borderId="16" xfId="0" applyFont="1" applyFill="1" applyBorder="1" applyAlignment="1">
      <alignment horizontal="left" vertical="center"/>
    </xf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A4418-4E93-4746-A43C-0667DEC94F05}">
  <dimension ref="A1:BS12"/>
  <sheetViews>
    <sheetView tabSelected="1" zoomScale="99" workbookViewId="0">
      <pane xSplit="1" topLeftCell="B1" activePane="topRight" state="frozen"/>
      <selection pane="topRight" activeCell="B10" sqref="B3:B10"/>
    </sheetView>
  </sheetViews>
  <sheetFormatPr defaultColWidth="19" defaultRowHeight="15" customHeight="1" x14ac:dyDescent="0.3"/>
  <cols>
    <col min="1" max="1" width="35.5546875" customWidth="1"/>
    <col min="2" max="2" width="28.77734375" customWidth="1"/>
    <col min="3" max="4" width="20.33203125" customWidth="1"/>
    <col min="5" max="5" width="12.6640625" customWidth="1"/>
    <col min="6" max="6" width="11.33203125" customWidth="1"/>
    <col min="7" max="7" width="15.33203125" customWidth="1"/>
    <col min="8" max="8" width="14.6640625" customWidth="1"/>
    <col min="9" max="9" width="13.6640625" customWidth="1"/>
    <col min="10" max="10" width="13.109375" customWidth="1"/>
    <col min="11" max="11" width="20.44140625" customWidth="1"/>
    <col min="12" max="12" width="14.33203125" customWidth="1"/>
    <col min="13" max="13" width="12" style="8" customWidth="1"/>
    <col min="14" max="14" width="12.109375" style="8" customWidth="1"/>
    <col min="15" max="18" width="11.33203125" style="8" customWidth="1"/>
    <col min="19" max="19" width="10.109375" style="8" customWidth="1"/>
    <col min="20" max="20" width="10.88671875" style="8" customWidth="1"/>
    <col min="21" max="21" width="16.33203125" style="8" customWidth="1"/>
    <col min="22" max="29" width="18" style="8" customWidth="1"/>
    <col min="30" max="30" width="13.88671875" style="8" customWidth="1"/>
    <col min="31" max="33" width="14.33203125" style="8" customWidth="1"/>
    <col min="34" max="34" width="15.33203125" style="8" customWidth="1"/>
    <col min="35" max="47" width="19" style="8"/>
    <col min="48" max="48" width="21.5546875" style="8" customWidth="1"/>
    <col min="49" max="57" width="19" style="8"/>
    <col min="58" max="58" width="16.5546875" style="8" customWidth="1"/>
    <col min="59" max="59" width="14.109375" style="8" customWidth="1"/>
    <col min="60" max="60" width="14.6640625" style="8" customWidth="1"/>
    <col min="61" max="61" width="13.6640625" style="8" customWidth="1"/>
    <col min="62" max="64" width="12.33203125" style="8" customWidth="1"/>
    <col min="65" max="65" width="14.6640625" style="8" customWidth="1"/>
    <col min="66" max="66" width="14.33203125" style="8" customWidth="1"/>
    <col min="67" max="68" width="19" style="8"/>
    <col min="69" max="69" width="21.109375" style="8" customWidth="1"/>
    <col min="70" max="70" width="12.6640625" style="8" customWidth="1"/>
    <col min="71" max="71" width="17.88671875" style="8" customWidth="1"/>
    <col min="72" max="16384" width="19" style="8"/>
  </cols>
  <sheetData>
    <row r="1" spans="1:71" customFormat="1" ht="26.4" customHeight="1" thickBot="1" x14ac:dyDescent="0.35">
      <c r="A1" s="21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3"/>
      <c r="N1" s="21" t="s">
        <v>1</v>
      </c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3"/>
    </row>
    <row r="2" spans="1:71" s="1" customFormat="1" ht="43.2" x14ac:dyDescent="0.3">
      <c r="A2" s="2" t="s">
        <v>2</v>
      </c>
      <c r="B2" s="3" t="s">
        <v>3</v>
      </c>
      <c r="C2" s="6" t="s">
        <v>4</v>
      </c>
      <c r="D2" s="6" t="s">
        <v>5</v>
      </c>
      <c r="E2" s="3" t="s">
        <v>6</v>
      </c>
      <c r="F2" s="3" t="s">
        <v>7</v>
      </c>
      <c r="G2" s="7" t="s">
        <v>8</v>
      </c>
      <c r="H2" s="3" t="s">
        <v>9</v>
      </c>
      <c r="I2" s="3" t="s">
        <v>10</v>
      </c>
      <c r="J2" s="3" t="s">
        <v>11</v>
      </c>
      <c r="K2" s="6" t="s">
        <v>12</v>
      </c>
      <c r="L2" s="6" t="s">
        <v>13</v>
      </c>
      <c r="M2" s="3" t="s">
        <v>14</v>
      </c>
      <c r="N2" s="3" t="s">
        <v>15</v>
      </c>
      <c r="O2" s="3" t="s">
        <v>16</v>
      </c>
      <c r="P2" s="3" t="s">
        <v>17</v>
      </c>
      <c r="Q2" s="3" t="s">
        <v>18</v>
      </c>
      <c r="R2" s="3" t="s">
        <v>19</v>
      </c>
      <c r="S2" s="7" t="s">
        <v>20</v>
      </c>
      <c r="T2" s="3" t="s">
        <v>21</v>
      </c>
      <c r="U2" s="3" t="s">
        <v>22</v>
      </c>
      <c r="V2" s="3" t="s">
        <v>23</v>
      </c>
      <c r="W2" s="3" t="s">
        <v>24</v>
      </c>
      <c r="X2" s="3" t="s">
        <v>25</v>
      </c>
      <c r="Y2" s="3" t="s">
        <v>26</v>
      </c>
      <c r="Z2" s="3" t="s">
        <v>27</v>
      </c>
      <c r="AA2" s="3" t="s">
        <v>28</v>
      </c>
      <c r="AB2" s="3" t="s">
        <v>29</v>
      </c>
      <c r="AC2" s="3" t="s">
        <v>30</v>
      </c>
      <c r="AD2" s="3" t="s">
        <v>31</v>
      </c>
      <c r="AE2" s="3" t="s">
        <v>32</v>
      </c>
      <c r="AF2" s="3" t="s">
        <v>33</v>
      </c>
      <c r="AG2" s="3" t="s">
        <v>34</v>
      </c>
      <c r="AH2" s="3" t="s">
        <v>35</v>
      </c>
      <c r="AI2" s="3" t="s">
        <v>36</v>
      </c>
      <c r="AJ2" s="3" t="s">
        <v>37</v>
      </c>
      <c r="AK2" s="3" t="s">
        <v>38</v>
      </c>
      <c r="AL2" s="3" t="s">
        <v>39</v>
      </c>
      <c r="AM2" s="3" t="s">
        <v>40</v>
      </c>
      <c r="AN2" s="3" t="s">
        <v>41</v>
      </c>
      <c r="AO2" s="3" t="s">
        <v>42</v>
      </c>
      <c r="AP2" s="3" t="s">
        <v>43</v>
      </c>
      <c r="AQ2" s="3" t="s">
        <v>44</v>
      </c>
      <c r="AR2" s="3" t="s">
        <v>45</v>
      </c>
      <c r="AS2" s="3" t="s">
        <v>46</v>
      </c>
      <c r="AT2" s="3" t="s">
        <v>47</v>
      </c>
      <c r="AU2" s="3" t="s">
        <v>48</v>
      </c>
      <c r="AV2" s="3" t="s">
        <v>49</v>
      </c>
      <c r="AW2" s="3" t="s">
        <v>50</v>
      </c>
      <c r="AX2" s="3" t="s">
        <v>51</v>
      </c>
      <c r="AY2" s="3" t="s">
        <v>52</v>
      </c>
      <c r="AZ2" s="3" t="s">
        <v>53</v>
      </c>
      <c r="BA2" s="3" t="s">
        <v>54</v>
      </c>
      <c r="BB2" s="3" t="s">
        <v>55</v>
      </c>
      <c r="BC2" s="3" t="s">
        <v>56</v>
      </c>
      <c r="BD2" s="3" t="s">
        <v>57</v>
      </c>
      <c r="BE2" s="3" t="s">
        <v>58</v>
      </c>
      <c r="BF2" s="3" t="s">
        <v>59</v>
      </c>
      <c r="BG2" s="3" t="s">
        <v>60</v>
      </c>
      <c r="BH2" s="3" t="s">
        <v>61</v>
      </c>
      <c r="BI2" s="3" t="s">
        <v>62</v>
      </c>
      <c r="BJ2" s="3" t="s">
        <v>63</v>
      </c>
      <c r="BK2" s="3" t="s">
        <v>64</v>
      </c>
      <c r="BL2" s="3" t="s">
        <v>65</v>
      </c>
      <c r="BM2" s="3" t="s">
        <v>66</v>
      </c>
      <c r="BN2" s="7" t="s">
        <v>67</v>
      </c>
      <c r="BO2" s="3" t="s">
        <v>68</v>
      </c>
      <c r="BP2" s="3" t="s">
        <v>69</v>
      </c>
      <c r="BQ2" s="3" t="s">
        <v>70</v>
      </c>
      <c r="BR2" s="6" t="s">
        <v>71</v>
      </c>
      <c r="BS2" s="4" t="s">
        <v>72</v>
      </c>
    </row>
    <row r="3" spans="1:71" ht="15" customHeight="1" x14ac:dyDescent="0.3">
      <c r="A3" t="s">
        <v>73</v>
      </c>
      <c r="B3" t="s">
        <v>163</v>
      </c>
      <c r="C3" t="s">
        <v>74</v>
      </c>
      <c r="D3" t="s">
        <v>75</v>
      </c>
      <c r="E3" t="s">
        <v>76</v>
      </c>
      <c r="F3" t="s">
        <v>77</v>
      </c>
      <c r="G3" t="s">
        <v>78</v>
      </c>
      <c r="H3" t="s">
        <v>79</v>
      </c>
      <c r="I3" t="s">
        <v>80</v>
      </c>
      <c r="J3" t="s">
        <v>81</v>
      </c>
      <c r="K3" t="s">
        <v>82</v>
      </c>
      <c r="L3" s="8" t="s">
        <v>79</v>
      </c>
      <c r="M3" s="8" t="s">
        <v>83</v>
      </c>
      <c r="N3" s="8" t="s">
        <v>79</v>
      </c>
      <c r="O3" s="12">
        <v>42859</v>
      </c>
      <c r="P3" s="12">
        <v>44010</v>
      </c>
      <c r="Q3" s="12">
        <v>43752</v>
      </c>
      <c r="R3" s="12">
        <v>43805</v>
      </c>
      <c r="S3" s="12">
        <v>44393</v>
      </c>
      <c r="T3" s="12">
        <v>44620</v>
      </c>
      <c r="U3" s="12">
        <v>44649</v>
      </c>
      <c r="V3" s="12">
        <v>44824</v>
      </c>
      <c r="W3" s="13" t="s">
        <v>84</v>
      </c>
      <c r="X3" s="12">
        <v>44680</v>
      </c>
      <c r="Y3" s="12">
        <v>44775</v>
      </c>
      <c r="Z3" s="13" t="s">
        <v>85</v>
      </c>
      <c r="AA3" s="12">
        <v>44865</v>
      </c>
      <c r="AB3" s="12">
        <v>44896</v>
      </c>
      <c r="AC3" s="13" t="s">
        <v>86</v>
      </c>
      <c r="AD3" s="12">
        <v>45189</v>
      </c>
      <c r="AH3" s="12">
        <v>44970</v>
      </c>
      <c r="AI3" s="12">
        <v>45007</v>
      </c>
      <c r="AJ3" t="s">
        <v>87</v>
      </c>
      <c r="AK3" s="12">
        <v>45026</v>
      </c>
      <c r="AL3" s="12">
        <v>45126</v>
      </c>
      <c r="AM3" t="s">
        <v>88</v>
      </c>
      <c r="AN3" s="12">
        <v>45085</v>
      </c>
      <c r="AO3" s="12">
        <v>45099</v>
      </c>
      <c r="AP3" s="13" t="s">
        <v>89</v>
      </c>
      <c r="AQ3" s="12">
        <v>45112</v>
      </c>
      <c r="AR3" s="12">
        <v>45147</v>
      </c>
      <c r="AS3" s="13" t="s">
        <v>90</v>
      </c>
      <c r="AT3" s="12">
        <v>45184</v>
      </c>
      <c r="AU3" s="12">
        <v>45397</v>
      </c>
      <c r="AV3" s="13" t="s">
        <v>87</v>
      </c>
      <c r="AW3" s="12">
        <v>45281</v>
      </c>
      <c r="AX3" s="12">
        <v>45310</v>
      </c>
      <c r="AY3" s="13" t="s">
        <v>89</v>
      </c>
      <c r="AZ3" s="12" t="s">
        <v>79</v>
      </c>
      <c r="BA3" s="12" t="s">
        <v>79</v>
      </c>
      <c r="BB3" s="12" t="s">
        <v>79</v>
      </c>
      <c r="BC3" s="12" t="s">
        <v>79</v>
      </c>
      <c r="BD3" s="12" t="s">
        <v>79</v>
      </c>
      <c r="BE3" s="12" t="s">
        <v>79</v>
      </c>
      <c r="BF3" s="12">
        <v>45618</v>
      </c>
      <c r="BG3" s="12">
        <v>45743</v>
      </c>
      <c r="BH3" s="12">
        <v>45797</v>
      </c>
      <c r="BI3" s="12">
        <v>45919</v>
      </c>
      <c r="BJ3" s="12">
        <v>45960</v>
      </c>
      <c r="BK3" s="12"/>
      <c r="BL3" s="12" t="s">
        <v>91</v>
      </c>
      <c r="BM3" s="8" t="s">
        <v>79</v>
      </c>
      <c r="BN3" s="8" t="s">
        <v>79</v>
      </c>
      <c r="BO3" s="8" t="s">
        <v>79</v>
      </c>
      <c r="BP3" s="8" t="s">
        <v>79</v>
      </c>
      <c r="BQ3" s="8" t="s">
        <v>79</v>
      </c>
      <c r="BR3" s="8" t="s">
        <v>79</v>
      </c>
      <c r="BS3" s="8" t="s">
        <v>79</v>
      </c>
    </row>
    <row r="4" spans="1:71" ht="14.4" x14ac:dyDescent="0.3">
      <c r="A4" t="s">
        <v>92</v>
      </c>
      <c r="B4" t="s">
        <v>164</v>
      </c>
      <c r="C4" t="s">
        <v>93</v>
      </c>
      <c r="D4" t="s">
        <v>75</v>
      </c>
      <c r="E4" t="s">
        <v>94</v>
      </c>
      <c r="F4" t="s">
        <v>95</v>
      </c>
      <c r="G4" t="s">
        <v>78</v>
      </c>
      <c r="H4" t="s">
        <v>79</v>
      </c>
      <c r="I4" t="s">
        <v>96</v>
      </c>
      <c r="J4" t="s">
        <v>97</v>
      </c>
      <c r="K4" t="s">
        <v>98</v>
      </c>
      <c r="L4" s="8">
        <v>2022</v>
      </c>
      <c r="M4" s="12">
        <v>46905</v>
      </c>
      <c r="N4" s="5">
        <v>44949</v>
      </c>
      <c r="O4" s="12">
        <v>44971</v>
      </c>
      <c r="P4" s="12">
        <v>45061</v>
      </c>
      <c r="Q4" s="12">
        <v>45012</v>
      </c>
      <c r="R4" s="12">
        <v>45104</v>
      </c>
      <c r="S4" s="12">
        <v>45322</v>
      </c>
      <c r="T4" s="12">
        <v>45471</v>
      </c>
      <c r="U4" s="12" t="s">
        <v>79</v>
      </c>
      <c r="V4" s="12" t="s">
        <v>79</v>
      </c>
      <c r="W4" s="12" t="s">
        <v>79</v>
      </c>
      <c r="X4" s="12" t="s">
        <v>79</v>
      </c>
      <c r="Y4" s="12" t="s">
        <v>79</v>
      </c>
      <c r="Z4" s="12" t="s">
        <v>79</v>
      </c>
      <c r="AA4" s="12" t="s">
        <v>79</v>
      </c>
      <c r="AB4" s="12" t="s">
        <v>79</v>
      </c>
      <c r="AC4" s="12" t="s">
        <v>79</v>
      </c>
      <c r="AD4" s="12">
        <v>45497</v>
      </c>
      <c r="AE4" s="12" t="s">
        <v>79</v>
      </c>
      <c r="AF4" s="12" t="s">
        <v>79</v>
      </c>
      <c r="AG4" s="12" t="s">
        <v>79</v>
      </c>
      <c r="AH4" s="12">
        <v>45497</v>
      </c>
      <c r="AI4" s="12">
        <v>45555</v>
      </c>
      <c r="AJ4" t="s">
        <v>99</v>
      </c>
      <c r="AK4" s="12">
        <v>45715</v>
      </c>
      <c r="AL4" s="12">
        <v>45719</v>
      </c>
      <c r="AM4" s="13" t="s">
        <v>87</v>
      </c>
      <c r="AN4" s="12">
        <v>45794</v>
      </c>
      <c r="AO4" s="12">
        <v>45800</v>
      </c>
      <c r="AP4" s="13" t="s">
        <v>87</v>
      </c>
      <c r="AQ4" s="12">
        <v>45807</v>
      </c>
      <c r="AR4" s="12">
        <v>45813</v>
      </c>
      <c r="AS4" s="13" t="s">
        <v>87</v>
      </c>
      <c r="AT4" s="12" t="s">
        <v>79</v>
      </c>
      <c r="AU4" s="12" t="s">
        <v>79</v>
      </c>
      <c r="AV4" s="12" t="s">
        <v>79</v>
      </c>
      <c r="AW4" s="12" t="s">
        <v>79</v>
      </c>
      <c r="AX4" s="12" t="s">
        <v>79</v>
      </c>
      <c r="AY4" s="12" t="s">
        <v>79</v>
      </c>
      <c r="AZ4" s="12" t="s">
        <v>79</v>
      </c>
      <c r="BA4" s="12" t="s">
        <v>79</v>
      </c>
      <c r="BB4" s="12" t="s">
        <v>79</v>
      </c>
      <c r="BC4" s="12" t="s">
        <v>79</v>
      </c>
      <c r="BD4" s="12" t="s">
        <v>79</v>
      </c>
      <c r="BE4" s="12" t="s">
        <v>79</v>
      </c>
      <c r="BF4" s="12">
        <v>45735</v>
      </c>
      <c r="BG4" s="12">
        <v>45829</v>
      </c>
      <c r="BH4" s="12">
        <v>45791</v>
      </c>
      <c r="BI4" s="12">
        <v>45908</v>
      </c>
      <c r="BJ4" s="12">
        <v>45918</v>
      </c>
      <c r="BK4" s="12">
        <v>46073</v>
      </c>
      <c r="BL4" s="8" t="s">
        <v>79</v>
      </c>
      <c r="BM4" s="8" t="s">
        <v>79</v>
      </c>
      <c r="BN4" s="8" t="s">
        <v>79</v>
      </c>
      <c r="BO4" s="8" t="s">
        <v>79</v>
      </c>
      <c r="BP4" s="8" t="s">
        <v>79</v>
      </c>
      <c r="BQ4" s="8" t="s">
        <v>79</v>
      </c>
      <c r="BR4" s="8" t="s">
        <v>79</v>
      </c>
      <c r="BS4" s="8" t="s">
        <v>79</v>
      </c>
    </row>
    <row r="5" spans="1:71" ht="14.4" x14ac:dyDescent="0.3">
      <c r="A5" t="s">
        <v>100</v>
      </c>
      <c r="B5" t="s">
        <v>165</v>
      </c>
      <c r="C5" t="s">
        <v>101</v>
      </c>
      <c r="D5" t="s">
        <v>75</v>
      </c>
      <c r="E5" t="s">
        <v>94</v>
      </c>
      <c r="F5" t="s">
        <v>77</v>
      </c>
      <c r="G5" t="s">
        <v>78</v>
      </c>
      <c r="H5" t="s">
        <v>79</v>
      </c>
      <c r="I5" t="s">
        <v>102</v>
      </c>
      <c r="J5" t="s">
        <v>103</v>
      </c>
      <c r="K5" t="s">
        <v>82</v>
      </c>
      <c r="L5" s="8">
        <v>2011</v>
      </c>
      <c r="M5" s="12">
        <v>46569</v>
      </c>
      <c r="N5" s="5">
        <v>40674</v>
      </c>
      <c r="O5" s="12">
        <v>44960</v>
      </c>
      <c r="P5" s="12">
        <v>45023</v>
      </c>
      <c r="Q5" s="12">
        <v>44962</v>
      </c>
      <c r="R5" s="12">
        <v>45089</v>
      </c>
      <c r="S5" s="12">
        <v>45261</v>
      </c>
      <c r="T5" s="12">
        <v>45461</v>
      </c>
      <c r="U5" s="12" t="s">
        <v>79</v>
      </c>
      <c r="V5" s="12" t="s">
        <v>79</v>
      </c>
      <c r="W5" s="12" t="s">
        <v>79</v>
      </c>
      <c r="X5" s="12" t="s">
        <v>79</v>
      </c>
      <c r="Y5" s="12" t="s">
        <v>79</v>
      </c>
      <c r="Z5" s="12" t="s">
        <v>79</v>
      </c>
      <c r="AA5" s="12" t="s">
        <v>79</v>
      </c>
      <c r="AB5" s="12" t="s">
        <v>79</v>
      </c>
      <c r="AC5" s="12" t="s">
        <v>79</v>
      </c>
      <c r="AD5" s="12">
        <v>45490</v>
      </c>
      <c r="AE5" s="12" t="s">
        <v>79</v>
      </c>
      <c r="AF5" s="12" t="s">
        <v>79</v>
      </c>
      <c r="AG5" s="12" t="s">
        <v>79</v>
      </c>
      <c r="AH5" s="12">
        <v>45490</v>
      </c>
      <c r="AI5" s="12">
        <v>45506</v>
      </c>
      <c r="AJ5" t="s">
        <v>104</v>
      </c>
      <c r="AK5" s="12">
        <v>45630</v>
      </c>
      <c r="AL5" s="12">
        <v>45638</v>
      </c>
      <c r="AM5" s="13" t="s">
        <v>105</v>
      </c>
      <c r="AN5" s="12" t="s">
        <v>79</v>
      </c>
      <c r="AO5" s="12" t="s">
        <v>79</v>
      </c>
      <c r="AP5" s="12" t="s">
        <v>79</v>
      </c>
      <c r="AQ5" s="12" t="s">
        <v>79</v>
      </c>
      <c r="AR5" s="12" t="s">
        <v>79</v>
      </c>
      <c r="AS5" s="12" t="s">
        <v>79</v>
      </c>
      <c r="AT5" s="12" t="s">
        <v>79</v>
      </c>
      <c r="AU5" s="12" t="s">
        <v>79</v>
      </c>
      <c r="AV5" s="12" t="s">
        <v>79</v>
      </c>
      <c r="AW5" s="12" t="s">
        <v>79</v>
      </c>
      <c r="AX5" s="12" t="s">
        <v>79</v>
      </c>
      <c r="AY5" s="12" t="s">
        <v>79</v>
      </c>
      <c r="AZ5" s="12" t="s">
        <v>79</v>
      </c>
      <c r="BA5" s="12" t="s">
        <v>79</v>
      </c>
      <c r="BB5" s="12" t="s">
        <v>79</v>
      </c>
      <c r="BC5" s="12" t="s">
        <v>79</v>
      </c>
      <c r="BD5" s="12" t="s">
        <v>79</v>
      </c>
      <c r="BE5" s="12" t="s">
        <v>79</v>
      </c>
      <c r="BF5" s="12">
        <v>45756</v>
      </c>
      <c r="BG5" s="12">
        <v>45846</v>
      </c>
      <c r="BH5" s="12">
        <v>45820</v>
      </c>
      <c r="BI5" s="12">
        <v>45971</v>
      </c>
      <c r="BJ5" s="12">
        <v>45981</v>
      </c>
      <c r="BL5" s="8" t="s">
        <v>79</v>
      </c>
      <c r="BM5" s="8" t="s">
        <v>79</v>
      </c>
      <c r="BN5" s="8" t="s">
        <v>79</v>
      </c>
      <c r="BO5" s="8" t="s">
        <v>79</v>
      </c>
      <c r="BP5" s="8" t="s">
        <v>79</v>
      </c>
      <c r="BQ5" s="8" t="s">
        <v>79</v>
      </c>
      <c r="BR5" s="8" t="s">
        <v>79</v>
      </c>
      <c r="BS5" s="8" t="s">
        <v>79</v>
      </c>
    </row>
    <row r="6" spans="1:71" ht="14.4" x14ac:dyDescent="0.3">
      <c r="A6" t="s">
        <v>106</v>
      </c>
      <c r="B6" t="s">
        <v>164</v>
      </c>
      <c r="C6" t="s">
        <v>107</v>
      </c>
      <c r="D6" t="s">
        <v>75</v>
      </c>
      <c r="E6" t="s">
        <v>94</v>
      </c>
      <c r="F6" t="s">
        <v>95</v>
      </c>
      <c r="G6" t="s">
        <v>108</v>
      </c>
      <c r="H6" t="s">
        <v>79</v>
      </c>
      <c r="I6" t="s">
        <v>109</v>
      </c>
      <c r="J6" t="s">
        <v>110</v>
      </c>
      <c r="K6" t="s">
        <v>98</v>
      </c>
      <c r="L6" s="8">
        <v>2022</v>
      </c>
      <c r="M6" s="12">
        <v>46905</v>
      </c>
      <c r="N6" s="5">
        <v>45012</v>
      </c>
      <c r="O6" s="12">
        <v>45013</v>
      </c>
      <c r="P6" s="12">
        <v>45183</v>
      </c>
      <c r="Q6" s="12">
        <v>45072</v>
      </c>
      <c r="R6" s="12">
        <v>45187</v>
      </c>
      <c r="S6" s="12">
        <v>45343</v>
      </c>
      <c r="T6" s="12">
        <v>45429</v>
      </c>
      <c r="U6" s="12" t="s">
        <v>79</v>
      </c>
      <c r="V6" s="12" t="s">
        <v>79</v>
      </c>
      <c r="W6" s="12" t="s">
        <v>79</v>
      </c>
      <c r="X6" s="12" t="s">
        <v>79</v>
      </c>
      <c r="Y6" s="12" t="s">
        <v>79</v>
      </c>
      <c r="Z6" s="12" t="s">
        <v>79</v>
      </c>
      <c r="AA6" s="12" t="s">
        <v>79</v>
      </c>
      <c r="AB6" s="12" t="s">
        <v>79</v>
      </c>
      <c r="AC6" s="12" t="s">
        <v>79</v>
      </c>
      <c r="AD6" s="12">
        <v>45456</v>
      </c>
      <c r="AE6" s="12">
        <v>45716</v>
      </c>
      <c r="AF6" s="12" t="s">
        <v>79</v>
      </c>
      <c r="AG6" s="12" t="s">
        <v>79</v>
      </c>
      <c r="AH6" s="12">
        <v>45456</v>
      </c>
      <c r="AI6" s="12">
        <v>45483</v>
      </c>
      <c r="AJ6" t="s">
        <v>104</v>
      </c>
      <c r="AK6" s="12">
        <v>45638</v>
      </c>
      <c r="AL6" s="12">
        <v>45646</v>
      </c>
      <c r="AM6" s="13" t="s">
        <v>89</v>
      </c>
      <c r="AN6" s="12">
        <v>45658</v>
      </c>
      <c r="AO6" s="12">
        <v>45672</v>
      </c>
      <c r="AP6" s="13" t="s">
        <v>89</v>
      </c>
      <c r="AQ6" s="12">
        <v>45742</v>
      </c>
      <c r="AR6" s="12">
        <v>45768</v>
      </c>
      <c r="AS6" s="14" t="s">
        <v>111</v>
      </c>
      <c r="AT6" s="12">
        <v>45779</v>
      </c>
      <c r="AU6" s="12">
        <v>45800</v>
      </c>
      <c r="AV6" s="14" t="s">
        <v>87</v>
      </c>
      <c r="AW6" s="12">
        <v>45869</v>
      </c>
      <c r="AX6" s="12">
        <v>45888</v>
      </c>
      <c r="AY6" s="14" t="s">
        <v>105</v>
      </c>
      <c r="AZ6" s="12">
        <v>45897</v>
      </c>
      <c r="BA6" s="12">
        <v>45918</v>
      </c>
      <c r="BB6" s="14" t="s">
        <v>112</v>
      </c>
      <c r="BC6" s="12">
        <v>45940</v>
      </c>
      <c r="BD6" s="12">
        <v>45943</v>
      </c>
      <c r="BE6" s="14" t="s">
        <v>113</v>
      </c>
      <c r="BF6" s="12">
        <v>45817</v>
      </c>
      <c r="BG6" s="12">
        <v>46003</v>
      </c>
      <c r="BH6" s="12">
        <v>46013</v>
      </c>
      <c r="BI6" s="12">
        <v>45725</v>
      </c>
      <c r="BJ6" s="12">
        <v>46100</v>
      </c>
      <c r="BK6" s="12">
        <v>46111</v>
      </c>
      <c r="BL6" s="8" t="s">
        <v>79</v>
      </c>
      <c r="BM6" s="8" t="s">
        <v>79</v>
      </c>
      <c r="BN6" s="8" t="s">
        <v>79</v>
      </c>
      <c r="BO6" s="8" t="s">
        <v>79</v>
      </c>
      <c r="BP6" s="8" t="s">
        <v>79</v>
      </c>
      <c r="BQ6" s="8" t="s">
        <v>79</v>
      </c>
      <c r="BR6" s="8" t="s">
        <v>79</v>
      </c>
      <c r="BS6" s="8" t="s">
        <v>79</v>
      </c>
    </row>
    <row r="7" spans="1:71" ht="15" customHeight="1" x14ac:dyDescent="0.3">
      <c r="A7" t="s">
        <v>114</v>
      </c>
      <c r="B7" t="s">
        <v>163</v>
      </c>
      <c r="C7" t="s">
        <v>115</v>
      </c>
      <c r="D7" t="s">
        <v>116</v>
      </c>
      <c r="E7" t="s">
        <v>94</v>
      </c>
      <c r="F7" t="s">
        <v>95</v>
      </c>
      <c r="G7" s="27" t="s">
        <v>161</v>
      </c>
      <c r="H7" t="s">
        <v>79</v>
      </c>
      <c r="I7" t="s">
        <v>117</v>
      </c>
      <c r="J7" t="s">
        <v>118</v>
      </c>
      <c r="K7" t="s">
        <v>98</v>
      </c>
      <c r="L7" s="8">
        <v>2023</v>
      </c>
      <c r="M7" s="12">
        <v>49096</v>
      </c>
      <c r="N7" s="5">
        <v>45443</v>
      </c>
      <c r="O7" s="12">
        <v>45825</v>
      </c>
      <c r="P7" s="12">
        <v>45982</v>
      </c>
      <c r="Q7" s="12">
        <v>45825</v>
      </c>
      <c r="R7" s="12">
        <v>45968</v>
      </c>
      <c r="S7" s="12"/>
      <c r="AJ7"/>
      <c r="AM7" s="13"/>
      <c r="AP7" s="13"/>
      <c r="AS7" s="13"/>
      <c r="AV7" s="13"/>
      <c r="AY7" s="13"/>
      <c r="BB7" s="13"/>
      <c r="BE7" s="13"/>
      <c r="BL7" s="8" t="s">
        <v>79</v>
      </c>
      <c r="BM7" s="8" t="s">
        <v>79</v>
      </c>
      <c r="BN7" s="8" t="s">
        <v>79</v>
      </c>
      <c r="BO7" s="8" t="s">
        <v>79</v>
      </c>
      <c r="BP7" s="8" t="s">
        <v>79</v>
      </c>
      <c r="BQ7" s="8" t="s">
        <v>79</v>
      </c>
      <c r="BR7" s="8" t="s">
        <v>79</v>
      </c>
      <c r="BS7" s="8" t="s">
        <v>79</v>
      </c>
    </row>
    <row r="8" spans="1:71" s="13" customFormat="1" ht="15" customHeight="1" x14ac:dyDescent="0.3">
      <c r="A8" s="13" t="s">
        <v>119</v>
      </c>
      <c r="B8" s="13" t="s">
        <v>166</v>
      </c>
      <c r="C8" s="13" t="s">
        <v>115</v>
      </c>
      <c r="D8" t="s">
        <v>116</v>
      </c>
      <c r="E8" s="13" t="s">
        <v>76</v>
      </c>
      <c r="F8" s="13" t="s">
        <v>77</v>
      </c>
      <c r="G8" s="27" t="s">
        <v>161</v>
      </c>
      <c r="H8" s="13" t="s">
        <v>115</v>
      </c>
      <c r="I8" s="13" t="s">
        <v>109</v>
      </c>
      <c r="J8" s="13" t="s">
        <v>120</v>
      </c>
      <c r="K8" t="s">
        <v>82</v>
      </c>
      <c r="L8" s="8">
        <v>2023</v>
      </c>
      <c r="M8" s="8">
        <v>2032</v>
      </c>
      <c r="N8" s="5">
        <v>45068</v>
      </c>
      <c r="O8" s="12">
        <v>45688</v>
      </c>
      <c r="P8" s="12">
        <v>45840</v>
      </c>
      <c r="Q8" s="12">
        <v>45719</v>
      </c>
      <c r="R8" s="12">
        <v>45834</v>
      </c>
      <c r="S8" s="12">
        <v>45826</v>
      </c>
      <c r="AJ8"/>
      <c r="BL8" s="8" t="s">
        <v>91</v>
      </c>
      <c r="BM8" s="12">
        <v>45932</v>
      </c>
      <c r="BN8" s="8" t="s">
        <v>79</v>
      </c>
      <c r="BS8" s="8" t="s">
        <v>79</v>
      </c>
    </row>
    <row r="9" spans="1:71" ht="15" customHeight="1" x14ac:dyDescent="0.3">
      <c r="A9" t="s">
        <v>121</v>
      </c>
      <c r="B9" t="s">
        <v>163</v>
      </c>
      <c r="C9" t="s">
        <v>115</v>
      </c>
      <c r="D9" t="s">
        <v>116</v>
      </c>
      <c r="E9" t="s">
        <v>94</v>
      </c>
      <c r="F9" t="s">
        <v>77</v>
      </c>
      <c r="G9" s="27" t="s">
        <v>162</v>
      </c>
      <c r="H9" t="s">
        <v>79</v>
      </c>
      <c r="I9" t="s">
        <v>122</v>
      </c>
      <c r="J9" t="s">
        <v>115</v>
      </c>
      <c r="K9" t="s">
        <v>82</v>
      </c>
      <c r="L9" s="8" t="s">
        <v>79</v>
      </c>
      <c r="M9" s="8" t="s">
        <v>123</v>
      </c>
      <c r="N9" s="8" t="s">
        <v>79</v>
      </c>
      <c r="O9" s="12">
        <v>45824</v>
      </c>
      <c r="Q9" s="12">
        <v>45999</v>
      </c>
      <c r="AJ9"/>
      <c r="AM9" s="13"/>
      <c r="AP9" s="13"/>
      <c r="AS9" s="13"/>
      <c r="AV9" s="13"/>
      <c r="AY9" s="13"/>
      <c r="BB9" s="13"/>
      <c r="BE9" s="13"/>
      <c r="BK9" s="12"/>
      <c r="BL9" s="8" t="s">
        <v>79</v>
      </c>
      <c r="BM9" s="8" t="s">
        <v>79</v>
      </c>
      <c r="BN9" s="8" t="s">
        <v>79</v>
      </c>
      <c r="BO9" s="8" t="s">
        <v>79</v>
      </c>
      <c r="BP9" s="8" t="s">
        <v>79</v>
      </c>
      <c r="BQ9" s="8" t="s">
        <v>79</v>
      </c>
      <c r="BR9" s="8" t="s">
        <v>79</v>
      </c>
      <c r="BS9" s="8" t="s">
        <v>79</v>
      </c>
    </row>
    <row r="10" spans="1:71" ht="15" customHeight="1" x14ac:dyDescent="0.3">
      <c r="A10" t="s">
        <v>124</v>
      </c>
      <c r="B10" t="s">
        <v>167</v>
      </c>
      <c r="C10" t="s">
        <v>125</v>
      </c>
      <c r="D10" t="s">
        <v>116</v>
      </c>
      <c r="E10" t="s">
        <v>76</v>
      </c>
      <c r="F10" t="s">
        <v>95</v>
      </c>
      <c r="G10" s="27" t="s">
        <v>108</v>
      </c>
      <c r="H10" t="s">
        <v>126</v>
      </c>
      <c r="I10" t="s">
        <v>117</v>
      </c>
      <c r="J10" t="s">
        <v>127</v>
      </c>
      <c r="K10" t="s">
        <v>98</v>
      </c>
      <c r="L10">
        <v>2023</v>
      </c>
      <c r="M10" s="12">
        <v>48366</v>
      </c>
      <c r="N10" s="12">
        <v>45393</v>
      </c>
      <c r="O10" s="12">
        <v>45502</v>
      </c>
      <c r="P10" s="12">
        <v>45671</v>
      </c>
      <c r="Q10" s="12">
        <v>45541</v>
      </c>
      <c r="R10" s="12">
        <v>45660</v>
      </c>
      <c r="S10" s="12">
        <v>45702</v>
      </c>
      <c r="T10" s="12">
        <v>45922</v>
      </c>
      <c r="U10" s="12">
        <v>45952</v>
      </c>
      <c r="V10" s="12">
        <v>46043</v>
      </c>
      <c r="W10" s="13" t="s">
        <v>104</v>
      </c>
      <c r="AD10" s="12">
        <v>46091</v>
      </c>
      <c r="AP10" s="13"/>
      <c r="AS10" s="13"/>
      <c r="AV10" s="13"/>
      <c r="AY10" s="13"/>
      <c r="BB10" s="13"/>
      <c r="BE10" s="13"/>
      <c r="BL10" s="8" t="s">
        <v>128</v>
      </c>
      <c r="BM10" s="12">
        <v>45730</v>
      </c>
      <c r="BR10" s="8" t="s">
        <v>79</v>
      </c>
    </row>
    <row r="12" spans="1:71" ht="14.4" x14ac:dyDescent="0.3">
      <c r="U12" s="12"/>
      <c r="V12" s="12"/>
      <c r="W12" s="12"/>
      <c r="X12" s="12"/>
      <c r="Y12" s="12"/>
      <c r="Z12" s="12"/>
      <c r="AA12" s="12"/>
      <c r="AB12" s="12"/>
      <c r="AC12" s="12"/>
    </row>
  </sheetData>
  <mergeCells count="2">
    <mergeCell ref="A1:M1"/>
    <mergeCell ref="N1:BS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ACD90F-FD2B-4662-9EC2-2A54B10A8F13}">
  <dimension ref="A1:S20"/>
  <sheetViews>
    <sheetView zoomScale="99" workbookViewId="0">
      <selection activeCell="T8" sqref="T8"/>
    </sheetView>
  </sheetViews>
  <sheetFormatPr defaultColWidth="19" defaultRowHeight="15" customHeight="1" x14ac:dyDescent="0.3"/>
  <cols>
    <col min="1" max="1" width="33.109375" customWidth="1"/>
    <col min="2" max="2" width="17.33203125" customWidth="1"/>
    <col min="6" max="8" width="19" style="8"/>
    <col min="14" max="15" width="18" style="8" customWidth="1"/>
    <col min="16" max="19" width="19" style="8"/>
  </cols>
  <sheetData>
    <row r="1" spans="1:19" ht="25.2" customHeight="1" x14ac:dyDescent="0.3">
      <c r="A1" s="24" t="s">
        <v>129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6"/>
    </row>
    <row r="2" spans="1:19" s="1" customFormat="1" ht="80.25" customHeight="1" x14ac:dyDescent="0.3">
      <c r="A2" s="16" t="s">
        <v>2</v>
      </c>
      <c r="B2" s="17" t="s">
        <v>130</v>
      </c>
      <c r="C2" s="17" t="s">
        <v>131</v>
      </c>
      <c r="D2" s="18" t="s">
        <v>132</v>
      </c>
      <c r="E2" s="18" t="s">
        <v>133</v>
      </c>
      <c r="F2" s="17" t="s">
        <v>134</v>
      </c>
      <c r="G2" s="17" t="s">
        <v>135</v>
      </c>
      <c r="H2" s="17" t="s">
        <v>136</v>
      </c>
      <c r="I2" s="19" t="s">
        <v>137</v>
      </c>
      <c r="J2" s="17" t="s">
        <v>138</v>
      </c>
      <c r="K2" s="17" t="s">
        <v>139</v>
      </c>
      <c r="L2" s="17" t="s">
        <v>140</v>
      </c>
      <c r="M2" s="18" t="s">
        <v>141</v>
      </c>
      <c r="N2" s="17" t="s">
        <v>142</v>
      </c>
      <c r="O2" s="17" t="s">
        <v>143</v>
      </c>
      <c r="P2" s="17" t="s">
        <v>144</v>
      </c>
      <c r="Q2" s="17" t="s">
        <v>145</v>
      </c>
      <c r="R2" s="19" t="s">
        <v>146</v>
      </c>
      <c r="S2" s="20" t="s">
        <v>147</v>
      </c>
    </row>
    <row r="3" spans="1:19" ht="15" customHeight="1" x14ac:dyDescent="0.3">
      <c r="A3" t="s">
        <v>73</v>
      </c>
      <c r="B3" s="8" t="str">
        <f>IF(ISNUMBER(Data!$N3),(Data!$O3-Data!$N3),"N/A")</f>
        <v>N/A</v>
      </c>
      <c r="C3" s="8">
        <f>IF(ISNUMBER(Data!$S3),(Data!S3-Data!O3),"TBD")</f>
        <v>1534</v>
      </c>
      <c r="D3" s="8">
        <f ca="1">IF(ISNUMBER(Data!$T3),(Data!$T3-Data!$S3),IF(ISNUMBER(Data!$S3),(TODAY()-Data!$S3),"TBD"))</f>
        <v>227</v>
      </c>
      <c r="E3" s="8">
        <f>IF(ISNUMBER(Data!$R3),(Data!R3-Data!Q3),"TBD")</f>
        <v>53</v>
      </c>
      <c r="F3" s="8">
        <f>IF(Data!$U3="N/A","0",(ROUNDUP((COUNT(Data!$U3:$AC3)/2),0)))</f>
        <v>3</v>
      </c>
      <c r="G3" s="8">
        <f>IF(Data!$U3="N/A","N/A",(AVERAGE(_xlfn.IFS(ISNUMBER(Data!$V3-Data!$U3),(Data!$V3-Data!$U3),ISNUMBER(Data!$Y3-Data!$X3),(Data!$Y3-Data!$X3),ISNUMBER(Data!$AB3-Data!$AA3),(Data!$AB3-Data!$AA3)))))</f>
        <v>175</v>
      </c>
      <c r="H3" s="8">
        <f>IF(Data!$U3="N/A","N/A",(SUM(IF(ISNUMBER(Data!$V3-Data!$U3),(Data!$V3-Data!$U3)),IF(ISNUMBER(Data!$Y3-Data!$X3),(Data!$Y3-Data!$X3)),IF(ISNUMBER(Data!$AB3-Data!$AA3),(Data!$AB3-Data!$AA3)))))</f>
        <v>301</v>
      </c>
      <c r="I3" s="8">
        <f>IF(Data!$AH3="N/A","0",(ROUNDUP((COUNT(Data!$AH3:$BE3)/2),0)))</f>
        <v>6</v>
      </c>
      <c r="J3" s="15">
        <f>IF(Data!$AH3="","N/A",(AVERAGE((Data!$AI3-Data!$AH3),(Data!$AL3-Data!$AK3),(Data!$AO3-Data!$AN3),(Data!$AR3-Data!$AQ3),(Data!$AU3-Data!$AT3),(Data!$AX3-Data!$AW3))))</f>
        <v>71.333333333333329</v>
      </c>
      <c r="K3" s="11">
        <f>IF(Data!$AH3="","N/A",(SUM(IF(ISNUMBER(Data!$AI3-Data!$AH3),(Data!$AI3-Data!$AH3),""),IF(ISNUMBER(Data!$AL3-Data!$AK3),(Data!$AL3-Data!$AK3),""),IF(ISNUMBER(Data!$AO3-Data!$AN3),(Data!$AO3-Data!$AN3),""),IF(ISNUMBER(Data!$AR3-Data!$AQ3),(Data!$AR3-Data!$AQ3),""),IF(ISNUMBER(Data!$AU3-Data!$AT3),(Data!$AU3-Data!$AT3),""),IF(ISNUMBER(Data!$AX3-Data!$AW3),(Data!$AX3-Data!$AW3),""))))</f>
        <v>428</v>
      </c>
      <c r="L3" s="8">
        <f>IF(ISNUMBER(Data!$BF3),(Data!$BF3-Data!$AD3),"In progress")</f>
        <v>429</v>
      </c>
      <c r="M3">
        <v>18</v>
      </c>
      <c r="N3" s="11">
        <f>IF(ISNUMBER(Data!$BH3),(Data!$BH3-Data!$BF3),"In progress")</f>
        <v>179</v>
      </c>
      <c r="O3" s="11">
        <f>IF(Data!$BJ3="","In progress",(Data!$BJ3-Data!$BG3))</f>
        <v>217</v>
      </c>
      <c r="P3" s="11">
        <f>IF(Data!$BJ3="","In progress",(Data!$BJ3-Data!$BH3))</f>
        <v>163</v>
      </c>
      <c r="Q3" s="8" t="str" cm="1">
        <f t="array" ref="Q3">IF(Data!$E3="No","N/A",(_xlfn.IFS(Data!$BP3="","In progress",ISNUMBER(Data!$BP3),(Data!$BP3-Data!$BM3),Data!$BP3="N/A","N/A")))</f>
        <v>N/A</v>
      </c>
      <c r="R3" s="8" t="str" cm="1">
        <f t="array" ref="R3">IF(Data!$E3="No","N/A",(_xlfn.IFS(Data!$BQ3="","In progress",ISNUMBER(Data!$BQ3),(Data!$BQ3-Data!$BM3),Data!$BQ3="N/A","N/A")))</f>
        <v>N/A</v>
      </c>
      <c r="S3" s="8" t="str" cm="1">
        <f t="array" ref="S3">IF(Data!$E3="No","N/A",(_xlfn.IFS(Data!$BR3="","In progress",Data!$BS3="","In progress",ISNUMBER(Data!$BR3),(Data!$BR3-Data!$BM3),Data!$BR3="N/A","N/A")))</f>
        <v>N/A</v>
      </c>
    </row>
    <row r="4" spans="1:19" ht="14.4" x14ac:dyDescent="0.3">
      <c r="A4" t="s">
        <v>92</v>
      </c>
      <c r="B4" s="8">
        <f>IF(ISNUMBER(Data!$N4),(Data!$O4-Data!$N4),"N/A")</f>
        <v>22</v>
      </c>
      <c r="C4" s="8">
        <f>IF(ISNUMBER(Data!$S4),(Data!S4-Data!O4),"TBD")</f>
        <v>351</v>
      </c>
      <c r="D4" s="8">
        <f ca="1">IF(ISNUMBER(Data!$T4),(Data!$T4-Data!$S4),IF(ISNUMBER(Data!$S4),(TODAY()-Data!$S4),"TBD"))</f>
        <v>149</v>
      </c>
      <c r="E4" s="8">
        <f>IF(ISNUMBER(Data!$R4),(Data!R4-Data!Q4),"TBD")</f>
        <v>92</v>
      </c>
      <c r="F4" s="8" t="str">
        <f>IF(Data!$U4="N/A","0",(ROUNDUP((COUNT(Data!$U4:$AC4)/2),0)))</f>
        <v>0</v>
      </c>
      <c r="G4" s="8" t="str">
        <f>IF(Data!$U4="N/A","N/A",(AVERAGE(_xlfn.IFS(ISNUMBER(Data!$V4-Data!$U4),(Data!$V4-Data!$U4),ISNUMBER(Data!$Y4-Data!$X4),(Data!$Y4-Data!$X4),ISNUMBER(Data!$AB4-Data!$AA4),(Data!$AB4-Data!$AA4)))))</f>
        <v>N/A</v>
      </c>
      <c r="H4" s="8" t="str">
        <f>IF(Data!$U4="N/A","N/A",(SUM(IF(ISNUMBER(Data!$V4-Data!$U4),(Data!$V4-Data!$U4)),IF(ISNUMBER(Data!$Y4-Data!$X4),(Data!$Y4-Data!$X4)),IF(ISNUMBER(Data!$AB4-Data!$AA4),(Data!$AB4-Data!$AA4)))))</f>
        <v>N/A</v>
      </c>
      <c r="I4" s="8">
        <f>IF(Data!$AH4="N/A","0",(ROUNDUP((COUNT(Data!$AH4:$BE4)/2),0)))</f>
        <v>4</v>
      </c>
      <c r="J4" s="15">
        <f>IF(Data!$AH4="","N/A",(AVERAGE((Data!$AI4-Data!$AH4),(Data!$AL4-Data!$AK4),(Data!$AO4-Data!$AN4),(Data!$AR4-Data!$AQ4))))</f>
        <v>18.5</v>
      </c>
      <c r="K4" s="11">
        <f>IF(Data!$AH4="","N/A",(SUM(IF(ISNUMBER(Data!$AI4-Data!$AH4),(Data!$AI4-Data!$AH4),""),IF(ISNUMBER(Data!$AL4-Data!$AK4),(Data!$AL4-Data!$AK4),""),IF(ISNUMBER(Data!$AO4-Data!$AN4),(Data!$AO4-Data!$AN4),""),IF(ISNUMBER(Data!$AR4-Data!$AQ4),(Data!$AR4-Data!$AQ4),""))))</f>
        <v>74</v>
      </c>
      <c r="L4" s="8">
        <f>IF(ISNUMBER(Data!$BF4),(Data!$BF4-Data!$AD4),"In progress")</f>
        <v>238</v>
      </c>
      <c r="M4">
        <v>5</v>
      </c>
      <c r="N4" s="11">
        <f>IF(ISNUMBER(Data!$BH4),(Data!$BH4-Data!$BF4),"In progress")</f>
        <v>56</v>
      </c>
      <c r="O4" s="11">
        <f>IF(Data!$BJ4="","In progress",(Data!$BJ4-Data!$BG4))</f>
        <v>89</v>
      </c>
      <c r="P4" s="11">
        <f>IF(Data!$BJ4="","In progress",(Data!$BJ4-Data!$BH4))</f>
        <v>127</v>
      </c>
      <c r="Q4" s="8" t="str" cm="1">
        <f t="array" ref="Q4">IF(Data!$E4="No","N/A",(_xlfn.IFS(Data!$BP4="","In progress",ISNUMBER(Data!$BP4),(Data!$BP4-Data!$BM4),Data!$BP4="N/A","N/A")))</f>
        <v>N/A</v>
      </c>
      <c r="R4" s="8" t="str" cm="1">
        <f t="array" ref="R4">IF(Data!$E4="No","N/A",(_xlfn.IFS(Data!$BQ4="","In progress",ISNUMBER(Data!$BQ4),(Data!$BQ4-Data!$BM4),Data!$BQ4="N/A","N/A")))</f>
        <v>N/A</v>
      </c>
      <c r="S4" s="8" t="str" cm="1">
        <f t="array" ref="S4">IF(Data!$E4="No","N/A",(_xlfn.IFS(Data!$BR4="","In progress",Data!$BS4="","In progress",ISNUMBER(Data!$BR4),(Data!$BR4-Data!$BM4),Data!$BR4="N/A","N/A")))</f>
        <v>N/A</v>
      </c>
    </row>
    <row r="5" spans="1:19" ht="15" customHeight="1" x14ac:dyDescent="0.3">
      <c r="A5" t="s">
        <v>148</v>
      </c>
      <c r="B5" s="8">
        <f>IF(ISNUMBER(Data!$N5),(Data!$O5-Data!$N5),"N/A")</f>
        <v>4286</v>
      </c>
      <c r="C5" s="8">
        <f>IF(ISNUMBER(Data!$S5),(Data!S5-Data!O5),"TBD")</f>
        <v>301</v>
      </c>
      <c r="D5" s="8">
        <f ca="1">IF(ISNUMBER(Data!$T5),(Data!$T5-Data!$S5),IF(ISNUMBER(Data!$S5),(TODAY()-Data!$S5),"TBD"))</f>
        <v>200</v>
      </c>
      <c r="E5" s="8">
        <f>IF(ISNUMBER(Data!$R5),(Data!R5-Data!Q5),"TBD")</f>
        <v>127</v>
      </c>
      <c r="F5" s="8" t="str">
        <f>IF(Data!$U5="N/A","0",(ROUNDUP((COUNT(Data!$U5:$AC5)/2),0)))</f>
        <v>0</v>
      </c>
      <c r="G5" s="8" t="str">
        <f>IF(Data!$U5="N/A","N/A",(AVERAGE(_xlfn.IFS(ISNUMBER(Data!$V5-Data!$U5),(Data!$V5-Data!$U5),ISNUMBER(Data!$Y5-Data!$X5),(Data!$Y5-Data!$X5),ISNUMBER(Data!$AB5-Data!$AA5),(Data!$AB5-Data!$AA5)))))</f>
        <v>N/A</v>
      </c>
      <c r="H5" s="8" t="str">
        <f>IF(Data!$U5="N/A","N/A",(SUM(IF(ISNUMBER(Data!$V5-Data!$U5),(Data!$V5-Data!$U5)),IF(ISNUMBER(Data!$Y5-Data!$X5),(Data!$Y5-Data!$X5)),IF(ISNUMBER(Data!$AB5-Data!$AA5),(Data!$AB5-Data!$AA5)))))</f>
        <v>N/A</v>
      </c>
      <c r="I5" s="8">
        <f>IF(Data!$AH5="N/A","0",(ROUNDUP((COUNT(Data!$AH5:$BE5)/2),0)))</f>
        <v>2</v>
      </c>
      <c r="J5" s="15">
        <f>IF(Data!$AH5="","N/A",(AVERAGE((Data!$AI5-Data!$AH5),(Data!$AL5-Data!$AK5))))</f>
        <v>12</v>
      </c>
      <c r="K5" s="11">
        <f>IF(Data!$AH5="","N/A",(SUM(IF(ISNUMBER(Data!$AI5-Data!$AH5),(Data!$AI5-Data!$AH5),""),IF(ISNUMBER(Data!$AL5-Data!$AK5),(Data!$AL5-Data!$AK5),""))))</f>
        <v>24</v>
      </c>
      <c r="L5" s="8">
        <f>IF(ISNUMBER(Data!$BF5),(Data!$BF5-Data!$AD5),"In progress")</f>
        <v>266</v>
      </c>
      <c r="M5">
        <v>4</v>
      </c>
      <c r="N5" s="11">
        <f>IF(ISNUMBER(Data!$BH5),(Data!$BH5-Data!$BF5),"In progress")</f>
        <v>64</v>
      </c>
      <c r="O5" s="11">
        <f>IF(Data!$BJ5="","In progress",(Data!$BJ5-Data!$BG5))</f>
        <v>135</v>
      </c>
      <c r="P5" s="11">
        <f>IF(Data!$BJ5="","In progress",(Data!$BJ5-Data!$BH5))</f>
        <v>161</v>
      </c>
      <c r="Q5" s="8" t="str" cm="1">
        <f t="array" ref="Q5">IF(Data!$E5="No","N/A",(_xlfn.IFS(Data!$BP5="","In progress",ISNUMBER(Data!$BP5),(Data!$BP5-Data!$BM5),Data!$BP5="N/A","N/A")))</f>
        <v>N/A</v>
      </c>
      <c r="R5" s="8" t="str" cm="1">
        <f t="array" ref="R5">IF(Data!$E5="No","N/A",(_xlfn.IFS(Data!$BQ5="","In progress",ISNUMBER(Data!$BQ5),(Data!$BQ5-Data!$BM5),Data!$BQ5="N/A","N/A")))</f>
        <v>N/A</v>
      </c>
      <c r="S5" s="8" t="str" cm="1">
        <f t="array" ref="S5">IF(Data!$E5="No","N/A",(_xlfn.IFS(Data!$BR5="","In progress",Data!$BS5="","In progress",ISNUMBER(Data!$BR5),(Data!$BR5-Data!$BM5),Data!$BR5="N/A","N/A")))</f>
        <v>N/A</v>
      </c>
    </row>
    <row r="6" spans="1:19" ht="15" customHeight="1" x14ac:dyDescent="0.3">
      <c r="A6" t="s">
        <v>106</v>
      </c>
      <c r="B6" s="8">
        <f>IF(ISNUMBER(Data!$N6),(Data!$O6-Data!$N6),"N/A")</f>
        <v>1</v>
      </c>
      <c r="C6" s="8">
        <f>IF(ISNUMBER(Data!$S6),(Data!S6-Data!O6),"TBD")</f>
        <v>330</v>
      </c>
      <c r="D6" s="8">
        <f ca="1">IF(ISNUMBER(Data!$T6),(Data!$T6-Data!$S6),IF(ISNUMBER(Data!$S6),(TODAY()-Data!$S6),"TBD"))</f>
        <v>86</v>
      </c>
      <c r="E6" s="8">
        <f>IF(ISNUMBER(Data!$R6),(Data!R6-Data!Q6),"TBD")</f>
        <v>115</v>
      </c>
      <c r="F6" s="8" t="str">
        <f>IF(Data!$U6="N/A","0",(ROUNDUP((COUNT(Data!$U6:$AC6)/2),0)))</f>
        <v>0</v>
      </c>
      <c r="G6" s="8" t="str">
        <f>IF(Data!$U6="N/A","N/A",(AVERAGE(_xlfn.IFS(ISNUMBER(Data!$V6-Data!$U6),(Data!$V6-Data!$U6),ISNUMBER(Data!$Y6-Data!$X6),(Data!$Y6-Data!$X6),ISNUMBER(Data!$AB6-Data!$AA6),(Data!$AB6-Data!$AA6)))))</f>
        <v>N/A</v>
      </c>
      <c r="H6" s="8" t="str">
        <f>IF(Data!$U6="N/A","N/A",(SUM(IF(ISNUMBER(Data!$V6-Data!$U6),(Data!$V6-Data!$U6)),IF(ISNUMBER(Data!$Y6-Data!$X6),(Data!$Y6-Data!$X6)),IF(ISNUMBER(Data!$AB6-Data!$AA6),(Data!$AB6-Data!$AA6)))))</f>
        <v>N/A</v>
      </c>
      <c r="I6" s="8">
        <f>IF(Data!$AH6="N/A","0",(ROUNDUP((COUNT(Data!$AH6:$BE6)/2),0)))</f>
        <v>8</v>
      </c>
      <c r="J6" s="15">
        <f>IF(Data!$AH6="","N/A",(AVERAGE((Data!$AI6-Data!$AH6),(Data!$AL6-Data!$AK6),(Data!$AO6-Data!$AN6),(Data!$AR6-Data!$AQ6),(Data!$AU6-Data!$AT6),(Data!$AX6-Data!$AW6),(Data!$BA6-Data!$AZ6),(Data!$BD6-Data!$BC6))))</f>
        <v>17.375</v>
      </c>
      <c r="K6" s="11">
        <f>IF(Data!$AH6="","N/A",(SUM(IF(ISNUMBER(Data!$AI6-Data!$AH6),(Data!$AI6-Data!$AH6),""),IF(ISNUMBER(Data!$AL6-Data!$AK6),(Data!$AL6-Data!$AK6),""),IF(ISNUMBER(Data!$AO6-Data!$AN6),(Data!$AO6-Data!$AN6),""),IF(ISNUMBER(Data!$AR6-Data!$AQ6),(Data!$AR6-Data!$AQ6),""),IF(ISNUMBER(Data!$AU6-Data!$AT6),(Data!$AU6-Data!$AT6),""),IF(ISNUMBER(Data!$AX6-Data!$AW6),(Data!$AX6-Data!$AW6),""),IF(ISNUMBER(Data!$BA6-Data!$AZ6),(Data!$BA6-Data!$AZ6),""),IF(ISNUMBER(Data!$BD6-Data!$BC6),(Data!$BD6-Data!$BC6),""))))</f>
        <v>139</v>
      </c>
      <c r="L6" s="8">
        <f>IF(ISNUMBER(Data!$BF6),(Data!$BF6-Data!$AD6),"In progress")</f>
        <v>361</v>
      </c>
      <c r="M6">
        <v>12</v>
      </c>
      <c r="N6" s="11">
        <f>IF(ISNUMBER(Data!$BH6),(Data!$BH6-Data!$BF6),"In progress")</f>
        <v>196</v>
      </c>
      <c r="O6" s="11">
        <f>IF(Data!$BJ6="","In progress",(Data!$BJ6-Data!$BG6))</f>
        <v>97</v>
      </c>
      <c r="P6" s="11">
        <f>IF(Data!$BJ6="","In progress",(Data!$BJ6-Data!$BH6))</f>
        <v>87</v>
      </c>
      <c r="Q6" s="8" t="str" cm="1">
        <f t="array" ref="Q6">IF(Data!$E6="No","N/A",(_xlfn.IFS(Data!$BP6="","In progress",ISNUMBER(Data!$BP6),(Data!$BP6-Data!$BM6),Data!$BP6="N/A","N/A")))</f>
        <v>N/A</v>
      </c>
      <c r="R6" s="8" t="str" cm="1">
        <f t="array" ref="R6">IF(Data!$E6="No","N/A",(_xlfn.IFS(Data!$BQ6="","In progress",ISNUMBER(Data!$BQ6),(Data!$BQ6-Data!$BM6),Data!$BQ6="N/A","N/A")))</f>
        <v>N/A</v>
      </c>
      <c r="S6" s="8" t="str" cm="1">
        <f t="array" ref="S6">IF(Data!$E6="No","N/A",(_xlfn.IFS(Data!$BR6="","In progress",Data!$BS6="","In progress",ISNUMBER(Data!$BR6),(Data!$BR6-Data!$BM6),Data!$BR6="N/A","N/A")))</f>
        <v>N/A</v>
      </c>
    </row>
    <row r="7" spans="1:19" ht="15" customHeight="1" x14ac:dyDescent="0.3">
      <c r="A7" t="s">
        <v>114</v>
      </c>
      <c r="B7" s="8">
        <f>IF(ISNUMBER(Data!$N7),(Data!$O7-Data!$N7),"N/A")</f>
        <v>382</v>
      </c>
      <c r="C7" s="8" t="str">
        <f>IF(ISNUMBER(Data!$S7),(Data!S7-Data!O7),"TBD")</f>
        <v>TBD</v>
      </c>
      <c r="D7" s="8" t="str">
        <f ca="1">IF(ISNUMBER(Data!$T7),(Data!$T7-Data!$S7),IF(ISNUMBER(Data!$S7),(TODAY()-Data!$S7),"TBD"))</f>
        <v>TBD</v>
      </c>
      <c r="E7" s="8">
        <f>IF(ISNUMBER(Data!$R7),(Data!R7-Data!Q7),"TBD")</f>
        <v>143</v>
      </c>
      <c r="F7" s="8">
        <f>IF(Data!$U7="N/A","0",(ROUNDUP((COUNT(Data!$U7:$AC7)/2),0)))</f>
        <v>0</v>
      </c>
      <c r="G7" s="8">
        <f>IF(Data!$U7="N/A","N/A",(AVERAGE(_xlfn.IFS(ISNUMBER(Data!$V7-Data!$U7),(Data!$V7-Data!$U7),ISNUMBER(Data!$Y7-Data!$X7),(Data!$Y7-Data!$X7),ISNUMBER(Data!$AB7-Data!$AA7),(Data!$AB7-Data!$AA7)))))</f>
        <v>0</v>
      </c>
      <c r="H7" s="8">
        <f>IF(Data!$U7="N/A","N/A",(SUM(IF(ISNUMBER(Data!$V7-Data!$U7),(Data!$V7-Data!$U7)),IF(ISNUMBER(Data!$Y7-Data!$X7),(Data!$Y7-Data!$X7)),IF(ISNUMBER(Data!$AB7-Data!$AA7),(Data!$AB7-Data!$AA7)))))</f>
        <v>0</v>
      </c>
      <c r="I7" s="8">
        <f>IF(Data!$AH7="N/A","0",(ROUNDUP((COUNT(Data!$AH7:$BE7)/2),0)))</f>
        <v>0</v>
      </c>
      <c r="J7" s="15" t="str">
        <f>IF(Data!$AH7="","N/A",(AVERAGE((Data!$AI7-Data!$AH7),(Data!$AL7-Data!$AK7),(Data!$AO7-Data!$AN7),(Data!$AR7-Data!$AQ7),(Data!$AU7-Data!$AT7),(Data!$AX7-Data!$AW7),(Data!$BA7-Data!$AZ7),(Data!$BD7-Data!$BC7))))</f>
        <v>N/A</v>
      </c>
      <c r="K7" s="11" t="str">
        <f>IF(Data!$AH7="","N/A",(SUM(IF(ISNUMBER(Data!$AI7-Data!$AH7),(Data!$AI7-Data!$AH7),""),IF(ISNUMBER(Data!$AL7-Data!$AK7),(Data!$AL7-Data!$AK7),""),IF(ISNUMBER(Data!$AO7-Data!$AN7),(Data!$AO7-Data!$AN7),""))))</f>
        <v>N/A</v>
      </c>
      <c r="L7" s="8" t="str">
        <f>IF(ISNUMBER(Data!$BF7),(Data!$BF7-Data!$AD7),"In progress")</f>
        <v>In progress</v>
      </c>
      <c r="M7" s="8" t="s">
        <v>115</v>
      </c>
      <c r="N7" s="11" t="str">
        <f>IF(ISNUMBER(Data!$BH7),(Data!$BH7-Data!$BF7),"In progress")</f>
        <v>In progress</v>
      </c>
      <c r="O7" s="11" t="str">
        <f>IF(Data!$BJ7="","In progress",(Data!$BJ7-Data!$BG7))</f>
        <v>In progress</v>
      </c>
      <c r="P7" s="11" t="str">
        <f>IF(Data!$BJ7="","In progress",(Data!$BJ7-Data!$BH7))</f>
        <v>In progress</v>
      </c>
      <c r="Q7" s="8" t="str" cm="1">
        <f t="array" ref="Q7">IF(Data!$E7="No","N/A",(_xlfn.IFS(Data!$BP7="","In progress",ISNUMBER(Data!$BP7),(Data!$BP7-Data!$BM7),Data!$BP7="N/A","N/A")))</f>
        <v>N/A</v>
      </c>
      <c r="R7" s="8" t="str" cm="1">
        <f t="array" ref="R7">IF(Data!$E7="No","N/A",(_xlfn.IFS(Data!$BQ7="","In progress",ISNUMBER(Data!$BQ7),(Data!$BQ7-Data!$BM7),Data!$BQ7="N/A","N/A")))</f>
        <v>N/A</v>
      </c>
      <c r="S7" s="8" t="str" cm="1">
        <f t="array" ref="S7">IF(Data!$E7="No","N/A",(_xlfn.IFS(Data!$BR7="","In progress",Data!$BS7="","In progress",ISNUMBER(Data!$BR7),(Data!$BR7-Data!$BM7),Data!$BR7="N/A","N/A")))</f>
        <v>N/A</v>
      </c>
    </row>
    <row r="8" spans="1:19" ht="15" customHeight="1" x14ac:dyDescent="0.3">
      <c r="A8" s="13" t="s">
        <v>119</v>
      </c>
      <c r="B8" s="8">
        <f>IF(ISNUMBER(Data!$N8),(Data!$O8-Data!$N8),"N/A")</f>
        <v>620</v>
      </c>
      <c r="C8" s="8">
        <f>IF(ISNUMBER(Data!$S8),(Data!S8-Data!O8),"TBD")</f>
        <v>138</v>
      </c>
      <c r="D8" s="8">
        <f ca="1">IF(ISNUMBER(Data!$T8),(Data!$T8-Data!$S8),IF(ISNUMBER(Data!$S8),(TODAY()-Data!$S8),"TBD"))</f>
        <v>320</v>
      </c>
      <c r="E8" s="8">
        <f>IF(ISNUMBER(Data!$R8),(Data!R8-Data!Q8),"TBD")</f>
        <v>115</v>
      </c>
      <c r="F8" s="8">
        <f>IF(Data!$U8="N/A","0",(ROUNDUP((COUNT(Data!$U8:$AC8)/2),0)))</f>
        <v>0</v>
      </c>
      <c r="G8" s="8">
        <f>IF(Data!$U8="N/A","N/A",(AVERAGE(_xlfn.IFS(ISNUMBER(Data!$V8-Data!$U8),(Data!$V8-Data!$U8),ISNUMBER(Data!$Y8-Data!$X8),(Data!$Y8-Data!$X8),ISNUMBER(Data!$AB8-Data!$AA8),(Data!$AB8-Data!$AA8)))))</f>
        <v>0</v>
      </c>
      <c r="H8" s="8">
        <f>IF(Data!$U8="N/A","N/A",(SUM(IF(ISNUMBER(Data!$V8-Data!$U8),(Data!$V8-Data!$U8)),IF(ISNUMBER(Data!$Y8-Data!$X8),(Data!$Y8-Data!$X8)),IF(ISNUMBER(Data!$AB8-Data!$AA8),(Data!$AB8-Data!$AA8)))))</f>
        <v>0</v>
      </c>
      <c r="I8" s="8">
        <f>IF(Data!$AH8="N/A","0",(ROUNDUP((COUNT(Data!$AH8:$BE8)/2),0)))</f>
        <v>0</v>
      </c>
      <c r="J8" s="15" t="str">
        <f>IF(Data!$AH8="","N/A",(AVERAGE((Data!$AI8-Data!$AH8),(Data!$AL8-Data!$AK8),(Data!$AO8-Data!$AN8),(Data!$AR8-Data!$AQ8),(Data!$AU8-Data!$AT8),(Data!$AX8-Data!$AW8),(Data!$BA8-Data!$AZ8),(Data!$BD8-Data!$BC8))))</f>
        <v>N/A</v>
      </c>
      <c r="K8" s="11" t="str">
        <f>IF(Data!$AH8="","N/A",(SUM(IF(ISNUMBER(Data!$AI8-Data!$AH8),(Data!$AI8-Data!$AH8),""),IF(ISNUMBER(Data!$AL8-Data!$AK8),(Data!$AL8-Data!$AK8),""),IF(ISNUMBER(Data!$AO8-Data!$AN8),(Data!$AO8-Data!$AN8),""))))</f>
        <v>N/A</v>
      </c>
      <c r="L8" s="8" t="str">
        <f>IF(ISNUMBER(Data!$BF8),(Data!$BF8-Data!$AD8),"In progress")</f>
        <v>In progress</v>
      </c>
      <c r="M8" s="8" t="s">
        <v>115</v>
      </c>
      <c r="N8" s="11" t="str">
        <f>IF(ISNUMBER(Data!$BH8),(Data!$BH8-Data!$BF8),"In progress")</f>
        <v>In progress</v>
      </c>
      <c r="O8" s="11" t="str">
        <f>IF(Data!$BJ8="","In progress",(Data!$BJ8-Data!$BG8))</f>
        <v>In progress</v>
      </c>
      <c r="P8" s="11" t="str">
        <f>IF(Data!$BJ8="","In progress",(Data!$BJ8-Data!$BH8))</f>
        <v>In progress</v>
      </c>
      <c r="Q8" s="8" t="str" cm="1">
        <f t="array" ref="Q8">IF(Data!$E8="No","N/A",(_xlfn.IFS(Data!$BP8="","In progress",ISNUMBER(Data!$BP8),(Data!$BP8-Data!$BM8),Data!$BP8="N/A","N/A")))</f>
        <v>In progress</v>
      </c>
      <c r="R8" s="8" t="str" cm="1">
        <f t="array" ref="R8">IF(Data!$E8="No","N/A",(_xlfn.IFS(Data!$BQ8="","In progress",ISNUMBER(Data!$BQ8),(Data!$BQ8-Data!$BM8),Data!$BQ8="N/A","N/A")))</f>
        <v>In progress</v>
      </c>
      <c r="S8" s="8" t="str" cm="1">
        <f t="array" ref="S8">IF(Data!$E8="No","N/A",(_xlfn.IFS(Data!$BR8="","In progress",Data!$BS8="","In progress",ISNUMBER(Data!$BR8),(Data!$BR8-Data!$BM8),Data!$BR8="N/A","N/A")))</f>
        <v>In progress</v>
      </c>
    </row>
    <row r="9" spans="1:19" ht="15" customHeight="1" x14ac:dyDescent="0.3">
      <c r="A9" t="s">
        <v>121</v>
      </c>
      <c r="B9" s="8" t="str">
        <f>IF(ISNUMBER(Data!$N9),(Data!$O9-Data!$N9),"N/A")</f>
        <v>N/A</v>
      </c>
      <c r="C9" s="8" t="str">
        <f>IF(ISNUMBER(Data!$S9),(Data!S9-Data!O9),"TBD")</f>
        <v>TBD</v>
      </c>
      <c r="D9" s="8" t="str">
        <f ca="1">IF(ISNUMBER(Data!$T9),(Data!$T9-Data!$S9),IF(ISNUMBER(Data!$S9),(TODAY()-Data!$S9),"TBD"))</f>
        <v>TBD</v>
      </c>
      <c r="E9" s="8" t="str">
        <f>IF(ISNUMBER(Data!$R9),(Data!R9-Data!Q9),"TBD")</f>
        <v>TBD</v>
      </c>
      <c r="F9" s="8">
        <f>IF(Data!$U9="N/A","0",(ROUNDUP((COUNT(Data!$U9:$AC9)/2),0)))</f>
        <v>0</v>
      </c>
      <c r="G9" s="8">
        <f>IF(Data!$U9="N/A","N/A",(AVERAGE(_xlfn.IFS(ISNUMBER(Data!$V9-Data!$U9),(Data!$V9-Data!$U9),ISNUMBER(Data!$Y9-Data!$X9),(Data!$Y9-Data!$X9),ISNUMBER(Data!$AB9-Data!$AA9),(Data!$AB9-Data!$AA9)))))</f>
        <v>0</v>
      </c>
      <c r="H9" s="8">
        <f>IF(Data!$U9="N/A","N/A",(SUM(IF(ISNUMBER(Data!$V9-Data!$U9),(Data!$V9-Data!$U9)),IF(ISNUMBER(Data!$Y9-Data!$X9),(Data!$Y9-Data!$X9)),IF(ISNUMBER(Data!$AB9-Data!$AA9),(Data!$AB9-Data!$AA9)))))</f>
        <v>0</v>
      </c>
      <c r="I9" s="8">
        <f>IF(Data!$AH9="N/A","0",(ROUNDUP((COUNT(Data!$AH9:$BE9)/2),0)))</f>
        <v>0</v>
      </c>
      <c r="J9" s="15" t="str">
        <f>IF(Data!$AH9="","N/A",(AVERAGE((Data!$AI9-Data!$AH9),(Data!$AL9-Data!$AK9),(Data!$AO9-Data!$AN9),(Data!$AR9-Data!$AQ9),(Data!$AU9-Data!$AT9),(Data!$AX9-Data!$AW9),(Data!$BA9-Data!$AZ9),(Data!$BD9-Data!$BC9))))</f>
        <v>N/A</v>
      </c>
      <c r="K9" s="11" t="str">
        <f>IF(Data!$AH9="","N/A",(SUM(IF(ISNUMBER(Data!$AI9-Data!$AH9),(Data!$AI9-Data!$AH9),""),IF(ISNUMBER(Data!$AL9-Data!$AK9),(Data!$AL9-Data!$AK9),""),IF(ISNUMBER(Data!$AO9-Data!$AN9),(Data!$AO9-Data!$AN9),""))))</f>
        <v>N/A</v>
      </c>
      <c r="L9" s="8" t="str">
        <f>IF(ISNUMBER(Data!$BF9),(Data!$BF9-Data!$AD9),"In progress")</f>
        <v>In progress</v>
      </c>
      <c r="M9" s="8" t="s">
        <v>115</v>
      </c>
      <c r="N9" s="11" t="str">
        <f>IF(ISNUMBER(Data!$BH9),(Data!$BH9-Data!$BF9),"In progress")</f>
        <v>In progress</v>
      </c>
      <c r="O9" s="11" t="str">
        <f>IF(Data!$BJ9="","In progress",(Data!$BJ9-Data!$BG9))</f>
        <v>In progress</v>
      </c>
      <c r="P9" s="11" t="str">
        <f>IF(Data!$BJ9="","In progress",(Data!$BJ9-Data!$BH9))</f>
        <v>In progress</v>
      </c>
      <c r="Q9" s="8" t="str" cm="1">
        <f t="array" ref="Q9">IF(Data!$E9="No","N/A",(_xlfn.IFS(Data!$BP9="","In progress",ISNUMBER(Data!$BP9),(Data!$BP9-Data!$BM9),Data!$BP9="N/A","N/A")))</f>
        <v>N/A</v>
      </c>
      <c r="R9" s="8" t="str" cm="1">
        <f t="array" ref="R9">IF(Data!$E9="No","N/A",(_xlfn.IFS(Data!$BQ9="","In progress",ISNUMBER(Data!$BQ9),(Data!$BQ9-Data!$BM9),Data!$BQ9="N/A","N/A")))</f>
        <v>N/A</v>
      </c>
      <c r="S9" s="8" t="str" cm="1">
        <f t="array" ref="S9">IF(Data!$E9="No","N/A",(_xlfn.IFS(Data!$BR9="","In progress",Data!$BS9="","In progress",ISNUMBER(Data!$BR9),(Data!$BR9-Data!$BM9),Data!$BR9="N/A","N/A")))</f>
        <v>N/A</v>
      </c>
    </row>
    <row r="10" spans="1:19" ht="15" customHeight="1" x14ac:dyDescent="0.3">
      <c r="A10" t="s">
        <v>124</v>
      </c>
      <c r="B10" s="8">
        <f>IF(ISNUMBER(Data!$N10),(Data!$O10-Data!$N10),"N/A")</f>
        <v>109</v>
      </c>
      <c r="C10" s="8">
        <f>IF(ISNUMBER(Data!$S10),(Data!S10-Data!O10),"TBD")</f>
        <v>200</v>
      </c>
      <c r="D10" s="8">
        <f ca="1">IF(ISNUMBER(Data!$T10),(Data!$T10-Data!$S10),IF(ISNUMBER(Data!$S10),(TODAY()-Data!$S10),"TBD"))</f>
        <v>220</v>
      </c>
      <c r="E10" s="8">
        <f>IF(ISNUMBER(Data!$R10),(Data!R10-Data!Q10),"TBD")</f>
        <v>119</v>
      </c>
      <c r="F10" s="8">
        <f>IF(Data!$U10="N/A","0",(ROUNDUP((COUNT(Data!$U10:$AC10)/2),0)))</f>
        <v>1</v>
      </c>
      <c r="G10" s="8">
        <f>IF(Data!$U10="N/A","N/A",(AVERAGE(_xlfn.IFS(ISNUMBER(Data!$V10-Data!$U10),(Data!$V10-Data!$U10),ISNUMBER(Data!$Y10-Data!$X10),(Data!$Y10-Data!$X10),ISNUMBER(Data!$AB10-Data!$AA10),(Data!$AB10-Data!$AA10)))))</f>
        <v>91</v>
      </c>
      <c r="H10" s="8">
        <f>IF(Data!$U10="N/A","N/A",(SUM(IF(ISNUMBER(Data!$V10-Data!$U10),(Data!$V10-Data!$U10)),IF(ISNUMBER(Data!$Y10-Data!$X10),(Data!$Y10-Data!$X10)),IF(ISNUMBER(Data!$AB10-Data!$AA10),(Data!$AB10-Data!$AA10)))))</f>
        <v>91</v>
      </c>
      <c r="I10" s="8">
        <f>IF(Data!$AH10="N/A","0",(ROUNDUP((COUNT(Data!$AH10:$BE10)/2),0)))</f>
        <v>0</v>
      </c>
      <c r="J10" s="15" t="str">
        <f>IF(Data!$AH10="","N/A",(AVERAGE((Data!$AI10-Data!$AH10),(Data!$AL10-Data!$AK10),(Data!$AO10-Data!$AN10),(Data!$AR10-Data!$AQ10),(Data!$AU10-Data!$AT10),(Data!$AX10-Data!$AW10),(Data!$BA10-Data!$AZ10),(Data!$BD10-Data!$BC10))))</f>
        <v>N/A</v>
      </c>
      <c r="K10" s="11" t="str">
        <f>IF(Data!$AH10="","N/A",(SUM(IF(ISNUMBER(Data!$AI10-Data!$AH10),(Data!$AI10-Data!$AH10),""),IF(ISNUMBER(Data!$AL10-Data!$AK10),(Data!$AL10-Data!$AK10),""),IF(ISNUMBER(Data!$AO10-Data!$AN10),(Data!$AO10-Data!$AN10),""))))</f>
        <v>N/A</v>
      </c>
      <c r="L10" s="8" t="str">
        <f>IF(ISNUMBER(Data!$BF10),(Data!$BF10-Data!$AD10),"In progress")</f>
        <v>In progress</v>
      </c>
      <c r="M10" s="8" t="s">
        <v>115</v>
      </c>
      <c r="N10" s="11" t="str">
        <f>IF(ISNUMBER(Data!$BH10),(Data!$BH10-Data!$BF10),"In progress")</f>
        <v>In progress</v>
      </c>
      <c r="O10" s="11" t="str">
        <f>IF(Data!$BJ10="","In progress",(Data!$BJ10-Data!$BG10))</f>
        <v>In progress</v>
      </c>
      <c r="P10" s="11" t="str">
        <f>IF(Data!$BJ10="","In progress",(Data!$BJ10-Data!$BH10))</f>
        <v>In progress</v>
      </c>
      <c r="Q10" s="8" t="str" cm="1">
        <f t="array" ref="Q10">IF(Data!$E10="No","N/A",(_xlfn.IFS(Data!$BP10="","In progress",ISNUMBER(Data!$BP10),(Data!$BP10-Data!$BM10),Data!$BP10="N/A","N/A")))</f>
        <v>In progress</v>
      </c>
      <c r="R10" s="8" t="str" cm="1">
        <f t="array" ref="R10">IF(Data!$E10="No","N/A",(_xlfn.IFS(Data!$BQ10="","In progress",ISNUMBER(Data!$BQ10),(Data!$BQ10-Data!$BM10),Data!$BQ10="N/A","N/A")))</f>
        <v>In progress</v>
      </c>
      <c r="S10" s="8" t="str" cm="1">
        <f t="array" ref="S10">IF(Data!$E10="No","N/A",(_xlfn.IFS(Data!$BR10="","In progress",Data!$BS10="","In progress",ISNUMBER(Data!$BR10),(Data!$BR10-Data!$BM10),Data!$BR10="N/A","N/A")))</f>
        <v>In progress</v>
      </c>
    </row>
    <row r="11" spans="1:19" ht="15" customHeight="1" x14ac:dyDescent="0.3">
      <c r="I11" s="8"/>
      <c r="J11" s="9"/>
      <c r="K11" s="10"/>
      <c r="N11" s="11"/>
      <c r="O11" s="11"/>
      <c r="P11" s="11"/>
    </row>
    <row r="13" spans="1:19" ht="15" customHeight="1" x14ac:dyDescent="0.3">
      <c r="C13" s="8"/>
      <c r="D13" s="10"/>
    </row>
    <row r="14" spans="1:19" ht="15" customHeight="1" x14ac:dyDescent="0.3">
      <c r="C14" s="8"/>
      <c r="D14" s="10"/>
    </row>
    <row r="15" spans="1:19" ht="14.4" x14ac:dyDescent="0.3">
      <c r="C15" s="8"/>
      <c r="D15" s="10"/>
      <c r="Q15" s="5"/>
      <c r="R15" s="12"/>
    </row>
    <row r="16" spans="1:19" ht="15" customHeight="1" x14ac:dyDescent="0.3">
      <c r="C16" s="8"/>
      <c r="D16" s="10"/>
    </row>
    <row r="17" spans="3:4" ht="15" customHeight="1" x14ac:dyDescent="0.3">
      <c r="C17" s="8"/>
      <c r="D17" s="10"/>
    </row>
    <row r="18" spans="3:4" ht="15" customHeight="1" x14ac:dyDescent="0.3">
      <c r="C18" s="8"/>
      <c r="D18" s="10"/>
    </row>
    <row r="19" spans="3:4" ht="15" customHeight="1" x14ac:dyDescent="0.3">
      <c r="C19" s="8"/>
      <c r="D19" s="10"/>
    </row>
    <row r="20" spans="3:4" ht="15" customHeight="1" x14ac:dyDescent="0.3">
      <c r="C20" s="8"/>
      <c r="D20" s="10"/>
    </row>
  </sheetData>
  <mergeCells count="1">
    <mergeCell ref="A1:S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062BA1-DB36-4861-BDCA-E64CD58E2DFB}">
  <dimension ref="A1:P14"/>
  <sheetViews>
    <sheetView workbookViewId="0">
      <pane xSplit="1" topLeftCell="B1" activePane="topRight" state="frozen"/>
      <selection pane="topRight" activeCell="B12" sqref="B12"/>
    </sheetView>
  </sheetViews>
  <sheetFormatPr defaultRowHeight="15" customHeight="1" x14ac:dyDescent="0.3"/>
  <cols>
    <col min="1" max="1" width="34.5546875" customWidth="1"/>
    <col min="2" max="2" width="28" customWidth="1"/>
    <col min="3" max="4" width="13.44140625" customWidth="1"/>
    <col min="5" max="5" width="15.33203125" customWidth="1"/>
    <col min="6" max="7" width="13.44140625" customWidth="1"/>
    <col min="8" max="8" width="17.109375" customWidth="1"/>
    <col min="9" max="9" width="20" customWidth="1"/>
    <col min="10" max="10" width="13.5546875" customWidth="1"/>
    <col min="11" max="11" width="18.109375" customWidth="1"/>
    <col min="12" max="13" width="13.109375" style="8" customWidth="1"/>
    <col min="14" max="15" width="13.109375" customWidth="1"/>
    <col min="16" max="16" width="18.33203125" customWidth="1"/>
  </cols>
  <sheetData>
    <row r="1" spans="1:16" ht="24.6" customHeight="1" x14ac:dyDescent="0.3">
      <c r="A1" s="21" t="s">
        <v>149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3"/>
    </row>
    <row r="2" spans="1:16" ht="43.2" x14ac:dyDescent="0.3">
      <c r="A2" s="2" t="s">
        <v>2</v>
      </c>
      <c r="B2" s="3" t="s">
        <v>3</v>
      </c>
      <c r="C2" s="6" t="s">
        <v>4</v>
      </c>
      <c r="D2" s="3" t="s">
        <v>7</v>
      </c>
      <c r="E2" s="7" t="s">
        <v>8</v>
      </c>
      <c r="F2" s="7" t="s">
        <v>5</v>
      </c>
      <c r="G2" s="7" t="s">
        <v>6</v>
      </c>
      <c r="H2" s="3" t="s">
        <v>150</v>
      </c>
      <c r="I2" s="3" t="s">
        <v>151</v>
      </c>
      <c r="J2" s="3" t="s">
        <v>152</v>
      </c>
      <c r="K2" s="3" t="s">
        <v>153</v>
      </c>
      <c r="L2" s="3" t="s">
        <v>154</v>
      </c>
      <c r="M2" s="3" t="s">
        <v>134</v>
      </c>
      <c r="N2" s="3" t="s">
        <v>137</v>
      </c>
      <c r="O2" s="3" t="s">
        <v>155</v>
      </c>
      <c r="P2" s="4" t="s">
        <v>156</v>
      </c>
    </row>
    <row r="3" spans="1:16" ht="14.4" x14ac:dyDescent="0.3">
      <c r="A3" t="s">
        <v>73</v>
      </c>
      <c r="B3" t="s">
        <v>163</v>
      </c>
      <c r="C3" t="s">
        <v>74</v>
      </c>
      <c r="D3" t="s">
        <v>77</v>
      </c>
      <c r="E3" t="s">
        <v>78</v>
      </c>
      <c r="F3" t="str">
        <f>Data!D3</f>
        <v>GO 131-D</v>
      </c>
      <c r="G3" t="str">
        <f>Data!E3</f>
        <v>Yes</v>
      </c>
      <c r="H3" s="8">
        <f ca="1">IF(ISNUMBER(Data!$T3),(Data!$T3-Data!$S3),IF(ISNUMBER(Data!$S3),(TODAY()-Data!$S3),"TBD"))</f>
        <v>227</v>
      </c>
      <c r="I3" s="8">
        <f>IF(ISNUMBER(Data!AD3),(Data!$AD3-Data!$T3),IF(ISNUMBER(Data!T3),"In progress","TBD"))</f>
        <v>569</v>
      </c>
      <c r="J3" s="8">
        <f ca="1">IF(ISNUMBER(Data!$BG3),(Data!$BG3-Data!$AD3),(IF(ISNUMBER(Data!$AD3),(TODAY()-Data!$AD3),"TBD")))</f>
        <v>554</v>
      </c>
      <c r="K3" s="8">
        <f ca="1">IF(Data!$BJ3="",IF(ISNUMBER(Data!$T3),(TODAY()-Data!$AD3),"TBD"),(Data!$BJ3-Data!$AD3))</f>
        <v>771</v>
      </c>
      <c r="L3" s="8" t="str">
        <f ca="1">IF(Data!$E3="No", "N/A",IF(ISNUMBER(Data!$BM3),(TODAY()-Data!$BM3),"TBD"))</f>
        <v>TBD</v>
      </c>
      <c r="M3" s="8">
        <f>'Metrics (Detailed)'!$F3</f>
        <v>3</v>
      </c>
      <c r="N3">
        <f>'Metrics (Detailed)'!$I3</f>
        <v>6</v>
      </c>
      <c r="O3">
        <f>IF(Data!$AE3="N/A",0,COUNT(Data!$AE3:'Data'!$AG3))</f>
        <v>0</v>
      </c>
      <c r="P3" t="s">
        <v>157</v>
      </c>
    </row>
    <row r="4" spans="1:16" ht="14.4" x14ac:dyDescent="0.3">
      <c r="A4" t="s">
        <v>92</v>
      </c>
      <c r="B4" t="s">
        <v>164</v>
      </c>
      <c r="C4" t="s">
        <v>93</v>
      </c>
      <c r="D4" t="s">
        <v>95</v>
      </c>
      <c r="E4" t="s">
        <v>78</v>
      </c>
      <c r="F4" t="str">
        <f>Data!D4</f>
        <v>GO 131-D</v>
      </c>
      <c r="G4" t="str">
        <f>Data!E4</f>
        <v>No</v>
      </c>
      <c r="H4" s="8">
        <f ca="1">IF(ISNUMBER(Data!$T4),(Data!$T4-Data!$S4),IF(ISNUMBER(Data!$S4),(TODAY()-Data!$S4),"TBD"))</f>
        <v>149</v>
      </c>
      <c r="I4" s="8">
        <f>IF(ISNUMBER(Data!AD4),(Data!$AD4-Data!$T4),IF(ISNUMBER(Data!T4),"In progress","TBD"))</f>
        <v>26</v>
      </c>
      <c r="J4" s="8">
        <f ca="1">IF(ISNUMBER(Data!$BG4),(Data!$BG4-Data!$AD4),(IF(ISNUMBER(Data!$AD4),(TODAY()-Data!$AD4),"TBD")))</f>
        <v>332</v>
      </c>
      <c r="K4" s="8">
        <f ca="1">IF(Data!$BJ4="",IF(ISNUMBER(Data!$T4),(TODAY()-Data!$AD4),"TBD"),(Data!$BJ4-Data!$AD4))</f>
        <v>421</v>
      </c>
      <c r="L4" s="8" t="str">
        <f ca="1">IF(Data!$E4="No", "N/A",IF(ISNUMBER(Data!$BM4),(TODAY()-Data!$BM4),"TBD"))</f>
        <v>N/A</v>
      </c>
      <c r="M4" s="8" t="str">
        <f>'Metrics (Detailed)'!$F4</f>
        <v>0</v>
      </c>
      <c r="N4">
        <f>'Metrics (Detailed)'!$I4</f>
        <v>4</v>
      </c>
      <c r="O4">
        <f>IF(Data!$AE4="N/A",0,COUNT(Data!$AE4:'Data'!$AG4))</f>
        <v>0</v>
      </c>
      <c r="P4" t="s">
        <v>157</v>
      </c>
    </row>
    <row r="5" spans="1:16" ht="14.4" x14ac:dyDescent="0.3">
      <c r="A5" t="s">
        <v>148</v>
      </c>
      <c r="B5" t="s">
        <v>165</v>
      </c>
      <c r="C5" t="s">
        <v>101</v>
      </c>
      <c r="D5" t="s">
        <v>77</v>
      </c>
      <c r="E5" t="s">
        <v>78</v>
      </c>
      <c r="F5" t="str">
        <f>Data!D5</f>
        <v>GO 131-D</v>
      </c>
      <c r="G5" t="str">
        <f>Data!E5</f>
        <v>No</v>
      </c>
      <c r="H5" s="8">
        <f ca="1">IF(ISNUMBER(Data!$T5),(Data!$T5-Data!$S5),IF(ISNUMBER(Data!$S5),(TODAY()-Data!$S5),"TBD"))</f>
        <v>200</v>
      </c>
      <c r="I5" s="8">
        <f>IF(ISNUMBER(Data!AD5),(Data!$AD5-Data!$T5),IF(ISNUMBER(Data!T5),"In progress","TBD"))</f>
        <v>29</v>
      </c>
      <c r="J5" s="8">
        <f ca="1">IF(ISNUMBER(Data!$BG5),(Data!$BG5-Data!$AD5),(IF(ISNUMBER(Data!$AD5),(TODAY()-Data!$AD5),"TBD")))</f>
        <v>356</v>
      </c>
      <c r="K5" s="8">
        <f ca="1">IF(Data!$BJ5="",IF(ISNUMBER(Data!$T5),(TODAY()-Data!$AD5),"TBD"),(Data!$BJ5-Data!$AD5))</f>
        <v>491</v>
      </c>
      <c r="L5" s="8" t="str">
        <f ca="1">IF(Data!$E5="No", "N/A",IF(ISNUMBER(Data!$BM5),(TODAY()-Data!$BM5),"TBD"))</f>
        <v>N/A</v>
      </c>
      <c r="M5" s="8" t="str">
        <f>'Metrics (Detailed)'!$F5</f>
        <v>0</v>
      </c>
      <c r="N5">
        <f>'Metrics (Detailed)'!$I5</f>
        <v>2</v>
      </c>
      <c r="O5">
        <f>IF(Data!$AE5="N/A",0,COUNT(Data!$AE5:'Data'!$AG5))</f>
        <v>0</v>
      </c>
      <c r="P5" t="s">
        <v>157</v>
      </c>
    </row>
    <row r="6" spans="1:16" ht="14.4" x14ac:dyDescent="0.3">
      <c r="A6" t="s">
        <v>106</v>
      </c>
      <c r="B6" t="s">
        <v>164</v>
      </c>
      <c r="C6" t="s">
        <v>107</v>
      </c>
      <c r="D6" t="s">
        <v>95</v>
      </c>
      <c r="E6" t="s">
        <v>108</v>
      </c>
      <c r="F6" t="str">
        <f>Data!D6</f>
        <v>GO 131-D</v>
      </c>
      <c r="G6" t="str">
        <f>Data!E6</f>
        <v>No</v>
      </c>
      <c r="H6" s="8">
        <f ca="1">IF(ISNUMBER(Data!$T6),(Data!$T6-Data!$S6),IF(ISNUMBER(Data!$S6),(TODAY()-Data!$S6),"TBD"))</f>
        <v>86</v>
      </c>
      <c r="I6" s="8">
        <f>IF(ISNUMBER(Data!AD6),(Data!$AD6-Data!$T6),IF(ISNUMBER(Data!T6),"In progress","TBD"))</f>
        <v>27</v>
      </c>
      <c r="J6" s="8">
        <f ca="1">IF(ISNUMBER(Data!$BG6),(Data!$BG6-Data!$AD6),(IF(ISNUMBER(Data!$AD6),(TODAY()-Data!$AD6),"TBD")))</f>
        <v>547</v>
      </c>
      <c r="K6" s="8">
        <f ca="1">IF(Data!$BJ6="",IF(ISNUMBER(Data!$T6),(TODAY()-Data!$AD6),"TBD"),(Data!$BJ6-Data!$AD6))</f>
        <v>644</v>
      </c>
      <c r="L6" s="8" t="str">
        <f ca="1">IF(Data!$E6="No", "N/A",IF(ISNUMBER(Data!$BM6),(TODAY()-Data!$BM6),"TBD"))</f>
        <v>N/A</v>
      </c>
      <c r="M6" s="8" t="str">
        <f>'Metrics (Detailed)'!$F6</f>
        <v>0</v>
      </c>
      <c r="N6">
        <f>'Metrics (Detailed)'!$I6</f>
        <v>8</v>
      </c>
      <c r="O6">
        <f>IF(Data!$AE6="N/A",0,COUNT(Data!$AE6:'Data'!$AG6))</f>
        <v>1</v>
      </c>
      <c r="P6" t="s">
        <v>157</v>
      </c>
    </row>
    <row r="7" spans="1:16" ht="14.4" x14ac:dyDescent="0.3">
      <c r="A7" t="s">
        <v>114</v>
      </c>
      <c r="B7" t="s">
        <v>163</v>
      </c>
      <c r="C7" t="s">
        <v>115</v>
      </c>
      <c r="D7" t="s">
        <v>95</v>
      </c>
      <c r="E7" s="27" t="s">
        <v>161</v>
      </c>
      <c r="F7" t="str">
        <f>Data!D7</f>
        <v>GO 131-E</v>
      </c>
      <c r="G7" t="str">
        <f>Data!E7</f>
        <v>No</v>
      </c>
      <c r="H7" s="8" t="str">
        <f ca="1">IF(ISNUMBER(Data!$T7),(Data!$T7-Data!$S7),IF(ISNUMBER(Data!$S7),(TODAY()-Data!$S7),"TBD"))</f>
        <v>TBD</v>
      </c>
      <c r="I7" s="8" t="str">
        <f>IF(ISNUMBER(Data!AD7),(Data!$AD7-Data!$T7),IF(ISNUMBER(Data!T7),"In progress","TBD"))</f>
        <v>TBD</v>
      </c>
      <c r="J7" s="8" t="str">
        <f ca="1">IF(ISNUMBER(Data!$BG7),(Data!$BG7-Data!$AD7),(IF(ISNUMBER(Data!$AD7),(TODAY()-Data!$AD7),"TBD")))</f>
        <v>TBD</v>
      </c>
      <c r="K7" s="8" t="str">
        <f ca="1">IF(Data!$BJ7="",IF(ISNUMBER(Data!$T7),(TODAY()-Data!$AD7),"TBD"),(Data!$BJ7-Data!$AD7))</f>
        <v>TBD</v>
      </c>
      <c r="L7" s="8" t="str">
        <f ca="1">IF(Data!$E7="No", "N/A",IF(ISNUMBER(Data!$BM7),(TODAY()-Data!$BM7),"TBD"))</f>
        <v>N/A</v>
      </c>
      <c r="M7" s="8">
        <f>'Metrics (Detailed)'!$F7</f>
        <v>0</v>
      </c>
      <c r="N7">
        <f>'Metrics (Detailed)'!$I7</f>
        <v>0</v>
      </c>
      <c r="O7">
        <f>IF(Data!$AE7="N/A",0,COUNT(Data!$AE7:'Data'!$AG7))</f>
        <v>0</v>
      </c>
      <c r="P7" t="s">
        <v>158</v>
      </c>
    </row>
    <row r="8" spans="1:16" ht="14.4" x14ac:dyDescent="0.3">
      <c r="A8" s="13" t="s">
        <v>119</v>
      </c>
      <c r="B8" s="13" t="s">
        <v>166</v>
      </c>
      <c r="C8" s="13" t="s">
        <v>115</v>
      </c>
      <c r="D8" s="13" t="s">
        <v>77</v>
      </c>
      <c r="E8" s="27" t="s">
        <v>161</v>
      </c>
      <c r="F8" t="str">
        <f>Data!D8</f>
        <v>GO 131-E</v>
      </c>
      <c r="G8" t="str">
        <f>Data!E8</f>
        <v>Yes</v>
      </c>
      <c r="H8" s="8">
        <f ca="1">IF(ISNUMBER(Data!$T8),(Data!$T8-Data!$S8),IF(ISNUMBER(Data!$S8),(TODAY()-Data!$S8),"TBD"))</f>
        <v>320</v>
      </c>
      <c r="I8" s="8" t="str">
        <f>IF(ISNUMBER(Data!AD8),(Data!$AD8-Data!$T8),IF(ISNUMBER(Data!T8),"In progress","TBD"))</f>
        <v>TBD</v>
      </c>
      <c r="J8" s="8" t="str">
        <f ca="1">IF(ISNUMBER(Data!$BG8),(Data!$BG8-Data!$AD8),(IF(ISNUMBER(Data!$AD8),(TODAY()-Data!$AD8),"TBD")))</f>
        <v>TBD</v>
      </c>
      <c r="K8" s="8" t="str">
        <f ca="1">IF(Data!$BJ8="",IF(ISNUMBER(Data!$T8),(TODAY()-Data!$AD8),"TBD"),(Data!$BJ8-Data!$AD8))</f>
        <v>TBD</v>
      </c>
      <c r="L8" s="8">
        <f ca="1">IF(Data!$E8="No", "N/A",IF(ISNUMBER(Data!$BM8),(TODAY()-Data!$BM8),"TBD"))</f>
        <v>214</v>
      </c>
      <c r="M8" s="8">
        <f>'Metrics (Detailed)'!$F8</f>
        <v>0</v>
      </c>
      <c r="N8">
        <f>'Metrics (Detailed)'!$I8</f>
        <v>0</v>
      </c>
      <c r="O8">
        <f>IF(Data!$AE8="N/A",0,COUNT(Data!$AE8:'Data'!$AG8))</f>
        <v>0</v>
      </c>
      <c r="P8" t="s">
        <v>159</v>
      </c>
    </row>
    <row r="9" spans="1:16" ht="14.4" x14ac:dyDescent="0.3">
      <c r="A9" t="s">
        <v>121</v>
      </c>
      <c r="B9" t="s">
        <v>163</v>
      </c>
      <c r="C9" t="s">
        <v>115</v>
      </c>
      <c r="D9" t="s">
        <v>77</v>
      </c>
      <c r="E9" s="27" t="s">
        <v>162</v>
      </c>
      <c r="F9" t="str">
        <f>Data!D9</f>
        <v>GO 131-E</v>
      </c>
      <c r="G9" t="str">
        <f>Data!E9</f>
        <v>No</v>
      </c>
      <c r="H9" s="8" t="str">
        <f ca="1">IF(ISNUMBER(Data!$T9),(Data!$T9-Data!$S9),IF(ISNUMBER(Data!$S9),(TODAY()-Data!$S9),"TBD"))</f>
        <v>TBD</v>
      </c>
      <c r="I9" s="8" t="str">
        <f>IF(ISNUMBER(Data!AD9),(Data!$AD9-Data!$T9),IF(ISNUMBER(Data!T9),"In progress","TBD"))</f>
        <v>TBD</v>
      </c>
      <c r="J9" s="8" t="str">
        <f ca="1">IF(ISNUMBER(Data!$BG9),(Data!$BG9-Data!$AD9),(IF(ISNUMBER(Data!$AD9),(TODAY()-Data!$AD9),"TBD")))</f>
        <v>TBD</v>
      </c>
      <c r="K9" s="8" t="str">
        <f ca="1">IF(Data!$BJ9="",IF(ISNUMBER(Data!$T9),(TODAY()-Data!$AD9),"TBD"),(Data!$BJ9-Data!$AD9))</f>
        <v>TBD</v>
      </c>
      <c r="L9" s="8" t="str">
        <f ca="1">IF(Data!$E9="No", "N/A",IF(ISNUMBER(Data!$BM9),(TODAY()-Data!$BM9),"TBD"))</f>
        <v>N/A</v>
      </c>
      <c r="M9" s="8">
        <f>'Metrics (Detailed)'!$F9</f>
        <v>0</v>
      </c>
      <c r="N9">
        <f>'Metrics (Detailed)'!$I9</f>
        <v>0</v>
      </c>
      <c r="O9">
        <f>IF(Data!$AE9="N/A",0,COUNT(Data!$AE9:'Data'!$AG9))</f>
        <v>0</v>
      </c>
      <c r="P9" t="s">
        <v>158</v>
      </c>
    </row>
    <row r="10" spans="1:16" ht="14.4" x14ac:dyDescent="0.3">
      <c r="A10" t="s">
        <v>124</v>
      </c>
      <c r="B10" t="s">
        <v>167</v>
      </c>
      <c r="C10" t="s">
        <v>125</v>
      </c>
      <c r="D10" t="s">
        <v>95</v>
      </c>
      <c r="E10" s="27" t="s">
        <v>108</v>
      </c>
      <c r="F10" t="s">
        <v>116</v>
      </c>
      <c r="G10" t="s">
        <v>76</v>
      </c>
      <c r="H10" s="8">
        <f ca="1">IF(ISNUMBER(Data!$T10),(Data!$T10-Data!$S10),IF(ISNUMBER(Data!$S10),(TODAY()-Data!$S10),"TBD"))</f>
        <v>220</v>
      </c>
      <c r="I10" s="8">
        <f>IF(ISNUMBER(Data!AD10),(Data!$AD10-Data!$T10),IF(ISNUMBER(Data!T10),"In progress","TBD"))</f>
        <v>169</v>
      </c>
      <c r="J10" s="8">
        <f ca="1">IF(ISNUMBER(Data!$BG10),(Data!$BG10-Data!$AD10),(IF(ISNUMBER(Data!$AD10),(TODAY()-Data!$AD10),"TBD")))</f>
        <v>55</v>
      </c>
      <c r="K10" s="8">
        <f ca="1">IF(Data!$BJ10="",IF(ISNUMBER(Data!$T10),(TODAY()-Data!$AD10),"TBD"),(Data!$BJ10-Data!$AD10))</f>
        <v>55</v>
      </c>
      <c r="L10" s="8">
        <f ca="1">IF(Data!$E10="No", "N/A",IF(ISNUMBER(Data!$BM10),(TODAY()-Data!$BM10),"TBD"))</f>
        <v>416</v>
      </c>
      <c r="M10" s="8">
        <f>'Metrics (Detailed)'!$F10</f>
        <v>1</v>
      </c>
      <c r="N10">
        <f>'Metrics (Detailed)'!$I10</f>
        <v>0</v>
      </c>
      <c r="O10">
        <f>IF(Data!$AE10="N/A",0,COUNT(Data!$AE10:'Data'!$AG10))</f>
        <v>0</v>
      </c>
      <c r="P10" t="s">
        <v>160</v>
      </c>
    </row>
    <row r="11" spans="1:16" ht="14.4" x14ac:dyDescent="0.3"/>
    <row r="12" spans="1:16" ht="14.4" x14ac:dyDescent="0.3"/>
    <row r="13" spans="1:16" ht="14.4" x14ac:dyDescent="0.3"/>
    <row r="14" spans="1:16" ht="14.4" x14ac:dyDescent="0.3"/>
  </sheetData>
  <mergeCells count="1">
    <mergeCell ref="A1:P1"/>
  </mergeCells>
  <dataValidations count="1">
    <dataValidation type="list" allowBlank="1" showInputMessage="1" showErrorMessage="1" sqref="P3:P1048576" xr:uid="{03BFDD07-A32C-473E-AA53-623E634F8413}">
      <formula1>"Approved,Completed,Completeness Review,Document Adopted/Certified,Draft Document Preparation,Final Document Preparation,Pending,Prefiling Support,Proposed Decision Input"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DC72FDBF08D394D82513CB6EDBAF460" ma:contentTypeVersion="26" ma:contentTypeDescription="Create a new document." ma:contentTypeScope="" ma:versionID="35256f4db16f11575b1245d0d05cd804">
  <xsd:schema xmlns:xsd="http://www.w3.org/2001/XMLSchema" xmlns:xs="http://www.w3.org/2001/XMLSchema" xmlns:p="http://schemas.microsoft.com/office/2006/metadata/properties" xmlns:ns2="59951001-8b6c-4d9b-8a47-3f637de67095" xmlns:ns3="9c8903b4-03ea-4cc2-8dfe-cfd2836b8558" targetNamespace="http://schemas.microsoft.com/office/2006/metadata/properties" ma:root="true" ma:fieldsID="c09292a5dd0119627cb2357a05468768" ns2:_="" ns3:_="">
    <xsd:import namespace="59951001-8b6c-4d9b-8a47-3f637de67095"/>
    <xsd:import namespace="9c8903b4-03ea-4cc2-8dfe-cfd2836b855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Notes" minOccurs="0"/>
                <xsd:element ref="ns2:LeadAnalyst" minOccurs="0"/>
                <xsd:element ref="ns2:Tier" minOccurs="0"/>
                <xsd:element ref="ns2:Disposition" minOccurs="0"/>
                <xsd:element ref="ns2:ProjectIdentifier" minOccurs="0"/>
                <xsd:element ref="ns2:UtilityCompany" minOccurs="0"/>
                <xsd:element ref="ns2:DispositionDate" minOccurs="0"/>
                <xsd:element ref="ns2:MediaServiceBillingMetadata" minOccurs="0"/>
                <xsd:element ref="ns2:Disposition0" minOccurs="0"/>
                <xsd:element ref="ns2:DateofDisposi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951001-8b6c-4d9b-8a47-3f637de670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958c64cc-ee56-435d-b6d0-239f1a5e0d9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Notes" ma:index="23" nillable="true" ma:displayName="Notes" ma:format="Dropdown" ma:internalName="Notes">
      <xsd:simpleType>
        <xsd:restriction base="dms:Text">
          <xsd:maxLength value="255"/>
        </xsd:restriction>
      </xsd:simpleType>
    </xsd:element>
    <xsd:element name="LeadAnalyst" ma:index="24" nillable="true" ma:displayName="Lead Analyst" ma:format="Dropdown" ma:list="UserInfo" ma:SharePointGroup="0" ma:internalName="LeadAnalyst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Tier" ma:index="25" nillable="true" ma:displayName="Tier" ma:format="Dropdown" ma:internalName="Tier">
      <xsd:simpleType>
        <xsd:restriction base="dms:Text">
          <xsd:maxLength value="255"/>
        </xsd:restriction>
      </xsd:simpleType>
    </xsd:element>
    <xsd:element name="Disposition" ma:index="26" nillable="true" ma:displayName="Disposition" ma:format="Dropdown" ma:internalName="Disposition">
      <xsd:simpleType>
        <xsd:restriction base="dms:Text">
          <xsd:maxLength value="255"/>
        </xsd:restriction>
      </xsd:simpleType>
    </xsd:element>
    <xsd:element name="ProjectIdentifier" ma:index="27" nillable="true" ma:displayName="Project Identifier" ma:format="Dropdown" ma:internalName="ProjectIdentifier">
      <xsd:simpleType>
        <xsd:restriction base="dms:Text">
          <xsd:maxLength value="255"/>
        </xsd:restriction>
      </xsd:simpleType>
    </xsd:element>
    <xsd:element name="UtilityCompany" ma:index="28" nillable="true" ma:displayName="Utility Company" ma:format="Dropdown" ma:internalName="UtilityCompany">
      <xsd:simpleType>
        <xsd:restriction base="dms:Text">
          <xsd:maxLength value="255"/>
        </xsd:restriction>
      </xsd:simpleType>
    </xsd:element>
    <xsd:element name="DispositionDate" ma:index="29" nillable="true" ma:displayName="Disposition Date" ma:format="Dropdown" ma:internalName="DispositionDate">
      <xsd:simpleType>
        <xsd:restriction base="dms:Text">
          <xsd:maxLength value="255"/>
        </xsd:restriction>
      </xsd:simpleType>
    </xsd:element>
    <xsd:element name="MediaServiceBillingMetadata" ma:index="30" nillable="true" ma:displayName="MediaServiceBillingMetadata" ma:hidden="true" ma:internalName="MediaServiceBillingMetadata" ma:readOnly="true">
      <xsd:simpleType>
        <xsd:restriction base="dms:Note"/>
      </xsd:simpleType>
    </xsd:element>
    <xsd:element name="Disposition0" ma:index="31" nillable="true" ma:displayName="Disposition " ma:format="Dropdown" ma:internalName="Disposition0">
      <xsd:simpleType>
        <xsd:restriction base="dms:Text">
          <xsd:maxLength value="255"/>
        </xsd:restriction>
      </xsd:simpleType>
    </xsd:element>
    <xsd:element name="DateofDisposition" ma:index="32" nillable="true" ma:displayName="Date of Disposition" ma:format="Dropdown" ma:internalName="DateofDisposition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8903b4-03ea-4cc2-8dfe-cfd2836b8558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c151859a-5bfc-40d0-9fda-8cc1a071b781}" ma:internalName="TaxCatchAll" ma:showField="CatchAllData" ma:web="9c8903b4-03ea-4cc2-8dfe-cfd2836b855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9951001-8b6c-4d9b-8a47-3f637de67095">
      <Terms xmlns="http://schemas.microsoft.com/office/infopath/2007/PartnerControls"/>
    </lcf76f155ced4ddcb4097134ff3c332f>
    <TaxCatchAll xmlns="9c8903b4-03ea-4cc2-8dfe-cfd2836b8558" xsi:nil="true"/>
    <Notes xmlns="59951001-8b6c-4d9b-8a47-3f637de67095" xsi:nil="true"/>
    <Disposition xmlns="59951001-8b6c-4d9b-8a47-3f637de67095" xsi:nil="true"/>
    <Tier xmlns="59951001-8b6c-4d9b-8a47-3f637de67095" xsi:nil="true"/>
    <LeadAnalyst xmlns="59951001-8b6c-4d9b-8a47-3f637de67095">
      <UserInfo>
        <DisplayName/>
        <AccountId xsi:nil="true"/>
        <AccountType/>
      </UserInfo>
    </LeadAnalyst>
    <UtilityCompany xmlns="59951001-8b6c-4d9b-8a47-3f637de67095" xsi:nil="true"/>
    <DispositionDate xmlns="59951001-8b6c-4d9b-8a47-3f637de67095" xsi:nil="true"/>
    <ProjectIdentifier xmlns="59951001-8b6c-4d9b-8a47-3f637de67095" xsi:nil="true"/>
    <DateofDisposition xmlns="59951001-8b6c-4d9b-8a47-3f637de67095" xsi:nil="true"/>
    <Disposition0 xmlns="59951001-8b6c-4d9b-8a47-3f637de67095" xsi:nil="true"/>
  </documentManagement>
</p:properties>
</file>

<file path=customXml/itemProps1.xml><?xml version="1.0" encoding="utf-8"?>
<ds:datastoreItem xmlns:ds="http://schemas.openxmlformats.org/officeDocument/2006/customXml" ds:itemID="{8B0D9FB7-46B7-428F-B946-52F2E659FC4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97A7938-B981-487A-874E-B27D9393EB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9951001-8b6c-4d9b-8a47-3f637de67095"/>
    <ds:schemaRef ds:uri="9c8903b4-03ea-4cc2-8dfe-cfd2836b855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70E874F-8923-406A-92B3-B67B2BC746A9}">
  <ds:schemaRefs>
    <ds:schemaRef ds:uri="http://schemas.microsoft.com/office/2006/metadata/properties"/>
    <ds:schemaRef ds:uri="http://schemas.microsoft.com/office/infopath/2007/PartnerControls"/>
    <ds:schemaRef ds:uri="59951001-8b6c-4d9b-8a47-3f637de67095"/>
    <ds:schemaRef ds:uri="9c8903b4-03ea-4cc2-8dfe-cfd2836b855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</vt:lpstr>
      <vt:lpstr>Metrics (Detailed)</vt:lpstr>
      <vt:lpstr>Metrics (High-Level)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Alexander, Tommy</dc:creator>
  <cp:keywords/>
  <dc:description/>
  <cp:lastModifiedBy>Alexander, Tommy</cp:lastModifiedBy>
  <cp:revision/>
  <dcterms:created xsi:type="dcterms:W3CDTF">2025-06-04T04:55:40Z</dcterms:created>
  <dcterms:modified xsi:type="dcterms:W3CDTF">2026-05-05T00:01:39Z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0x0101004DC72FDBF08D394D82513CB6EDBAF460</vt:lpwstr>
  </property>
  <property fmtid="{D5CDD505-2E9C-101B-9397-08002B2CF9AE}" pid="3" name="MediaServiceImageTags">
    <vt:lpwstr/>
  </property>
</Properties>
</file>